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rroz 2018-19 Media Tec. Maule" sheetId="1" r:id="rId1"/>
    <sheet name="Hoja1" sheetId="2" state="hidden" r:id="rId2"/>
  </sheets>
  <definedNames>
    <definedName name="_xlnm.Print_Area" localSheetId="0">'Arroz 2018-19 Media Tec. Maule'!$A$1:$K$110</definedName>
  </definedNames>
  <calcPr fullCalcOnLoad="1"/>
</workbook>
</file>

<file path=xl/sharedStrings.xml><?xml version="1.0" encoding="utf-8"?>
<sst xmlns="http://schemas.openxmlformats.org/spreadsheetml/2006/main" count="192" uniqueCount="133">
  <si>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</si>
  <si>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</si>
  <si>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</si>
  <si>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</si>
  <si>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</si>
  <si>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</si>
  <si>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</si>
  <si>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</si>
  <si>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</si>
  <si>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</si>
  <si>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</si>
  <si>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</si>
  <si>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</si>
  <si>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</si>
  <si>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</si>
  <si>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</si>
  <si>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</si>
  <si>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</si>
  <si>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</si>
  <si>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</si>
  <si>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</si>
  <si>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</si>
  <si>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</si>
  <si>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</si>
  <si>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</si>
  <si>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</si>
  <si>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</si>
  <si>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</si>
  <si>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</si>
  <si>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</si>
  <si>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</si>
  <si>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</si>
  <si>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</si>
  <si>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</si>
  <si>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</si>
  <si>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</si>
  <si>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</si>
  <si>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</si>
  <si>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</si>
  <si>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</si>
  <si>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</si>
  <si>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</si>
  <si>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</si>
  <si>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</si>
  <si>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</si>
  <si>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</si>
  <si>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</si>
  <si>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</si>
  <si>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</si>
  <si>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</si>
  <si>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</si>
  <si>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</si>
  <si>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</si>
  <si>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1 hectárea mayo 2019</t>
  </si>
  <si>
    <t>gramo</t>
  </si>
  <si>
    <t>Otros:</t>
  </si>
  <si>
    <t>(2) Representa un valor promedio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</si>
  <si>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</si>
  <si>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(4) La dosis de fertilización promedio podría variar de acuerdo a los resultados del análisis de suelo.</t>
  </si>
  <si>
    <t>(6) Margen neto corresponde a ingresos totales (precio venta x rendimiento) menos los costos totales.</t>
  </si>
  <si>
    <t>(5) 1,5% mensual simple sobre el 50% de los costos totales, tasa de interés promedio de las empresas distribuidoras de insumos.</t>
  </si>
  <si>
    <t>(7) Representa el precio de venta mínimo para cubrir los costos totales de producción.</t>
  </si>
  <si>
    <r>
      <t>Precio de venta a productor ($/quintal)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</si>
  <si>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</si>
  <si>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</si>
  <si>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</si>
  <si>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</si>
  <si>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</si>
  <si>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Rendimiento (quintales/hectárea)</t>
  </si>
  <si>
    <t>Costo unitario ($/quintal)</t>
  </si>
  <si>
    <t>Precio ($/quintal)</t>
  </si>
  <si>
    <t>Rendimiento (quintales/hectárea):</t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</si>
  <si>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</si>
  <si>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Tecnología de riego: tradicional</t>
  </si>
  <si>
    <t>Fecha de siembra: octubre</t>
  </si>
  <si>
    <t>Variedad: Diamante INIA, Zafiro - INIA.</t>
  </si>
  <si>
    <t>Destino de producción:mercado</t>
  </si>
  <si>
    <t xml:space="preserve">Fecha de cosecha: abril-mayo </t>
  </si>
  <si>
    <t>Limpieza de canales</t>
  </si>
  <si>
    <t>Presiembra (pega pretil, llenado, fangueo, preger)</t>
  </si>
  <si>
    <t>Aplicación Herbicidas</t>
  </si>
  <si>
    <t>Aplicación Insecticidas</t>
  </si>
  <si>
    <t>Aplicación Fertilizante</t>
  </si>
  <si>
    <t xml:space="preserve">Riegos </t>
  </si>
  <si>
    <t>Septiembre-Octubre</t>
  </si>
  <si>
    <t>Octubre-Noviembre</t>
  </si>
  <si>
    <t>Octubre-Febrero</t>
  </si>
  <si>
    <t xml:space="preserve">Maquina pretilera </t>
  </si>
  <si>
    <t>Nivelación laser</t>
  </si>
  <si>
    <t>Rotura de suelo</t>
  </si>
  <si>
    <t>Rastraje</t>
  </si>
  <si>
    <t>Vibro</t>
  </si>
  <si>
    <t>Fangueo</t>
  </si>
  <si>
    <t>Siembra(en seco)</t>
  </si>
  <si>
    <t>Aplicación pesticidas</t>
  </si>
  <si>
    <t>Trompo(Aplicación nitrogeno)</t>
  </si>
  <si>
    <t>Cosecha Automotriz</t>
  </si>
  <si>
    <t>Junio-Agosto</t>
  </si>
  <si>
    <t>Junio-julio</t>
  </si>
  <si>
    <t>Octubre</t>
  </si>
  <si>
    <t>Octubre-noviembre</t>
  </si>
  <si>
    <t>Noviembre</t>
  </si>
  <si>
    <t>Marzo-Abril</t>
  </si>
  <si>
    <t>Ha</t>
  </si>
  <si>
    <t>Semilla</t>
  </si>
  <si>
    <t>Agosto-septiembre</t>
  </si>
  <si>
    <t>Mezcla arroz(17-20-20)</t>
  </si>
  <si>
    <t>Urea</t>
  </si>
  <si>
    <t>Carbendazamida 8%, Mancozeb 64%(Semilla)</t>
  </si>
  <si>
    <t>Septiembre-octubre</t>
  </si>
  <si>
    <t>Lambdacihalotrina</t>
  </si>
  <si>
    <t>Octubre/Noviembre</t>
  </si>
  <si>
    <t>Molinate 75 EC</t>
  </si>
  <si>
    <t>Sal Dimetilamina de MCPA 75%</t>
  </si>
  <si>
    <t>Bentazone</t>
  </si>
  <si>
    <t>Septiembre</t>
  </si>
  <si>
    <t>Noviembre-Diciembre</t>
  </si>
  <si>
    <t>Flete insumo-producto</t>
  </si>
  <si>
    <t>Agua</t>
  </si>
  <si>
    <t>Secado a 15%</t>
  </si>
  <si>
    <t>Abril-mayo</t>
  </si>
  <si>
    <t>Anual</t>
  </si>
  <si>
    <t>Marzo-mayo</t>
  </si>
  <si>
    <t>Junio-octubre</t>
  </si>
  <si>
    <t>Un</t>
  </si>
  <si>
    <t>Noviembre-diciembre</t>
  </si>
  <si>
    <t>Arroz</t>
  </si>
  <si>
    <t>(1) El precio del arroz utilizado en el análisis de sensibilidad corresponde al precio promedio regional durante la temporada 2018/2019.</t>
  </si>
  <si>
    <t>Tecnología: media</t>
  </si>
  <si>
    <t>qq</t>
  </si>
  <si>
    <r>
      <t>Glifosato- potasio  66,2% g</t>
    </r>
    <r>
      <rPr>
        <b/>
        <sz val="14"/>
        <rFont val="Arial"/>
        <family val="2"/>
      </rPr>
      <t>/</t>
    </r>
    <r>
      <rPr>
        <sz val="14"/>
        <rFont val="Arial"/>
        <family val="2"/>
      </rPr>
      <t xml:space="preserve">l(desecante, preemergencia arroz) </t>
    </r>
  </si>
  <si>
    <t>Región del Maule</t>
  </si>
  <si>
    <t>Densidad (plantas/hectárea):sin información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</si>
</sst>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5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 vertical="center"/>
    </xf>
    <xf numFmtId="183" fontId="10" fillId="34" borderId="20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24" xfId="0" applyFont="1" applyFill="1" applyBorder="1" applyAlignment="1">
      <alignment horizontal="left" indent="1"/>
    </xf>
    <xf numFmtId="0" fontId="8" fillId="37" borderId="20" xfId="0" applyFont="1" applyFill="1" applyBorder="1" applyAlignment="1">
      <alignment horizontal="left" indent="1"/>
    </xf>
    <xf numFmtId="0" fontId="8" fillId="37" borderId="25" xfId="0" applyFont="1" applyFill="1" applyBorder="1" applyAlignment="1">
      <alignment horizontal="left"/>
    </xf>
    <xf numFmtId="0" fontId="8" fillId="37" borderId="17" xfId="0" applyFont="1" applyFill="1" applyBorder="1" applyAlignment="1">
      <alignment horizontal="left" vertical="center"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3" fontId="8" fillId="34" borderId="16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8" fillId="0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3" xfId="56" applyNumberFormat="1" applyFont="1" applyFill="1" applyBorder="1" applyAlignment="1">
      <alignment horizontal="right"/>
      <protection/>
    </xf>
    <xf numFmtId="0" fontId="8" fillId="34" borderId="17" xfId="67" applyNumberFormat="1" applyFont="1" applyFill="1" applyBorder="1" applyAlignment="1" applyProtection="1">
      <alignment/>
      <protection/>
    </xf>
    <xf numFmtId="180" fontId="10" fillId="34" borderId="23" xfId="67" applyFont="1" applyFill="1" applyBorder="1" applyAlignment="1">
      <alignment horizontal="center"/>
      <protection/>
    </xf>
    <xf numFmtId="3" fontId="10" fillId="34" borderId="1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3" xfId="56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1" fontId="10" fillId="0" borderId="19" xfId="56" applyNumberFormat="1" applyFont="1" applyFill="1" applyBorder="1" applyAlignment="1" applyProtection="1">
      <alignment horizontal="center"/>
      <protection/>
    </xf>
    <xf numFmtId="181" fontId="10" fillId="0" borderId="15" xfId="56" applyNumberFormat="1" applyFont="1" applyFill="1" applyBorder="1" applyAlignment="1" applyProtection="1">
      <alignment horizontal="center"/>
      <protection/>
    </xf>
    <xf numFmtId="181" fontId="10" fillId="0" borderId="11" xfId="56" applyNumberFormat="1" applyFont="1" applyFill="1" applyBorder="1" applyAlignment="1" applyProtection="1">
      <alignment horizontal="center"/>
      <protection/>
    </xf>
    <xf numFmtId="3" fontId="10" fillId="0" borderId="11" xfId="67" applyNumberFormat="1" applyFont="1" applyFill="1" applyBorder="1" applyAlignment="1" applyProtection="1">
      <alignment horizontal="center"/>
      <protection/>
    </xf>
    <xf numFmtId="3" fontId="10" fillId="34" borderId="1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0" borderId="19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/>
      <protection/>
    </xf>
    <xf numFmtId="0" fontId="10" fillId="0" borderId="11" xfId="56" applyFont="1" applyFill="1" applyBorder="1" applyAlignment="1" applyProtection="1">
      <alignment/>
      <protection/>
    </xf>
    <xf numFmtId="0" fontId="10" fillId="0" borderId="15" xfId="56" applyFont="1" applyFill="1" applyBorder="1" applyAlignment="1" applyProtection="1">
      <alignment/>
      <protection/>
    </xf>
    <xf numFmtId="0" fontId="10" fillId="0" borderId="13" xfId="56" applyFont="1" applyFill="1" applyBorder="1" applyAlignment="1" applyProtection="1">
      <alignment/>
      <protection/>
    </xf>
    <xf numFmtId="0" fontId="10" fillId="0" borderId="16" xfId="56" applyFont="1" applyFill="1" applyBorder="1" applyAlignment="1" applyProtection="1">
      <alignment/>
      <protection/>
    </xf>
    <xf numFmtId="0" fontId="10" fillId="0" borderId="0" xfId="56" applyFont="1" applyFill="1" applyBorder="1" applyAlignment="1">
      <alignment horizontal="left" indent="3"/>
      <protection/>
    </xf>
    <xf numFmtId="0" fontId="10" fillId="0" borderId="13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0" borderId="16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>
      <alignment horizontal="left" vertical="center" indent="3"/>
      <protection/>
    </xf>
    <xf numFmtId="0" fontId="10" fillId="34" borderId="18" xfId="56" applyFont="1" applyFill="1" applyBorder="1" applyAlignment="1">
      <alignment horizontal="left" vertical="center" indent="3"/>
      <protection/>
    </xf>
    <xf numFmtId="0" fontId="10" fillId="34" borderId="19" xfId="56" applyFont="1" applyFill="1" applyBorder="1" applyAlignment="1">
      <alignment horizontal="left" indent="6"/>
      <protection/>
    </xf>
    <xf numFmtId="0" fontId="10" fillId="34" borderId="11" xfId="56" applyFont="1" applyFill="1" applyBorder="1" applyAlignment="1">
      <alignment horizontal="left" indent="6"/>
      <protection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0" fontId="10" fillId="34" borderId="0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vertical="center" indent="3"/>
      <protection/>
    </xf>
    <xf numFmtId="0" fontId="10" fillId="34" borderId="16" xfId="56" applyFont="1" applyFill="1" applyBorder="1" applyAlignment="1">
      <alignment horizontal="left" vertical="center" indent="3"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2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center" vertical="center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62" fillId="38" borderId="13" xfId="0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174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2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1"/>
      <c r="C2" s="141"/>
      <c r="D2" s="344" t="s">
        <v>33</v>
      </c>
      <c r="E2" s="344"/>
      <c r="F2" s="344"/>
      <c r="G2" s="344"/>
      <c r="H2" s="344"/>
      <c r="I2" s="344"/>
      <c r="J2" s="344"/>
    </row>
    <row r="3" spans="2:11" s="3" customFormat="1" ht="18" customHeight="1">
      <c r="B3" s="94"/>
      <c r="C3" s="117"/>
      <c r="D3" s="345" t="s">
        <v>126</v>
      </c>
      <c r="E3" s="345"/>
      <c r="F3" s="345"/>
      <c r="G3" s="345"/>
      <c r="H3" s="345"/>
      <c r="I3" s="345"/>
      <c r="J3" s="345"/>
      <c r="K3" s="14"/>
    </row>
    <row r="4" spans="2:11" s="3" customFormat="1" ht="18" customHeight="1">
      <c r="B4" s="94"/>
      <c r="C4" s="117"/>
      <c r="D4" s="345" t="s">
        <v>131</v>
      </c>
      <c r="E4" s="345"/>
      <c r="F4" s="345"/>
      <c r="G4" s="345"/>
      <c r="H4" s="345"/>
      <c r="I4" s="345"/>
      <c r="J4" s="345"/>
      <c r="K4" s="14"/>
    </row>
    <row r="5" spans="2:11" s="3" customFormat="1" ht="18" customHeight="1">
      <c r="B5" s="42"/>
      <c r="C5" s="42"/>
      <c r="D5" s="118"/>
      <c r="E5" s="44"/>
      <c r="F5" s="136"/>
      <c r="G5" s="136"/>
      <c r="H5" s="136"/>
      <c r="I5" s="136"/>
      <c r="J5" s="136"/>
      <c r="K5" s="16"/>
    </row>
    <row r="6" spans="2:11" s="3" customFormat="1" ht="18" customHeight="1">
      <c r="B6" s="42"/>
      <c r="C6" s="42"/>
      <c r="D6" s="353" t="s">
        <v>29</v>
      </c>
      <c r="E6" s="354"/>
      <c r="F6" s="354"/>
      <c r="G6" s="354"/>
      <c r="H6" s="354"/>
      <c r="I6" s="354"/>
      <c r="J6" s="355"/>
      <c r="K6" s="16"/>
    </row>
    <row r="7" spans="2:11" s="3" customFormat="1" ht="18" customHeight="1">
      <c r="B7" s="42"/>
      <c r="C7" s="42"/>
      <c r="D7" s="85" t="s">
        <v>53</v>
      </c>
      <c r="E7" s="86"/>
      <c r="F7" s="86"/>
      <c r="G7" s="87" t="s">
        <v>75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73</v>
      </c>
      <c r="E8" s="92"/>
      <c r="F8" s="92"/>
      <c r="G8" s="93" t="s">
        <v>76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132</v>
      </c>
      <c r="E9" s="157"/>
      <c r="F9" s="92"/>
      <c r="G9" s="93" t="s">
        <v>128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74</v>
      </c>
      <c r="E10" s="98"/>
      <c r="F10" s="98"/>
      <c r="G10" s="99" t="s">
        <v>77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46" t="s">
        <v>30</v>
      </c>
      <c r="C12" s="347"/>
      <c r="D12" s="347"/>
      <c r="E12" s="348"/>
      <c r="F12" s="41"/>
      <c r="G12" s="349" t="s">
        <v>4</v>
      </c>
      <c r="H12" s="350"/>
      <c r="I12" s="350"/>
      <c r="J12" s="351"/>
      <c r="K12" s="16"/>
    </row>
    <row r="13" spans="2:11" ht="18">
      <c r="B13" s="107" t="s">
        <v>71</v>
      </c>
      <c r="C13" s="108"/>
      <c r="D13" s="86"/>
      <c r="E13" s="109">
        <v>65</v>
      </c>
      <c r="F13" s="42"/>
      <c r="G13" s="113" t="s">
        <v>47</v>
      </c>
      <c r="H13" s="86"/>
      <c r="I13" s="86"/>
      <c r="J13" s="142">
        <f>E13*E14</f>
        <v>1332500</v>
      </c>
      <c r="K13" s="16"/>
    </row>
    <row r="14" spans="2:13" ht="18" customHeight="1">
      <c r="B14" s="185" t="s">
        <v>62</v>
      </c>
      <c r="C14" s="186"/>
      <c r="D14" s="186"/>
      <c r="E14" s="239">
        <v>20500</v>
      </c>
      <c r="F14" s="42"/>
      <c r="G14" s="114" t="s">
        <v>44</v>
      </c>
      <c r="H14" s="42"/>
      <c r="I14" s="42"/>
      <c r="J14" s="143">
        <f>J28+J41+J67+J70</f>
        <v>922477.5</v>
      </c>
      <c r="K14" s="16"/>
      <c r="M14" s="173"/>
    </row>
    <row r="15" spans="2:11" ht="18">
      <c r="B15" s="132" t="s">
        <v>34</v>
      </c>
      <c r="C15" s="43"/>
      <c r="D15" s="42"/>
      <c r="E15" s="239">
        <v>14500</v>
      </c>
      <c r="F15" s="42"/>
      <c r="G15" s="114" t="s">
        <v>46</v>
      </c>
      <c r="H15" s="44"/>
      <c r="I15" s="42"/>
      <c r="J15" s="143">
        <f>J28+J41+J67+J70+J80</f>
        <v>984744.73125</v>
      </c>
      <c r="K15" s="16"/>
    </row>
    <row r="16" spans="2:11" ht="18">
      <c r="B16" s="132" t="s">
        <v>2</v>
      </c>
      <c r="C16" s="45"/>
      <c r="D16" s="42"/>
      <c r="E16" s="110">
        <v>0.015</v>
      </c>
      <c r="F16" s="42"/>
      <c r="G16" s="114" t="s">
        <v>48</v>
      </c>
      <c r="H16" s="42"/>
      <c r="I16" s="42"/>
      <c r="J16" s="143">
        <f>J13-J14</f>
        <v>410022.5</v>
      </c>
      <c r="K16" s="16"/>
    </row>
    <row r="17" spans="2:11" ht="18">
      <c r="B17" s="111" t="s">
        <v>3</v>
      </c>
      <c r="C17" s="112"/>
      <c r="D17" s="103"/>
      <c r="E17" s="240">
        <v>9</v>
      </c>
      <c r="F17" s="42"/>
      <c r="G17" s="114" t="s">
        <v>49</v>
      </c>
      <c r="H17" s="42"/>
      <c r="I17" s="42"/>
      <c r="J17" s="143">
        <f>J13-J15</f>
        <v>347755.26875000005</v>
      </c>
      <c r="K17" s="16"/>
    </row>
    <row r="18" spans="2:11" ht="18">
      <c r="B18" s="133"/>
      <c r="C18" s="45"/>
      <c r="D18" s="42"/>
      <c r="E18" s="135"/>
      <c r="F18" s="42"/>
      <c r="G18" s="115" t="s">
        <v>26</v>
      </c>
      <c r="H18" s="103"/>
      <c r="I18" s="116"/>
      <c r="J18" s="144">
        <f>G97</f>
        <v>15149.918942307691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52"/>
      <c r="F20" s="352"/>
      <c r="G20" s="121"/>
      <c r="H20" s="122"/>
      <c r="I20" s="130"/>
      <c r="J20" s="123"/>
      <c r="K20" s="16"/>
    </row>
    <row r="21" spans="2:11" s="3" customFormat="1" ht="18" customHeight="1">
      <c r="B21" s="189" t="s">
        <v>7</v>
      </c>
      <c r="C21" s="190"/>
      <c r="D21" s="190"/>
      <c r="E21" s="225" t="s">
        <v>35</v>
      </c>
      <c r="F21" s="224"/>
      <c r="G21" s="145" t="s">
        <v>5</v>
      </c>
      <c r="H21" s="146" t="s">
        <v>6</v>
      </c>
      <c r="I21" s="147" t="s">
        <v>41</v>
      </c>
      <c r="J21" s="148" t="s">
        <v>1</v>
      </c>
      <c r="K21" s="16"/>
    </row>
    <row r="22" spans="2:10" s="3" customFormat="1" ht="18">
      <c r="B22" s="288" t="s">
        <v>78</v>
      </c>
      <c r="C22" s="289"/>
      <c r="D22" s="290"/>
      <c r="E22" s="294" t="s">
        <v>84</v>
      </c>
      <c r="F22" s="294"/>
      <c r="G22" s="271">
        <v>0.5</v>
      </c>
      <c r="H22" s="149" t="s">
        <v>37</v>
      </c>
      <c r="I22" s="249">
        <f aca="true" t="shared" si="0" ref="I22:I27">$E$15</f>
        <v>14500</v>
      </c>
      <c r="J22" s="166">
        <f aca="true" t="shared" si="1" ref="J22:J27">G22*I22</f>
        <v>7250</v>
      </c>
    </row>
    <row r="23" spans="2:10" s="3" customFormat="1" ht="18">
      <c r="B23" s="288" t="s">
        <v>79</v>
      </c>
      <c r="C23" s="289"/>
      <c r="D23" s="290"/>
      <c r="E23" s="294" t="s">
        <v>85</v>
      </c>
      <c r="F23" s="294"/>
      <c r="G23" s="271">
        <v>0.8</v>
      </c>
      <c r="H23" s="150" t="s">
        <v>37</v>
      </c>
      <c r="I23" s="250">
        <v>60000</v>
      </c>
      <c r="J23" s="10">
        <f t="shared" si="1"/>
        <v>48000</v>
      </c>
    </row>
    <row r="24" spans="2:10" s="3" customFormat="1" ht="18">
      <c r="B24" s="288" t="s">
        <v>80</v>
      </c>
      <c r="C24" s="289"/>
      <c r="D24" s="290"/>
      <c r="E24" s="294" t="s">
        <v>85</v>
      </c>
      <c r="F24" s="294"/>
      <c r="G24" s="271">
        <v>0.5</v>
      </c>
      <c r="H24" s="150" t="s">
        <v>37</v>
      </c>
      <c r="I24" s="250">
        <f t="shared" si="0"/>
        <v>14500</v>
      </c>
      <c r="J24" s="10">
        <f t="shared" si="1"/>
        <v>7250</v>
      </c>
    </row>
    <row r="25" spans="2:10" s="3" customFormat="1" ht="18">
      <c r="B25" s="288" t="s">
        <v>81</v>
      </c>
      <c r="C25" s="289"/>
      <c r="D25" s="290"/>
      <c r="E25" s="294" t="s">
        <v>85</v>
      </c>
      <c r="F25" s="294"/>
      <c r="G25" s="271">
        <v>0.5</v>
      </c>
      <c r="H25" s="150" t="s">
        <v>37</v>
      </c>
      <c r="I25" s="250">
        <f t="shared" si="0"/>
        <v>14500</v>
      </c>
      <c r="J25" s="10">
        <f t="shared" si="1"/>
        <v>7250</v>
      </c>
    </row>
    <row r="26" spans="2:10" s="3" customFormat="1" ht="18">
      <c r="B26" s="288" t="s">
        <v>82</v>
      </c>
      <c r="C26" s="289"/>
      <c r="D26" s="290"/>
      <c r="E26" s="294" t="s">
        <v>85</v>
      </c>
      <c r="F26" s="294"/>
      <c r="G26" s="271">
        <v>0.2</v>
      </c>
      <c r="H26" s="150" t="s">
        <v>37</v>
      </c>
      <c r="I26" s="250">
        <f t="shared" si="0"/>
        <v>14500</v>
      </c>
      <c r="J26" s="10">
        <f t="shared" si="1"/>
        <v>2900</v>
      </c>
    </row>
    <row r="27" spans="2:10" s="3" customFormat="1" ht="17.25" customHeight="1">
      <c r="B27" s="291" t="s">
        <v>83</v>
      </c>
      <c r="C27" s="292"/>
      <c r="D27" s="293"/>
      <c r="E27" s="295" t="s">
        <v>86</v>
      </c>
      <c r="F27" s="295"/>
      <c r="G27" s="272">
        <v>1</v>
      </c>
      <c r="H27" s="150" t="s">
        <v>37</v>
      </c>
      <c r="I27" s="250">
        <f t="shared" si="0"/>
        <v>14500</v>
      </c>
      <c r="J27" s="167">
        <f t="shared" si="1"/>
        <v>14500</v>
      </c>
    </row>
    <row r="28" spans="2:11" ht="18">
      <c r="B28" s="193" t="s">
        <v>8</v>
      </c>
      <c r="C28" s="194"/>
      <c r="D28" s="194"/>
      <c r="E28" s="194"/>
      <c r="F28" s="194"/>
      <c r="G28" s="194"/>
      <c r="H28" s="194"/>
      <c r="I28" s="194"/>
      <c r="J28" s="104">
        <f>SUM(J22:J27)</f>
        <v>87150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89" t="s">
        <v>63</v>
      </c>
      <c r="C30" s="190"/>
      <c r="D30" s="190"/>
      <c r="E30" s="225" t="s">
        <v>35</v>
      </c>
      <c r="F30" s="225"/>
      <c r="G30" s="145" t="s">
        <v>5</v>
      </c>
      <c r="H30" s="146" t="s">
        <v>6</v>
      </c>
      <c r="I30" s="147" t="s">
        <v>41</v>
      </c>
      <c r="J30" s="148" t="s">
        <v>1</v>
      </c>
      <c r="K30" s="3"/>
    </row>
    <row r="31" spans="2:10" s="3" customFormat="1" ht="18">
      <c r="B31" s="252" t="s">
        <v>87</v>
      </c>
      <c r="C31" s="255"/>
      <c r="D31" s="255"/>
      <c r="E31" s="296" t="s">
        <v>97</v>
      </c>
      <c r="F31" s="297"/>
      <c r="G31" s="273">
        <v>3</v>
      </c>
      <c r="H31" s="273" t="s">
        <v>103</v>
      </c>
      <c r="I31" s="274">
        <v>6000</v>
      </c>
      <c r="J31" s="127">
        <f>I31*G31</f>
        <v>18000</v>
      </c>
    </row>
    <row r="32" spans="2:10" s="3" customFormat="1" ht="18">
      <c r="B32" s="252" t="s">
        <v>88</v>
      </c>
      <c r="C32" s="255"/>
      <c r="D32" s="255"/>
      <c r="E32" s="296" t="s">
        <v>98</v>
      </c>
      <c r="F32" s="297"/>
      <c r="G32" s="273">
        <v>1</v>
      </c>
      <c r="H32" s="273" t="s">
        <v>103</v>
      </c>
      <c r="I32" s="274">
        <v>60000</v>
      </c>
      <c r="J32" s="128">
        <f>G32*I32</f>
        <v>60000</v>
      </c>
    </row>
    <row r="33" spans="2:10" s="3" customFormat="1" ht="18">
      <c r="B33" s="288" t="s">
        <v>89</v>
      </c>
      <c r="C33" s="289"/>
      <c r="D33" s="290"/>
      <c r="E33" s="296" t="s">
        <v>97</v>
      </c>
      <c r="F33" s="297"/>
      <c r="G33" s="273">
        <v>1</v>
      </c>
      <c r="H33" s="273" t="s">
        <v>103</v>
      </c>
      <c r="I33" s="274">
        <v>40000</v>
      </c>
      <c r="J33" s="128">
        <f>G33*I33</f>
        <v>40000</v>
      </c>
    </row>
    <row r="34" spans="2:10" s="3" customFormat="1" ht="18">
      <c r="B34" s="288" t="s">
        <v>90</v>
      </c>
      <c r="C34" s="289"/>
      <c r="D34" s="290"/>
      <c r="E34" s="296" t="s">
        <v>84</v>
      </c>
      <c r="F34" s="297"/>
      <c r="G34" s="273">
        <v>2</v>
      </c>
      <c r="H34" s="273" t="s">
        <v>103</v>
      </c>
      <c r="I34" s="274">
        <v>25000</v>
      </c>
      <c r="J34" s="128">
        <f aca="true" t="shared" si="2" ref="J34:J40">I34*G34</f>
        <v>50000</v>
      </c>
    </row>
    <row r="35" spans="2:10" s="3" customFormat="1" ht="18">
      <c r="B35" s="288" t="s">
        <v>91</v>
      </c>
      <c r="C35" s="289"/>
      <c r="D35" s="290"/>
      <c r="E35" s="296" t="s">
        <v>84</v>
      </c>
      <c r="F35" s="297"/>
      <c r="G35" s="273">
        <v>1</v>
      </c>
      <c r="H35" s="273" t="s">
        <v>103</v>
      </c>
      <c r="I35" s="275">
        <v>30000</v>
      </c>
      <c r="J35" s="128">
        <f t="shared" si="2"/>
        <v>30000</v>
      </c>
    </row>
    <row r="36" spans="2:10" s="3" customFormat="1" ht="18">
      <c r="B36" s="288" t="s">
        <v>92</v>
      </c>
      <c r="C36" s="289"/>
      <c r="D36" s="290"/>
      <c r="E36" s="296" t="s">
        <v>85</v>
      </c>
      <c r="F36" s="297"/>
      <c r="G36" s="273">
        <v>1</v>
      </c>
      <c r="H36" s="273" t="s">
        <v>103</v>
      </c>
      <c r="I36" s="275">
        <v>15000</v>
      </c>
      <c r="J36" s="128">
        <f t="shared" si="2"/>
        <v>15000</v>
      </c>
    </row>
    <row r="37" spans="2:10" s="3" customFormat="1" ht="18">
      <c r="B37" s="288" t="s">
        <v>93</v>
      </c>
      <c r="C37" s="289"/>
      <c r="D37" s="290"/>
      <c r="E37" s="296" t="s">
        <v>99</v>
      </c>
      <c r="F37" s="297"/>
      <c r="G37" s="273">
        <v>1</v>
      </c>
      <c r="H37" s="273" t="s">
        <v>103</v>
      </c>
      <c r="I37" s="275">
        <v>35000</v>
      </c>
      <c r="J37" s="128">
        <f t="shared" si="2"/>
        <v>35000</v>
      </c>
    </row>
    <row r="38" spans="2:10" s="3" customFormat="1" ht="18">
      <c r="B38" s="252" t="s">
        <v>94</v>
      </c>
      <c r="C38" s="253"/>
      <c r="D38" s="254"/>
      <c r="E38" s="296" t="s">
        <v>100</v>
      </c>
      <c r="F38" s="297"/>
      <c r="G38" s="273">
        <v>3</v>
      </c>
      <c r="H38" s="273" t="s">
        <v>103</v>
      </c>
      <c r="I38" s="275">
        <v>15000</v>
      </c>
      <c r="J38" s="128">
        <f t="shared" si="2"/>
        <v>45000</v>
      </c>
    </row>
    <row r="39" spans="2:10" s="3" customFormat="1" ht="18">
      <c r="B39" s="252" t="s">
        <v>95</v>
      </c>
      <c r="C39" s="253"/>
      <c r="D39" s="254"/>
      <c r="E39" s="296" t="s">
        <v>101</v>
      </c>
      <c r="F39" s="297"/>
      <c r="G39" s="273">
        <v>1</v>
      </c>
      <c r="H39" s="273" t="s">
        <v>103</v>
      </c>
      <c r="I39" s="275">
        <v>10000</v>
      </c>
      <c r="J39" s="128">
        <f t="shared" si="2"/>
        <v>10000</v>
      </c>
    </row>
    <row r="40" spans="2:10" s="3" customFormat="1" ht="18">
      <c r="B40" s="288" t="s">
        <v>96</v>
      </c>
      <c r="C40" s="289"/>
      <c r="D40" s="290"/>
      <c r="E40" s="298" t="s">
        <v>102</v>
      </c>
      <c r="F40" s="299"/>
      <c r="G40" s="273">
        <v>1</v>
      </c>
      <c r="H40" s="273" t="s">
        <v>103</v>
      </c>
      <c r="I40" s="274">
        <v>110000</v>
      </c>
      <c r="J40" s="134">
        <f t="shared" si="2"/>
        <v>110000</v>
      </c>
    </row>
    <row r="41" spans="2:12" ht="15.75" customHeight="1">
      <c r="B41" s="193" t="s">
        <v>10</v>
      </c>
      <c r="C41" s="194"/>
      <c r="D41" s="194"/>
      <c r="E41" s="194"/>
      <c r="F41" s="194"/>
      <c r="G41" s="194"/>
      <c r="H41" s="194"/>
      <c r="I41" s="194"/>
      <c r="J41" s="124">
        <f>SUM(J31:J40)</f>
        <v>413000</v>
      </c>
      <c r="K41" s="3"/>
      <c r="L41" s="16"/>
    </row>
    <row r="42" spans="2:12" s="3" customFormat="1" ht="18">
      <c r="B42" s="84"/>
      <c r="C42" s="84"/>
      <c r="D42" s="84"/>
      <c r="E42" s="84"/>
      <c r="F42" s="84"/>
      <c r="G42" s="25"/>
      <c r="H42" s="84"/>
      <c r="I42" s="84"/>
      <c r="J42" s="27"/>
      <c r="L42" s="19"/>
    </row>
    <row r="43" spans="2:12" s="3" customFormat="1" ht="18" customHeight="1">
      <c r="B43" s="189" t="s">
        <v>64</v>
      </c>
      <c r="C43" s="190"/>
      <c r="D43" s="190"/>
      <c r="E43" s="225" t="s">
        <v>35</v>
      </c>
      <c r="F43" s="225"/>
      <c r="G43" s="145" t="s">
        <v>5</v>
      </c>
      <c r="H43" s="146" t="s">
        <v>6</v>
      </c>
      <c r="I43" s="147" t="s">
        <v>41</v>
      </c>
      <c r="J43" s="148" t="s">
        <v>1</v>
      </c>
      <c r="L43" s="24"/>
    </row>
    <row r="44" spans="2:12" s="3" customFormat="1" ht="18">
      <c r="B44" s="261" t="s">
        <v>104</v>
      </c>
      <c r="C44" s="161"/>
      <c r="D44" s="161"/>
      <c r="E44" s="300" t="s">
        <v>105</v>
      </c>
      <c r="F44" s="301"/>
      <c r="G44" s="165">
        <v>150</v>
      </c>
      <c r="H44" s="152" t="s">
        <v>38</v>
      </c>
      <c r="I44" s="127">
        <v>300</v>
      </c>
      <c r="J44" s="127">
        <f>G44*I44</f>
        <v>45000</v>
      </c>
      <c r="L44" s="24"/>
    </row>
    <row r="45" spans="2:12" s="3" customFormat="1" ht="18">
      <c r="B45" s="256"/>
      <c r="C45" s="241"/>
      <c r="D45" s="139"/>
      <c r="E45" s="302"/>
      <c r="F45" s="303"/>
      <c r="G45" s="154"/>
      <c r="H45" s="151"/>
      <c r="I45" s="243"/>
      <c r="J45" s="128"/>
      <c r="L45" s="24"/>
    </row>
    <row r="46" spans="2:12" s="3" customFormat="1" ht="18">
      <c r="B46" s="245" t="s">
        <v>24</v>
      </c>
      <c r="C46" s="160"/>
      <c r="D46" s="160"/>
      <c r="E46" s="302"/>
      <c r="F46" s="303"/>
      <c r="G46" s="154"/>
      <c r="H46" s="151"/>
      <c r="I46" s="128"/>
      <c r="J46" s="128"/>
      <c r="L46" s="24"/>
    </row>
    <row r="47" spans="2:12" s="3" customFormat="1" ht="18">
      <c r="B47" s="256" t="s">
        <v>106</v>
      </c>
      <c r="C47" s="242"/>
      <c r="D47" s="276"/>
      <c r="E47" s="304" t="s">
        <v>105</v>
      </c>
      <c r="F47" s="305"/>
      <c r="G47" s="246">
        <v>190</v>
      </c>
      <c r="H47" s="151" t="s">
        <v>38</v>
      </c>
      <c r="I47" s="243">
        <v>315</v>
      </c>
      <c r="J47" s="128">
        <f>G47*I47</f>
        <v>59850</v>
      </c>
      <c r="L47" s="24"/>
    </row>
    <row r="48" spans="2:12" s="3" customFormat="1" ht="18">
      <c r="B48" s="244" t="s">
        <v>107</v>
      </c>
      <c r="C48" s="242"/>
      <c r="D48" s="276"/>
      <c r="E48" s="304" t="s">
        <v>125</v>
      </c>
      <c r="F48" s="305"/>
      <c r="G48" s="246">
        <v>100</v>
      </c>
      <c r="H48" s="151" t="s">
        <v>38</v>
      </c>
      <c r="I48" s="243">
        <v>296</v>
      </c>
      <c r="J48" s="128">
        <f>G48*I48</f>
        <v>29600</v>
      </c>
      <c r="L48" s="24"/>
    </row>
    <row r="49" spans="2:12" s="3" customFormat="1" ht="18">
      <c r="B49" s="155"/>
      <c r="C49" s="26"/>
      <c r="D49" s="276"/>
      <c r="E49" s="302"/>
      <c r="F49" s="303"/>
      <c r="G49" s="154"/>
      <c r="H49" s="151"/>
      <c r="I49" s="128"/>
      <c r="J49" s="128"/>
      <c r="L49" s="24"/>
    </row>
    <row r="50" spans="2:12" s="3" customFormat="1" ht="18">
      <c r="B50" s="245" t="s">
        <v>52</v>
      </c>
      <c r="C50" s="247"/>
      <c r="D50" s="276"/>
      <c r="E50" s="302"/>
      <c r="F50" s="303"/>
      <c r="G50" s="154"/>
      <c r="H50" s="151"/>
      <c r="I50" s="128"/>
      <c r="J50" s="128"/>
      <c r="L50" s="24"/>
    </row>
    <row r="51" spans="2:12" s="3" customFormat="1" ht="18">
      <c r="B51" s="256" t="s">
        <v>108</v>
      </c>
      <c r="C51" s="247"/>
      <c r="D51" s="276"/>
      <c r="E51" s="306" t="s">
        <v>109</v>
      </c>
      <c r="F51" s="307"/>
      <c r="G51" s="246">
        <v>375</v>
      </c>
      <c r="H51" s="151" t="s">
        <v>54</v>
      </c>
      <c r="I51" s="243">
        <v>17</v>
      </c>
      <c r="J51" s="128">
        <f>G51*I51</f>
        <v>6375</v>
      </c>
      <c r="L51" s="24"/>
    </row>
    <row r="52" spans="2:12" s="3" customFormat="1" ht="18">
      <c r="B52" s="244"/>
      <c r="C52" s="26"/>
      <c r="D52" s="276"/>
      <c r="E52" s="302"/>
      <c r="F52" s="303"/>
      <c r="G52" s="154"/>
      <c r="H52" s="151"/>
      <c r="I52" s="128"/>
      <c r="J52" s="128"/>
      <c r="L52" s="24"/>
    </row>
    <row r="53" spans="2:12" s="3" customFormat="1" ht="18">
      <c r="B53" s="159" t="s">
        <v>25</v>
      </c>
      <c r="C53" s="160"/>
      <c r="D53" s="160"/>
      <c r="E53" s="302"/>
      <c r="F53" s="303"/>
      <c r="G53" s="154"/>
      <c r="H53" s="151"/>
      <c r="I53" s="128"/>
      <c r="J53" s="128"/>
      <c r="L53" s="24"/>
    </row>
    <row r="54" spans="2:12" s="3" customFormat="1" ht="18">
      <c r="B54" s="155" t="s">
        <v>110</v>
      </c>
      <c r="C54" s="156"/>
      <c r="D54" s="258"/>
      <c r="E54" s="308" t="s">
        <v>111</v>
      </c>
      <c r="F54" s="229"/>
      <c r="G54" s="162">
        <v>0.2</v>
      </c>
      <c r="H54" s="246" t="s">
        <v>39</v>
      </c>
      <c r="I54" s="243">
        <v>30300</v>
      </c>
      <c r="J54" s="128">
        <f>G54*I54</f>
        <v>6060</v>
      </c>
      <c r="L54" s="24"/>
    </row>
    <row r="55" spans="2:12" s="3" customFormat="1" ht="18">
      <c r="B55" s="256"/>
      <c r="C55" s="156"/>
      <c r="D55" s="156"/>
      <c r="E55" s="228"/>
      <c r="F55" s="229"/>
      <c r="G55" s="162"/>
      <c r="H55" s="246"/>
      <c r="I55" s="243"/>
      <c r="J55" s="128"/>
      <c r="L55" s="24"/>
    </row>
    <row r="56" spans="2:12" s="3" customFormat="1" ht="18">
      <c r="B56" s="311" t="s">
        <v>51</v>
      </c>
      <c r="C56" s="276"/>
      <c r="D56" s="276"/>
      <c r="E56" s="302"/>
      <c r="F56" s="303"/>
      <c r="G56" s="162"/>
      <c r="H56" s="153"/>
      <c r="I56" s="128"/>
      <c r="J56" s="128"/>
      <c r="L56" s="24"/>
    </row>
    <row r="57" spans="2:12" s="3" customFormat="1" ht="18">
      <c r="B57" s="256" t="s">
        <v>130</v>
      </c>
      <c r="C57" s="242"/>
      <c r="D57" s="257"/>
      <c r="E57" s="306" t="s">
        <v>99</v>
      </c>
      <c r="F57" s="307"/>
      <c r="G57" s="266">
        <v>1</v>
      </c>
      <c r="H57" s="246" t="s">
        <v>39</v>
      </c>
      <c r="I57" s="243">
        <v>5260</v>
      </c>
      <c r="J57" s="128">
        <f>G57*I57</f>
        <v>5260</v>
      </c>
      <c r="L57" s="24"/>
    </row>
    <row r="58" spans="2:12" s="3" customFormat="1" ht="18">
      <c r="B58" s="155" t="s">
        <v>112</v>
      </c>
      <c r="C58" s="156"/>
      <c r="D58" s="258"/>
      <c r="E58" s="304" t="s">
        <v>115</v>
      </c>
      <c r="F58" s="305"/>
      <c r="G58" s="267">
        <v>5</v>
      </c>
      <c r="H58" s="248" t="s">
        <v>39</v>
      </c>
      <c r="I58" s="263">
        <v>12845</v>
      </c>
      <c r="J58" s="128">
        <f>G58*I58</f>
        <v>64225</v>
      </c>
      <c r="L58" s="24"/>
    </row>
    <row r="59" spans="2:12" s="3" customFormat="1" ht="18">
      <c r="B59" s="155" t="s">
        <v>113</v>
      </c>
      <c r="C59" s="156"/>
      <c r="D59" s="258"/>
      <c r="E59" s="308" t="s">
        <v>85</v>
      </c>
      <c r="F59" s="229"/>
      <c r="G59" s="267">
        <v>0.5</v>
      </c>
      <c r="H59" s="246" t="s">
        <v>39</v>
      </c>
      <c r="I59" s="263">
        <v>12500</v>
      </c>
      <c r="J59" s="128">
        <f>G59*I59</f>
        <v>6250</v>
      </c>
      <c r="L59" s="24"/>
    </row>
    <row r="60" spans="2:12" s="3" customFormat="1" ht="18">
      <c r="B60" s="155" t="s">
        <v>114</v>
      </c>
      <c r="C60" s="156"/>
      <c r="D60" s="258"/>
      <c r="E60" s="308" t="s">
        <v>116</v>
      </c>
      <c r="F60" s="229"/>
      <c r="G60" s="267">
        <v>2</v>
      </c>
      <c r="H60" s="246" t="s">
        <v>39</v>
      </c>
      <c r="I60" s="263">
        <v>14640</v>
      </c>
      <c r="J60" s="128">
        <f>G60*I60</f>
        <v>29280</v>
      </c>
      <c r="L60" s="24"/>
    </row>
    <row r="61" spans="2:12" s="3" customFormat="1" ht="19.5" customHeight="1">
      <c r="B61" s="155"/>
      <c r="C61" s="156"/>
      <c r="D61" s="156"/>
      <c r="E61" s="302"/>
      <c r="F61" s="303"/>
      <c r="G61" s="162"/>
      <c r="H61" s="153"/>
      <c r="I61" s="128"/>
      <c r="J61" s="128"/>
      <c r="L61" s="24"/>
    </row>
    <row r="62" spans="2:12" s="3" customFormat="1" ht="18">
      <c r="B62" s="159" t="s">
        <v>55</v>
      </c>
      <c r="C62" s="156"/>
      <c r="D62" s="156"/>
      <c r="E62" s="302"/>
      <c r="F62" s="303"/>
      <c r="G62" s="162"/>
      <c r="H62" s="153"/>
      <c r="I62" s="251"/>
      <c r="J62" s="128"/>
      <c r="L62" s="24"/>
    </row>
    <row r="63" spans="2:12" s="3" customFormat="1" ht="18">
      <c r="B63" s="244" t="s">
        <v>117</v>
      </c>
      <c r="C63" s="156"/>
      <c r="D63" s="156"/>
      <c r="E63" s="304" t="s">
        <v>120</v>
      </c>
      <c r="F63" s="305"/>
      <c r="G63" s="268">
        <f>E13</f>
        <v>65</v>
      </c>
      <c r="H63" s="153" t="s">
        <v>129</v>
      </c>
      <c r="I63" s="264">
        <v>700</v>
      </c>
      <c r="J63" s="128">
        <f>G63*I63</f>
        <v>45500</v>
      </c>
      <c r="L63" s="24"/>
    </row>
    <row r="64" spans="2:12" s="3" customFormat="1" ht="18">
      <c r="B64" s="244" t="s">
        <v>118</v>
      </c>
      <c r="C64" s="156"/>
      <c r="D64" s="156"/>
      <c r="E64" s="304" t="s">
        <v>121</v>
      </c>
      <c r="F64" s="305"/>
      <c r="G64" s="269">
        <v>1</v>
      </c>
      <c r="H64" s="153" t="s">
        <v>103</v>
      </c>
      <c r="I64" s="264">
        <v>20000</v>
      </c>
      <c r="J64" s="128">
        <f>G64*I64</f>
        <v>20000</v>
      </c>
      <c r="L64" s="24"/>
    </row>
    <row r="65" spans="2:12" s="3" customFormat="1" ht="18">
      <c r="B65" s="244" t="s">
        <v>119</v>
      </c>
      <c r="C65" s="156"/>
      <c r="D65" s="156"/>
      <c r="E65" s="304" t="s">
        <v>122</v>
      </c>
      <c r="F65" s="305"/>
      <c r="G65" s="269">
        <f>E13</f>
        <v>65</v>
      </c>
      <c r="H65" s="153" t="s">
        <v>129</v>
      </c>
      <c r="I65" s="264">
        <v>600</v>
      </c>
      <c r="J65" s="128">
        <f>G65*I65</f>
        <v>39000</v>
      </c>
      <c r="L65" s="24"/>
    </row>
    <row r="66" spans="2:12" s="3" customFormat="1" ht="18" customHeight="1">
      <c r="B66" s="286" t="s">
        <v>65</v>
      </c>
      <c r="C66" s="158"/>
      <c r="D66" s="158"/>
      <c r="E66" s="309" t="s">
        <v>123</v>
      </c>
      <c r="F66" s="310"/>
      <c r="G66" s="270">
        <v>1</v>
      </c>
      <c r="H66" s="262" t="s">
        <v>124</v>
      </c>
      <c r="I66" s="265">
        <v>22000</v>
      </c>
      <c r="J66" s="134">
        <f>G66*I66</f>
        <v>22000</v>
      </c>
      <c r="L66" s="24"/>
    </row>
    <row r="67" spans="2:14" ht="18">
      <c r="B67" s="187" t="s">
        <v>11</v>
      </c>
      <c r="C67" s="188"/>
      <c r="D67" s="188"/>
      <c r="E67" s="188"/>
      <c r="F67" s="188"/>
      <c r="G67" s="188"/>
      <c r="H67" s="188"/>
      <c r="I67" s="188"/>
      <c r="J67" s="125">
        <f>SUM(J44:J66)</f>
        <v>378400</v>
      </c>
      <c r="K67" s="16"/>
      <c r="M67" s="16"/>
      <c r="N67" s="16"/>
    </row>
    <row r="68" spans="2:14" s="3" customFormat="1" ht="18">
      <c r="B68" s="29"/>
      <c r="C68" s="29"/>
      <c r="D68" s="29"/>
      <c r="E68" s="29"/>
      <c r="F68" s="29"/>
      <c r="G68" s="30"/>
      <c r="H68" s="29"/>
      <c r="I68" s="29"/>
      <c r="J68" s="31"/>
      <c r="K68" s="16"/>
      <c r="M68" s="16"/>
      <c r="N68" s="16"/>
    </row>
    <row r="69" spans="2:16" ht="18" customHeight="1">
      <c r="B69" s="189" t="s">
        <v>42</v>
      </c>
      <c r="C69" s="190"/>
      <c r="D69" s="190"/>
      <c r="E69" s="223"/>
      <c r="F69" s="223"/>
      <c r="G69" s="145" t="s">
        <v>5</v>
      </c>
      <c r="H69" s="146" t="s">
        <v>6</v>
      </c>
      <c r="I69" s="147"/>
      <c r="J69" s="148" t="s">
        <v>1</v>
      </c>
      <c r="K69" s="16"/>
      <c r="M69" s="16"/>
      <c r="N69" s="16"/>
      <c r="O69" s="9"/>
      <c r="P69" s="9"/>
    </row>
    <row r="70" spans="2:14" s="3" customFormat="1" ht="18">
      <c r="B70" s="277" t="s">
        <v>50</v>
      </c>
      <c r="C70" s="278"/>
      <c r="D70" s="279"/>
      <c r="E70" s="280"/>
      <c r="F70" s="281"/>
      <c r="G70" s="282">
        <v>0.05</v>
      </c>
      <c r="H70" s="283" t="s">
        <v>36</v>
      </c>
      <c r="I70" s="284"/>
      <c r="J70" s="285">
        <f>(J28+J41+J67)*G70</f>
        <v>43927.5</v>
      </c>
      <c r="K70" s="16"/>
      <c r="M70" s="16"/>
      <c r="N70" s="16"/>
    </row>
    <row r="71" spans="11:14" s="3" customFormat="1" ht="18">
      <c r="K71" s="16"/>
      <c r="M71" s="16"/>
      <c r="N71" s="16"/>
    </row>
    <row r="72" spans="2:14" s="3" customFormat="1" ht="18">
      <c r="B72" s="191" t="s">
        <v>43</v>
      </c>
      <c r="C72" s="192"/>
      <c r="D72" s="192"/>
      <c r="E72" s="192"/>
      <c r="F72" s="192"/>
      <c r="G72" s="192"/>
      <c r="H72" s="192"/>
      <c r="I72" s="192"/>
      <c r="J72" s="104">
        <f>J28+J41+J67+J70</f>
        <v>922477.5</v>
      </c>
      <c r="K72" s="16"/>
      <c r="M72" s="16"/>
      <c r="N72" s="16"/>
    </row>
    <row r="73" spans="2:14" s="3" customFormat="1" ht="18">
      <c r="B73" s="131"/>
      <c r="C73" s="131"/>
      <c r="D73" s="131"/>
      <c r="E73" s="131"/>
      <c r="F73" s="131"/>
      <c r="G73" s="32"/>
      <c r="H73" s="131"/>
      <c r="I73" s="131"/>
      <c r="J73" s="27"/>
      <c r="K73" s="16"/>
      <c r="M73" s="16"/>
      <c r="N73" s="16"/>
    </row>
    <row r="74" spans="2:14" s="3" customFormat="1" ht="20.25">
      <c r="B74" s="120" t="s">
        <v>45</v>
      </c>
      <c r="C74" s="119"/>
      <c r="D74" s="119"/>
      <c r="E74" s="20"/>
      <c r="F74" s="20"/>
      <c r="G74" s="21"/>
      <c r="H74" s="22"/>
      <c r="I74" s="23"/>
      <c r="J74" s="23"/>
      <c r="K74" s="16"/>
      <c r="M74" s="16"/>
      <c r="N74" s="16"/>
    </row>
    <row r="75" spans="2:14" s="3" customFormat="1" ht="18" customHeight="1">
      <c r="B75" s="317" t="s">
        <v>31</v>
      </c>
      <c r="C75" s="318"/>
      <c r="D75" s="318"/>
      <c r="E75" s="316"/>
      <c r="F75" s="316"/>
      <c r="G75" s="145" t="s">
        <v>5</v>
      </c>
      <c r="H75" s="146" t="s">
        <v>6</v>
      </c>
      <c r="I75" s="147"/>
      <c r="J75" s="148" t="s">
        <v>1</v>
      </c>
      <c r="K75" s="16"/>
      <c r="M75" s="16"/>
      <c r="N75" s="16"/>
    </row>
    <row r="76" spans="2:15" s="3" customFormat="1" ht="18" customHeight="1">
      <c r="B76" s="287" t="s">
        <v>66</v>
      </c>
      <c r="C76" s="180"/>
      <c r="D76" s="180"/>
      <c r="E76" s="226"/>
      <c r="F76" s="227"/>
      <c r="G76" s="163">
        <f>E16</f>
        <v>0.015</v>
      </c>
      <c r="H76" s="164" t="s">
        <v>36</v>
      </c>
      <c r="I76" s="182"/>
      <c r="J76" s="11">
        <f>J72*E16*E17*0.5</f>
        <v>62267.231250000004</v>
      </c>
      <c r="K76" s="16"/>
      <c r="L76" s="312"/>
      <c r="M76" s="312"/>
      <c r="N76" s="312"/>
      <c r="O76" s="312"/>
    </row>
    <row r="77" spans="2:18" ht="18" customHeight="1" outlineLevel="1">
      <c r="B77" s="168"/>
      <c r="C77" s="156"/>
      <c r="D77" s="156"/>
      <c r="E77" s="178"/>
      <c r="F77" s="174"/>
      <c r="G77" s="175"/>
      <c r="H77" s="180"/>
      <c r="I77" s="183"/>
      <c r="J77" s="259"/>
      <c r="L77"/>
      <c r="M77"/>
      <c r="N77"/>
      <c r="O77"/>
      <c r="P77"/>
      <c r="Q77"/>
      <c r="R77"/>
    </row>
    <row r="78" spans="2:18" ht="18" customHeight="1" outlineLevel="1">
      <c r="B78" s="168"/>
      <c r="C78" s="156"/>
      <c r="D78" s="156"/>
      <c r="E78" s="178"/>
      <c r="F78" s="174"/>
      <c r="G78" s="175"/>
      <c r="H78" s="180"/>
      <c r="I78" s="183"/>
      <c r="J78" s="259"/>
      <c r="L78"/>
      <c r="M78"/>
      <c r="N78"/>
      <c r="O78"/>
      <c r="P78"/>
      <c r="Q78"/>
      <c r="R78"/>
    </row>
    <row r="79" spans="2:18" ht="18" customHeight="1" outlineLevel="1">
      <c r="B79" s="169"/>
      <c r="C79" s="129"/>
      <c r="D79" s="129"/>
      <c r="E79" s="179"/>
      <c r="F79" s="176"/>
      <c r="G79" s="177"/>
      <c r="H79" s="181"/>
      <c r="I79" s="184"/>
      <c r="J79" s="260"/>
      <c r="L79"/>
      <c r="M79"/>
      <c r="N79"/>
      <c r="O79"/>
      <c r="P79"/>
      <c r="Q79"/>
      <c r="R79"/>
    </row>
    <row r="80" spans="2:14" ht="18">
      <c r="B80" s="193" t="s">
        <v>28</v>
      </c>
      <c r="C80" s="194"/>
      <c r="D80" s="194"/>
      <c r="E80" s="194"/>
      <c r="F80" s="194"/>
      <c r="G80" s="194"/>
      <c r="H80" s="194"/>
      <c r="I80" s="194"/>
      <c r="J80" s="104">
        <f>SUM(J76:J79)</f>
        <v>62267.231250000004</v>
      </c>
      <c r="K80" s="16"/>
      <c r="M80" s="16"/>
      <c r="N80" s="16"/>
    </row>
    <row r="81" spans="2:12" s="3" customFormat="1" ht="18">
      <c r="B81" s="84"/>
      <c r="C81" s="84"/>
      <c r="D81" s="84"/>
      <c r="E81" s="84"/>
      <c r="F81" s="84"/>
      <c r="G81" s="25"/>
      <c r="H81" s="84"/>
      <c r="I81" s="84"/>
      <c r="J81" s="27"/>
      <c r="K81" s="16"/>
      <c r="L81" s="16"/>
    </row>
    <row r="82" spans="2:12" ht="18">
      <c r="B82" s="195" t="s">
        <v>13</v>
      </c>
      <c r="C82" s="196"/>
      <c r="D82" s="196"/>
      <c r="E82" s="196"/>
      <c r="F82" s="196"/>
      <c r="G82" s="196"/>
      <c r="H82" s="196"/>
      <c r="I82" s="196"/>
      <c r="J82" s="199">
        <f>J72+J80</f>
        <v>984744.73125</v>
      </c>
      <c r="K82" s="16"/>
      <c r="L82" s="16"/>
    </row>
    <row r="83" spans="2:12" s="3" customFormat="1" ht="18">
      <c r="B83" s="197"/>
      <c r="C83" s="198"/>
      <c r="D83" s="198"/>
      <c r="E83" s="198"/>
      <c r="F83" s="198"/>
      <c r="G83" s="198"/>
      <c r="H83" s="198"/>
      <c r="I83" s="198"/>
      <c r="J83" s="200"/>
      <c r="K83" s="16"/>
      <c r="L83" s="16"/>
    </row>
    <row r="84" spans="2:12" s="3" customFormat="1" ht="18" customHeight="1">
      <c r="B84" s="137"/>
      <c r="C84" s="137"/>
      <c r="D84" s="137"/>
      <c r="E84" s="137"/>
      <c r="F84" s="137"/>
      <c r="G84" s="137"/>
      <c r="H84" s="137"/>
      <c r="I84" s="137"/>
      <c r="J84" s="138"/>
      <c r="K84" s="16"/>
      <c r="L84" s="16"/>
    </row>
    <row r="85" spans="2:12" ht="18" customHeight="1">
      <c r="B85" s="335" t="s">
        <v>67</v>
      </c>
      <c r="C85" s="336"/>
      <c r="D85" s="336"/>
      <c r="E85" s="336"/>
      <c r="F85" s="336"/>
      <c r="G85" s="336"/>
      <c r="H85" s="336"/>
      <c r="I85" s="336"/>
      <c r="J85" s="337"/>
      <c r="K85" s="16"/>
      <c r="L85" s="24"/>
    </row>
    <row r="86" spans="2:12" ht="18" customHeight="1">
      <c r="B86" s="341" t="s">
        <v>40</v>
      </c>
      <c r="C86" s="342"/>
      <c r="D86" s="342"/>
      <c r="E86" s="342"/>
      <c r="F86" s="342"/>
      <c r="G86" s="342"/>
      <c r="H86" s="342"/>
      <c r="I86" s="342"/>
      <c r="J86" s="343"/>
      <c r="K86" s="16"/>
      <c r="L86" s="24"/>
    </row>
    <row r="87" spans="2:12" s="3" customFormat="1" ht="18" customHeight="1">
      <c r="B87" s="238" t="s">
        <v>68</v>
      </c>
      <c r="C87" s="230"/>
      <c r="D87" s="231"/>
      <c r="E87" s="237" t="s">
        <v>70</v>
      </c>
      <c r="F87" s="235"/>
      <c r="G87" s="235"/>
      <c r="H87" s="235"/>
      <c r="I87" s="235"/>
      <c r="J87" s="236"/>
      <c r="K87" s="16"/>
      <c r="L87" s="24"/>
    </row>
    <row r="88" spans="2:12" s="3" customFormat="1" ht="18" customHeight="1">
      <c r="B88" s="232"/>
      <c r="C88" s="233"/>
      <c r="D88" s="234"/>
      <c r="E88" s="205">
        <f>G88*0.9</f>
        <v>18450</v>
      </c>
      <c r="F88" s="202"/>
      <c r="G88" s="207">
        <f>E14</f>
        <v>20500</v>
      </c>
      <c r="H88" s="203"/>
      <c r="I88" s="205">
        <f>G88*1.1</f>
        <v>22550.000000000004</v>
      </c>
      <c r="J88" s="202"/>
      <c r="K88" s="16"/>
      <c r="L88" s="24"/>
    </row>
    <row r="89" spans="2:12" s="3" customFormat="1" ht="18" customHeight="1">
      <c r="B89" s="201"/>
      <c r="C89" s="208">
        <f>+C90*0.9</f>
        <v>58.5</v>
      </c>
      <c r="D89" s="202"/>
      <c r="E89" s="206">
        <f>E$88*$C$89-$J$82</f>
        <v>94580.26875000005</v>
      </c>
      <c r="F89" s="204"/>
      <c r="G89" s="206">
        <f>G$88*$C$89-$J$82</f>
        <v>214505.26875000005</v>
      </c>
      <c r="H89" s="204"/>
      <c r="I89" s="206">
        <f>I$88*$C$89-$J$82</f>
        <v>334430.2687500003</v>
      </c>
      <c r="J89" s="204"/>
      <c r="K89" s="16"/>
      <c r="L89" s="24"/>
    </row>
    <row r="90" spans="2:12" s="3" customFormat="1" ht="18" customHeight="1">
      <c r="B90" s="201"/>
      <c r="C90" s="208">
        <f>+E13</f>
        <v>65</v>
      </c>
      <c r="D90" s="202"/>
      <c r="E90" s="206">
        <f>E$88*$C$90-$J$82</f>
        <v>214505.26875000005</v>
      </c>
      <c r="F90" s="204"/>
      <c r="G90" s="206">
        <f>G$88*$C$90-$J$82</f>
        <v>347755.26875000005</v>
      </c>
      <c r="H90" s="204"/>
      <c r="I90" s="206">
        <f>I$88*$C$90-$J$82</f>
        <v>481005.2687500003</v>
      </c>
      <c r="J90" s="204"/>
      <c r="K90" s="16"/>
      <c r="L90" s="24"/>
    </row>
    <row r="91" spans="2:12" s="3" customFormat="1" ht="18" customHeight="1">
      <c r="B91" s="201"/>
      <c r="C91" s="208">
        <f>+C90*1.1</f>
        <v>71.5</v>
      </c>
      <c r="D91" s="202"/>
      <c r="E91" s="206">
        <f>E$88*$C$91-$J$82</f>
        <v>334430.26875000005</v>
      </c>
      <c r="F91" s="204"/>
      <c r="G91" s="206">
        <f>G$88*$C$91-$J$82</f>
        <v>481005.26875000005</v>
      </c>
      <c r="H91" s="204"/>
      <c r="I91" s="206">
        <f>I$88*$C$91-$J$82</f>
        <v>627580.2687500003</v>
      </c>
      <c r="J91" s="204"/>
      <c r="K91" s="16"/>
      <c r="L91" s="24"/>
    </row>
    <row r="92" spans="2:12" s="3" customFormat="1" ht="18" customHeight="1">
      <c r="B92" s="34"/>
      <c r="C92" s="34"/>
      <c r="D92" s="35"/>
      <c r="E92" s="35"/>
      <c r="F92" s="35"/>
      <c r="G92" s="36"/>
      <c r="H92" s="12"/>
      <c r="I92" s="15"/>
      <c r="J92" s="15"/>
      <c r="K92" s="16"/>
      <c r="L92" s="24"/>
    </row>
    <row r="93" spans="2:12" s="3" customFormat="1" ht="18" customHeight="1">
      <c r="B93" s="319" t="s">
        <v>72</v>
      </c>
      <c r="C93" s="320"/>
      <c r="D93" s="320"/>
      <c r="E93" s="320"/>
      <c r="F93" s="320"/>
      <c r="G93" s="320"/>
      <c r="H93" s="320"/>
      <c r="I93" s="320"/>
      <c r="J93" s="321"/>
      <c r="K93" s="16"/>
      <c r="L93" s="24"/>
    </row>
    <row r="94" spans="2:12" s="3" customFormat="1" ht="18" customHeight="1">
      <c r="B94" s="322"/>
      <c r="C94" s="323"/>
      <c r="D94" s="323"/>
      <c r="E94" s="323"/>
      <c r="F94" s="323"/>
      <c r="G94" s="323"/>
      <c r="H94" s="323"/>
      <c r="I94" s="323"/>
      <c r="J94" s="324"/>
      <c r="K94" s="16"/>
      <c r="L94" s="24"/>
    </row>
    <row r="95" spans="2:12" s="3" customFormat="1" ht="18" customHeight="1">
      <c r="B95" s="209" t="s">
        <v>68</v>
      </c>
      <c r="C95" s="210"/>
      <c r="D95" s="210"/>
      <c r="E95" s="171">
        <f>G95*0.9</f>
        <v>58.5</v>
      </c>
      <c r="F95" s="210"/>
      <c r="G95" s="171">
        <f>E13</f>
        <v>65</v>
      </c>
      <c r="H95" s="210"/>
      <c r="I95" s="171">
        <f>G95*1.1</f>
        <v>71.5</v>
      </c>
      <c r="J95" s="217"/>
      <c r="K95" s="16"/>
      <c r="L95" s="24"/>
    </row>
    <row r="96" spans="2:12" ht="18" customHeight="1">
      <c r="B96" s="211"/>
      <c r="C96" s="212"/>
      <c r="D96" s="212"/>
      <c r="E96" s="172"/>
      <c r="F96" s="212"/>
      <c r="G96" s="172"/>
      <c r="H96" s="212"/>
      <c r="I96" s="172"/>
      <c r="J96" s="218"/>
      <c r="K96" s="16"/>
      <c r="L96" s="24"/>
    </row>
    <row r="97" spans="2:12" ht="18" customHeight="1">
      <c r="B97" s="213" t="s">
        <v>69</v>
      </c>
      <c r="C97" s="214"/>
      <c r="D97" s="214"/>
      <c r="E97" s="170">
        <f>$J$82/E95</f>
        <v>16833.24326923077</v>
      </c>
      <c r="F97" s="219"/>
      <c r="G97" s="170">
        <f>$J$82/G95</f>
        <v>15149.918942307691</v>
      </c>
      <c r="H97" s="219"/>
      <c r="I97" s="170">
        <f>$J$82/I95</f>
        <v>13772.653583916082</v>
      </c>
      <c r="J97" s="221"/>
      <c r="K97" s="16"/>
      <c r="L97" s="24"/>
    </row>
    <row r="98" spans="2:12" ht="18" customHeight="1">
      <c r="B98" s="215"/>
      <c r="C98" s="216"/>
      <c r="D98" s="216"/>
      <c r="E98" s="220"/>
      <c r="F98" s="220"/>
      <c r="G98" s="220"/>
      <c r="H98" s="220"/>
      <c r="I98" s="220"/>
      <c r="J98" s="222"/>
      <c r="K98" s="16"/>
      <c r="L98" s="24"/>
    </row>
    <row r="99" spans="2:12" ht="18" customHeight="1">
      <c r="B99" s="46"/>
      <c r="C99" s="1"/>
      <c r="D99" s="3"/>
      <c r="E99" s="3"/>
      <c r="F99" s="105"/>
      <c r="G99" s="105"/>
      <c r="H99" s="105"/>
      <c r="I99" s="15"/>
      <c r="J99" s="15"/>
      <c r="K99" s="16"/>
      <c r="L99" s="24"/>
    </row>
    <row r="100" spans="2:11" s="3" customFormat="1" ht="18" customHeight="1">
      <c r="B100" s="313" t="s">
        <v>15</v>
      </c>
      <c r="C100" s="314"/>
      <c r="D100" s="314"/>
      <c r="E100" s="314"/>
      <c r="F100" s="314"/>
      <c r="G100" s="314"/>
      <c r="H100" s="314"/>
      <c r="I100" s="314"/>
      <c r="J100" s="315"/>
      <c r="K100" s="80"/>
    </row>
    <row r="101" spans="2:14" s="3" customFormat="1" ht="18.75" customHeight="1">
      <c r="B101" s="326" t="s">
        <v>127</v>
      </c>
      <c r="C101" s="327"/>
      <c r="D101" s="327"/>
      <c r="E101" s="327"/>
      <c r="F101" s="327"/>
      <c r="G101" s="327"/>
      <c r="H101" s="327"/>
      <c r="I101" s="327"/>
      <c r="J101" s="328"/>
      <c r="K101" s="80"/>
      <c r="N101" s="106"/>
    </row>
    <row r="102" spans="2:11" s="3" customFormat="1" ht="15.75" customHeight="1">
      <c r="B102" s="326" t="s">
        <v>56</v>
      </c>
      <c r="C102" s="327"/>
      <c r="D102" s="327"/>
      <c r="E102" s="327"/>
      <c r="F102" s="327"/>
      <c r="G102" s="327"/>
      <c r="H102" s="327"/>
      <c r="I102" s="327"/>
      <c r="J102" s="328"/>
      <c r="K102" s="81"/>
    </row>
    <row r="103" spans="2:11" s="3" customFormat="1" ht="40.5" customHeight="1">
      <c r="B103" s="326" t="s">
        <v>57</v>
      </c>
      <c r="C103" s="327"/>
      <c r="D103" s="327"/>
      <c r="E103" s="327"/>
      <c r="F103" s="327"/>
      <c r="G103" s="327"/>
      <c r="H103" s="327"/>
      <c r="I103" s="327"/>
      <c r="J103" s="328"/>
      <c r="K103" s="81"/>
    </row>
    <row r="104" spans="2:11" s="3" customFormat="1" ht="16.5" customHeight="1">
      <c r="B104" s="329" t="s">
        <v>58</v>
      </c>
      <c r="C104" s="330"/>
      <c r="D104" s="330"/>
      <c r="E104" s="330"/>
      <c r="F104" s="330"/>
      <c r="G104" s="330"/>
      <c r="H104" s="330"/>
      <c r="I104" s="330"/>
      <c r="J104" s="331"/>
      <c r="K104" s="80"/>
    </row>
    <row r="105" spans="2:11" s="3" customFormat="1" ht="18" customHeight="1">
      <c r="B105" s="326" t="s">
        <v>60</v>
      </c>
      <c r="C105" s="327"/>
      <c r="D105" s="327"/>
      <c r="E105" s="327"/>
      <c r="F105" s="327"/>
      <c r="G105" s="327"/>
      <c r="H105" s="327"/>
      <c r="I105" s="327"/>
      <c r="J105" s="328"/>
      <c r="K105" s="80"/>
    </row>
    <row r="106" spans="2:11" s="3" customFormat="1" ht="18">
      <c r="B106" s="332" t="s">
        <v>59</v>
      </c>
      <c r="C106" s="333"/>
      <c r="D106" s="333"/>
      <c r="E106" s="333"/>
      <c r="F106" s="333"/>
      <c r="G106" s="333"/>
      <c r="H106" s="333"/>
      <c r="I106" s="333"/>
      <c r="J106" s="334"/>
      <c r="K106" s="80"/>
    </row>
    <row r="107" spans="2:11" s="3" customFormat="1" ht="18.75" customHeight="1">
      <c r="B107" s="338" t="s">
        <v>61</v>
      </c>
      <c r="C107" s="339"/>
      <c r="D107" s="339"/>
      <c r="E107" s="339"/>
      <c r="F107" s="339"/>
      <c r="G107" s="339"/>
      <c r="H107" s="339"/>
      <c r="I107" s="339"/>
      <c r="J107" s="340"/>
      <c r="K107" s="80"/>
    </row>
    <row r="108" spans="2:11" s="3" customFormat="1" ht="18" customHeight="1">
      <c r="B108" s="140"/>
      <c r="C108" s="140"/>
      <c r="D108" s="140"/>
      <c r="E108" s="140"/>
      <c r="F108" s="140"/>
      <c r="G108" s="140"/>
      <c r="H108" s="140"/>
      <c r="I108" s="140"/>
      <c r="J108" s="140"/>
      <c r="K108" s="81"/>
    </row>
    <row r="109" spans="2:11" s="3" customFormat="1" ht="18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3"/>
    </row>
    <row r="110" spans="2:11" s="3" customFormat="1" ht="16.5" customHeight="1">
      <c r="B110" s="39"/>
      <c r="C110" s="39"/>
      <c r="D110" s="39"/>
      <c r="E110" s="39"/>
      <c r="F110" s="39"/>
      <c r="G110" s="40"/>
      <c r="H110" s="39"/>
      <c r="I110" s="39"/>
      <c r="J110" s="39"/>
      <c r="K110" s="9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ht="18">
      <c r="B119" s="56"/>
      <c r="C119" s="56"/>
      <c r="D119" s="57"/>
      <c r="E119" s="57"/>
      <c r="F119" s="58"/>
      <c r="G119" s="58"/>
      <c r="H119" s="58"/>
      <c r="I119" s="67"/>
      <c r="J119" s="67"/>
      <c r="K119" s="69"/>
      <c r="L119" s="67"/>
    </row>
    <row r="120" spans="2:12" ht="18">
      <c r="B120" s="56"/>
      <c r="C120" s="59"/>
      <c r="D120" s="59"/>
      <c r="E120" s="60"/>
      <c r="F120" s="59"/>
      <c r="G120" s="61"/>
      <c r="H120" s="62"/>
      <c r="I120" s="67"/>
      <c r="J120" s="67"/>
      <c r="K120" s="69"/>
      <c r="L120" s="67"/>
    </row>
    <row r="121" spans="2:12" ht="18">
      <c r="B121" s="57"/>
      <c r="C121" s="57"/>
      <c r="D121" s="57"/>
      <c r="E121" s="57"/>
      <c r="F121" s="57"/>
      <c r="G121" s="57"/>
      <c r="H121" s="57"/>
      <c r="I121" s="67"/>
      <c r="J121" s="67"/>
      <c r="K121" s="69"/>
      <c r="L121" s="67"/>
    </row>
    <row r="122" spans="2:12" ht="18">
      <c r="B122" s="56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70"/>
      <c r="C123" s="71"/>
      <c r="D123" s="71"/>
      <c r="E123" s="63"/>
      <c r="F123" s="63"/>
      <c r="G123" s="63"/>
      <c r="H123" s="63"/>
      <c r="I123" s="67"/>
      <c r="J123" s="69"/>
      <c r="K123" s="69"/>
      <c r="L123" s="67"/>
    </row>
    <row r="124" spans="2:12" ht="18">
      <c r="B124" s="70"/>
      <c r="C124" s="71"/>
      <c r="D124" s="71"/>
      <c r="E124" s="63"/>
      <c r="F124" s="63"/>
      <c r="G124" s="63"/>
      <c r="H124" s="63"/>
      <c r="I124" s="67"/>
      <c r="J124" s="69"/>
      <c r="K124" s="69"/>
      <c r="L124" s="67"/>
    </row>
    <row r="125" spans="2:12" ht="18">
      <c r="B125" s="64"/>
      <c r="C125" s="65"/>
      <c r="D125" s="65"/>
      <c r="E125" s="64"/>
      <c r="F125" s="64"/>
      <c r="G125" s="64"/>
      <c r="H125" s="66"/>
      <c r="I125" s="67"/>
      <c r="J125" s="67"/>
      <c r="K125" s="69"/>
      <c r="L125" s="67"/>
    </row>
    <row r="126" spans="2:12" ht="18">
      <c r="B126" s="57"/>
      <c r="C126" s="57"/>
      <c r="D126" s="57"/>
      <c r="E126" s="57"/>
      <c r="F126" s="57"/>
      <c r="G126" s="57"/>
      <c r="H126" s="57"/>
      <c r="I126" s="67"/>
      <c r="J126" s="67"/>
      <c r="K126" s="69"/>
      <c r="L126" s="67"/>
    </row>
    <row r="127" spans="2:12" ht="18">
      <c r="B127" s="56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325"/>
      <c r="C130" s="325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64"/>
      <c r="C141" s="65"/>
      <c r="D141" s="65"/>
      <c r="E141" s="64"/>
      <c r="F141" s="64"/>
      <c r="G141" s="64"/>
      <c r="H141" s="66"/>
      <c r="I141" s="67"/>
      <c r="J141" s="67"/>
      <c r="K141" s="69"/>
      <c r="L141" s="67"/>
    </row>
    <row r="142" spans="2:12" ht="18">
      <c r="B142" s="57"/>
      <c r="C142" s="57"/>
      <c r="D142" s="57"/>
      <c r="E142" s="57"/>
      <c r="F142" s="57"/>
      <c r="G142" s="57"/>
      <c r="H142" s="57"/>
      <c r="I142" s="67"/>
      <c r="J142" s="67"/>
      <c r="K142" s="69"/>
      <c r="L142" s="67"/>
    </row>
    <row r="143" spans="2:12" ht="18">
      <c r="B143" s="64"/>
      <c r="C143" s="65"/>
      <c r="D143" s="65"/>
      <c r="E143" s="64"/>
      <c r="F143" s="64"/>
      <c r="G143" s="64"/>
      <c r="H143" s="66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77"/>
      <c r="C154" s="77"/>
      <c r="D154" s="77"/>
      <c r="E154" s="77"/>
      <c r="F154" s="7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9"/>
      <c r="D157" s="69"/>
      <c r="E157" s="69"/>
      <c r="F157" s="69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9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9"/>
      <c r="D164" s="69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8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9"/>
      <c r="C177" s="69"/>
      <c r="D177" s="69"/>
      <c r="E177" s="69"/>
      <c r="F177" s="69"/>
      <c r="G177" s="69"/>
      <c r="H177" s="69"/>
      <c r="I177" s="69"/>
      <c r="J177" s="67"/>
      <c r="K177" s="69"/>
      <c r="L177" s="67"/>
    </row>
    <row r="178" spans="2:12" s="3" customFormat="1" ht="15">
      <c r="B178" s="69"/>
      <c r="C178" s="69"/>
      <c r="D178" s="69"/>
      <c r="E178" s="69"/>
      <c r="F178" s="69"/>
      <c r="G178" s="78"/>
      <c r="H178" s="69"/>
      <c r="I178" s="69"/>
      <c r="J178" s="67"/>
      <c r="K178" s="69"/>
      <c r="L178" s="78"/>
    </row>
    <row r="179" spans="2:12" s="3" customFormat="1" ht="15">
      <c r="B179" s="69"/>
      <c r="C179" s="69"/>
      <c r="D179" s="69"/>
      <c r="E179" s="69"/>
      <c r="F179" s="69"/>
      <c r="G179" s="69"/>
      <c r="H179" s="69"/>
      <c r="I179" s="7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</sheetData>
  <sheetProtection/>
  <mergeCells count="22">
    <mergeCell ref="E20:F20"/>
    <mergeCell ref="D6:J6"/>
    <mergeCell ref="B107:J107"/>
    <mergeCell ref="B86:J86"/>
    <mergeCell ref="B103:J103"/>
    <mergeCell ref="B105:J105"/>
    <mergeCell ref="B102:J102"/>
    <mergeCell ref="D2:J2"/>
    <mergeCell ref="D3:J3"/>
    <mergeCell ref="D4:J4"/>
    <mergeCell ref="B12:E12"/>
    <mergeCell ref="G12:J12"/>
    <mergeCell ref="L76:O76"/>
    <mergeCell ref="B100:J100"/>
    <mergeCell ref="E75:F75"/>
    <mergeCell ref="B75:D75"/>
    <mergeCell ref="B93:J94"/>
    <mergeCell ref="B130:C130"/>
    <mergeCell ref="B101:J101"/>
    <mergeCell ref="B104:J104"/>
    <mergeCell ref="B106:J106"/>
    <mergeCell ref="B85:J8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(('Arroz 2018-19 Media Tec. Maule'!E13-45000)/45000)+1</f>
        <v>0.0014444444444444704</v>
      </c>
    </row>
    <row r="3" ht="18">
      <c r="B3" s="13"/>
    </row>
    <row r="4" spans="2:3" ht="18">
      <c r="B4" s="356" t="s">
        <v>18</v>
      </c>
      <c r="C4" s="356"/>
    </row>
    <row r="5" spans="2:5" ht="18">
      <c r="B5" s="82" t="s">
        <v>32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57" t="s">
        <v>14</v>
      </c>
      <c r="C14" s="357"/>
      <c r="D14" s="357"/>
    </row>
    <row r="16" spans="2:4" ht="18">
      <c r="B16" s="49" t="s">
        <v>16</v>
      </c>
      <c r="C16" s="48">
        <f>'Arroz 2018-19 Media Tec. Maule'!B89</f>
        <v>0</v>
      </c>
      <c r="D16" s="48">
        <f>'Arroz 2018-19 Media Tec. Maule'!B91</f>
        <v>0</v>
      </c>
    </row>
    <row r="17" ht="15">
      <c r="B17" s="24"/>
    </row>
    <row r="18" spans="2:4" ht="15">
      <c r="B18" s="47" t="s">
        <v>17</v>
      </c>
      <c r="C18" s="50">
        <f>((C16-'Arroz 2018-19 Media Tec. Maule'!E13)/'Arroz 2018-19 Media Tec. Maule'!E13)+1</f>
        <v>0</v>
      </c>
      <c r="D18" s="50">
        <f>((D16-'Arroz 2018-19 Media Tec. Maule'!E13)/'Arroz 2018-19 Media Tec. Maule'!E13)+1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SUM('Arroz 2018-19 Media Tec. Maule'!J22:J26)</f>
        <v>72650</v>
      </c>
      <c r="D21" s="9">
        <f>SUM('Arroz 2018-19 Media Tec. Maule'!J22:J26)</f>
        <v>72650</v>
      </c>
    </row>
    <row r="22" spans="2:4" ht="18">
      <c r="B22" s="51" t="s">
        <v>20</v>
      </c>
      <c r="C22" s="52">
        <f>C18*'Arroz 2018-19 Media Tec. Maule'!G27*'Arroz 2018-19 Media Tec. Maule'!I27</f>
        <v>0</v>
      </c>
      <c r="D22" s="52">
        <f>D18*'Arroz 2018-19 Media Tec. Maule'!G27*'Arroz 2018-19 Media Tec. Maule'!I27</f>
        <v>0</v>
      </c>
    </row>
    <row r="23" spans="2:4" ht="18">
      <c r="B23" s="17" t="s">
        <v>21</v>
      </c>
      <c r="C23" s="9">
        <f>SUM(C21:C22)</f>
        <v>72650</v>
      </c>
      <c r="D23" s="9">
        <f>SUM(D21:D22)</f>
        <v>72650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SUM('Arroz 2018-19 Media Tec. Maule'!J31:J40)</f>
        <v>413000</v>
      </c>
      <c r="D26" s="9">
        <f>SUM('Arroz 2018-19 Media Tec. Maule'!J31:J40)</f>
        <v>413000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413000</v>
      </c>
      <c r="D28" s="9">
        <f>SUM(D26:D27)</f>
        <v>413000</v>
      </c>
    </row>
    <row r="30" ht="18">
      <c r="B30" s="49" t="s">
        <v>22</v>
      </c>
    </row>
    <row r="31" spans="2:4" ht="18">
      <c r="B31" s="17" t="s">
        <v>19</v>
      </c>
      <c r="C31" s="9">
        <f>SUM('Arroz 2018-19 Media Tec. Maule'!J44:J66)</f>
        <v>378400</v>
      </c>
      <c r="D31" s="9">
        <f>SUM('Arroz 2018-19 Media Tec. Maule'!J44:J66)</f>
        <v>378400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378400</v>
      </c>
      <c r="D33" s="9">
        <f>SUM(D31:D32)</f>
        <v>378400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864050</v>
      </c>
      <c r="D35" s="55">
        <f>D23+D28+D33</f>
        <v>864050</v>
      </c>
    </row>
    <row r="36" ht="15">
      <c r="B36" s="24"/>
    </row>
    <row r="37" spans="2:4" ht="18">
      <c r="B37" s="53" t="s">
        <v>0</v>
      </c>
      <c r="C37" s="9">
        <f>C35*'Arroz 2018-19 Media Tec. Maule'!G70</f>
        <v>43202.5</v>
      </c>
      <c r="D37" s="9">
        <f>D35*D18*'Arroz 2018-19 Media Tec. Maule'!G70</f>
        <v>0</v>
      </c>
    </row>
    <row r="38" spans="2:4" ht="18">
      <c r="B38" s="53" t="s">
        <v>12</v>
      </c>
      <c r="C38" s="9">
        <f>C35*'Arroz 2018-19 Media Tec. Maule'!E16*'Arroz 2018-19 Media Tec. Maule'!E17*0.5</f>
        <v>58323.375</v>
      </c>
      <c r="D38" s="9">
        <f>D35*'Arroz 2018-19 Media Tec. Maule'!E16*'Arroz 2018-19 Media Tec. Maule'!E17*0.5</f>
        <v>58323.375</v>
      </c>
    </row>
    <row r="39" ht="15">
      <c r="B39" s="24"/>
    </row>
    <row r="40" spans="2:4" ht="18">
      <c r="B40" s="54" t="s">
        <v>13</v>
      </c>
      <c r="C40" s="55">
        <f>C35+C37+C38</f>
        <v>965575.875</v>
      </c>
      <c r="D40" s="55">
        <f>D35+D37+D38</f>
        <v>922373.375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2019-11-07T19:16:20Z</dcterms:modified>
  <cp:category/>
  <cp:version/>
  <cp:contentType/>
  <cp:contentStatus/>
</cp:coreProperties>
</file>