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roz 2019-20 Media Tec. Maule" sheetId="1" r:id="rId1"/>
    <sheet name="Hoja1" sheetId="2" state="hidden" r:id="rId2"/>
  </sheets>
  <definedNames>
    <definedName name="_xlnm.Print_Area" localSheetId="0">'Arroz 2019-20 Media Tec. Maule'!$A$1:$K$98</definedName>
  </definedNames>
  <calcPr fullCalcOnLoad="1"/>
</workbook>
</file>

<file path=xl/sharedStrings.xml><?xml version="1.0" encoding="utf-8"?>
<sst xmlns="http://schemas.openxmlformats.org/spreadsheetml/2006/main" count="173" uniqueCount="119">
  <si>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</si>
  <si>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</si>
  <si>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</si>
  <si>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</si>
  <si>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</si>
  <si>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</si>
  <si>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</si>
  <si>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</si>
  <si>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</si>
  <si>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</si>
  <si>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</si>
  <si>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</si>
  <si>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</si>
  <si>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</si>
  <si>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</si>
  <si>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</si>
  <si>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</si>
  <si>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</si>
  <si>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</si>
  <si>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</si>
  <si>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</si>
  <si>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</si>
  <si>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</si>
  <si>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</si>
  <si>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</si>
  <si>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</si>
  <si>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</si>
  <si>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</si>
  <si>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</si>
  <si>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</si>
  <si>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</si>
  <si>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</si>
  <si>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</si>
  <si>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</si>
  <si>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</si>
  <si>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</si>
  <si>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</si>
  <si>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</si>
  <si>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</si>
  <si>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</si>
  <si>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</si>
  <si>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</si>
  <si>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</si>
  <si>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</si>
  <si>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</si>
  <si>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</si>
  <si>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</si>
  <si>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</si>
  <si>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</si>
  <si>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</si>
  <si>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</si>
  <si>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Otros:</t>
  </si>
  <si>
    <t>Rendimiento (quintales/hectárea)</t>
  </si>
  <si>
    <t>Costo unitario ($/quintal)</t>
  </si>
  <si>
    <t>Precio ($/quintal)</t>
  </si>
  <si>
    <t>Rendimiento (quintales/hectárea):</t>
  </si>
  <si>
    <t>Fecha de siembra: octubre</t>
  </si>
  <si>
    <t>Variedad: Diamante INIA, Zafiro - INIA.</t>
  </si>
  <si>
    <t xml:space="preserve">Fecha de cosecha: abril-mayo </t>
  </si>
  <si>
    <t>Limpieza de canales</t>
  </si>
  <si>
    <t>Presiembra (pega pretil, llenado, fangueo, preger)</t>
  </si>
  <si>
    <t xml:space="preserve">Riegos </t>
  </si>
  <si>
    <t xml:space="preserve">Maquina pretilera </t>
  </si>
  <si>
    <t>Rotura de suelo</t>
  </si>
  <si>
    <t>Rastraje</t>
  </si>
  <si>
    <t>Tecnología: media</t>
  </si>
  <si>
    <t>Región del Maule</t>
  </si>
  <si>
    <t>Densidad (plantas/hectárea):sin información</t>
  </si>
  <si>
    <t>hectárea</t>
  </si>
  <si>
    <t>análisis</t>
  </si>
  <si>
    <t>Destino de producción:mercado nacional</t>
  </si>
  <si>
    <t>quintal</t>
  </si>
  <si>
    <t>septiembre-octubre</t>
  </si>
  <si>
    <t>octubre-noviembre</t>
  </si>
  <si>
    <t>octubre-febrero</t>
  </si>
  <si>
    <t>junio-agosto</t>
  </si>
  <si>
    <t>octubre</t>
  </si>
  <si>
    <t>marzo-abril</t>
  </si>
  <si>
    <t>agosto-septiembre</t>
  </si>
  <si>
    <t>noviembre-diciembre</t>
  </si>
  <si>
    <t>abril-mayo</t>
  </si>
  <si>
    <t>anual</t>
  </si>
  <si>
    <t>marzo-mayo</t>
  </si>
  <si>
    <t>junio-octubre</t>
  </si>
  <si>
    <t>1 hectárea julio 2020</t>
  </si>
  <si>
    <t>Reforzado de pretiles</t>
  </si>
  <si>
    <t>aación</t>
  </si>
  <si>
    <t>Siembra(al voleo)</t>
  </si>
  <si>
    <t>Aplicación herbicidas (1ra especializada)</t>
  </si>
  <si>
    <t>Aplicación herbicidas (2da especializada)</t>
  </si>
  <si>
    <t>Aplicación fertilizante</t>
  </si>
  <si>
    <t>Cosecha automotriz</t>
  </si>
  <si>
    <t>Trompo(aplicación nitrogeno)</t>
  </si>
  <si>
    <r>
      <t>Arroz ( Oryza sativa L.)</t>
    </r>
    <r>
      <rPr>
        <b/>
        <vertAlign val="superscript"/>
        <sz val="15"/>
        <rFont val="Arial"/>
        <family val="2"/>
      </rPr>
      <t>(1)</t>
    </r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</si>
  <si>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</si>
  <si>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</si>
  <si>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</si>
  <si>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</si>
  <si>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</si>
  <si>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</si>
  <si>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arroz.</t>
  </si>
  <si>
    <t>(2) El precio del arroz utilizado en el análisis de sensibilidad corresponde al precio promedio regional durante la temporada 2019/2020.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</si>
  <si>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</si>
  <si>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</si>
  <si>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</si>
  <si>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</si>
  <si>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</si>
  <si>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 xml:space="preserve">Tecnología de riego: </t>
    </r>
    <r>
      <rPr>
        <b/>
        <sz val="14"/>
        <rFont val="Arial"/>
        <family val="2"/>
      </rPr>
      <t>tradicional (pre germinado)</t>
    </r>
  </si>
  <si>
    <t xml:space="preserve"> Semilla</t>
  </si>
  <si>
    <t xml:space="preserve"> Mezcla arroz(15-20-20)</t>
  </si>
  <si>
    <t xml:space="preserve"> Urea</t>
  </si>
  <si>
    <t xml:space="preserve"> Molinate 75 EC</t>
  </si>
  <si>
    <t xml:space="preserve"> Sal Dimetilamina de MCPA 75%</t>
  </si>
  <si>
    <t xml:space="preserve"> Basagran  480</t>
  </si>
  <si>
    <t xml:space="preserve"> Flete insumo-producto</t>
  </si>
  <si>
    <t xml:space="preserve"> Agua</t>
  </si>
  <si>
    <t xml:space="preserve"> Secado a 15%</t>
  </si>
  <si>
    <r>
      <t xml:space="preserve"> Análisis de suelo  </t>
    </r>
    <r>
      <rPr>
        <vertAlign val="superscript"/>
        <sz val="14"/>
        <rFont val="Arial"/>
        <family val="2"/>
      </rPr>
      <t>(5)</t>
    </r>
  </si>
  <si>
    <t>(3) Representa un valor promedio de arriendo en la región.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</si>
</sst>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5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>
      <alignment horizontal="right"/>
      <protection/>
    </xf>
    <xf numFmtId="180" fontId="10" fillId="34" borderId="23" xfId="67" applyFont="1" applyFill="1" applyBorder="1" applyAlignment="1">
      <alignment horizontal="center"/>
      <protection/>
    </xf>
    <xf numFmtId="3" fontId="10" fillId="34" borderId="1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3" xfId="56" applyNumberFormat="1" applyFont="1" applyFill="1" applyBorder="1" applyAlignment="1" applyProtection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1" fontId="10" fillId="0" borderId="19" xfId="56" applyNumberFormat="1" applyFont="1" applyFill="1" applyBorder="1" applyAlignment="1" applyProtection="1">
      <alignment horizontal="center"/>
      <protection/>
    </xf>
    <xf numFmtId="181" fontId="10" fillId="0" borderId="15" xfId="56" applyNumberFormat="1" applyFont="1" applyFill="1" applyBorder="1" applyAlignment="1" applyProtection="1">
      <alignment horizontal="center"/>
      <protection/>
    </xf>
    <xf numFmtId="181" fontId="10" fillId="0" borderId="11" xfId="56" applyNumberFormat="1" applyFont="1" applyFill="1" applyBorder="1" applyAlignment="1" applyProtection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/>
    </xf>
    <xf numFmtId="3" fontId="10" fillId="34" borderId="1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10" fillId="0" borderId="0" xfId="56" applyFont="1" applyFill="1" applyBorder="1" applyAlignment="1">
      <alignment horizontal="left" indent="3"/>
      <protection/>
    </xf>
    <xf numFmtId="0" fontId="10" fillId="0" borderId="13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vertical="center" indent="3"/>
      <protection/>
    </xf>
    <xf numFmtId="0" fontId="10" fillId="34" borderId="18" xfId="56" applyFont="1" applyFill="1" applyBorder="1" applyAlignment="1">
      <alignment horizontal="left" vertical="center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34" borderId="0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vertical="center" indent="3"/>
      <protection/>
    </xf>
    <xf numFmtId="0" fontId="10" fillId="34" borderId="16" xfId="56" applyFont="1" applyFill="1" applyBorder="1" applyAlignment="1">
      <alignment horizontal="left" vertical="center" indent="3"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>
      <alignment/>
      <protection/>
    </xf>
    <xf numFmtId="181" fontId="10" fillId="0" borderId="21" xfId="56" applyNumberFormat="1" applyFont="1" applyBorder="1" applyAlignment="1">
      <alignment horizontal="center"/>
      <protection/>
    </xf>
    <xf numFmtId="181" fontId="10" fillId="0" borderId="22" xfId="56" applyNumberFormat="1" applyFont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2</xdr:col>
      <xdr:colOff>628650</xdr:colOff>
      <xdr:row>97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412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0"/>
  <sheetViews>
    <sheetView showGridLines="0" tabSelected="1" view="pageBreakPreview" zoomScale="75" zoomScaleNormal="70" zoomScaleSheetLayoutView="7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8"/>
      <c r="C2" s="138"/>
      <c r="D2" s="301" t="s">
        <v>32</v>
      </c>
      <c r="E2" s="301"/>
      <c r="F2" s="301"/>
      <c r="G2" s="301"/>
      <c r="H2" s="301"/>
      <c r="I2" s="301"/>
      <c r="J2" s="301"/>
    </row>
    <row r="3" spans="2:11" s="3" customFormat="1" ht="18" customHeight="1">
      <c r="B3" s="94"/>
      <c r="C3" s="117"/>
      <c r="D3" s="302" t="s">
        <v>93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94"/>
      <c r="C4" s="117"/>
      <c r="D4" s="302" t="s">
        <v>66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41" t="s">
        <v>28</v>
      </c>
      <c r="E6" s="342"/>
      <c r="F6" s="342"/>
      <c r="G6" s="342"/>
      <c r="H6" s="342"/>
      <c r="I6" s="342"/>
      <c r="J6" s="343"/>
      <c r="K6" s="16"/>
    </row>
    <row r="7" spans="2:11" s="3" customFormat="1" ht="18" customHeight="1">
      <c r="B7" s="42"/>
      <c r="C7" s="42"/>
      <c r="D7" s="85" t="s">
        <v>84</v>
      </c>
      <c r="E7" s="86"/>
      <c r="F7" s="86"/>
      <c r="G7" s="87" t="s">
        <v>57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107</v>
      </c>
      <c r="E8" s="92"/>
      <c r="F8" s="92"/>
      <c r="G8" s="93" t="s">
        <v>70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67</v>
      </c>
      <c r="E9" s="154"/>
      <c r="F9" s="92"/>
      <c r="G9" s="93" t="s">
        <v>65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56</v>
      </c>
      <c r="E10" s="98"/>
      <c r="F10" s="98"/>
      <c r="G10" s="99" t="s">
        <v>58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03" t="s">
        <v>29</v>
      </c>
      <c r="C12" s="304"/>
      <c r="D12" s="304"/>
      <c r="E12" s="305"/>
      <c r="F12" s="41"/>
      <c r="G12" s="306" t="s">
        <v>4</v>
      </c>
      <c r="H12" s="307"/>
      <c r="I12" s="307"/>
      <c r="J12" s="308"/>
      <c r="K12" s="16"/>
    </row>
    <row r="13" spans="2:11" ht="18">
      <c r="B13" s="107" t="s">
        <v>55</v>
      </c>
      <c r="C13" s="108"/>
      <c r="D13" s="86"/>
      <c r="E13" s="109">
        <v>65</v>
      </c>
      <c r="F13" s="42"/>
      <c r="G13" s="113" t="s">
        <v>46</v>
      </c>
      <c r="H13" s="86"/>
      <c r="I13" s="86"/>
      <c r="J13" s="139">
        <f>E13*E14</f>
        <v>1722500</v>
      </c>
      <c r="K13" s="16"/>
    </row>
    <row r="14" spans="2:13" ht="18" customHeight="1">
      <c r="B14" s="179" t="s">
        <v>94</v>
      </c>
      <c r="C14" s="180"/>
      <c r="D14" s="180"/>
      <c r="E14" s="201">
        <v>26500</v>
      </c>
      <c r="F14" s="42"/>
      <c r="G14" s="114" t="s">
        <v>43</v>
      </c>
      <c r="H14" s="42"/>
      <c r="I14" s="42"/>
      <c r="J14" s="140">
        <f>J30+J38+J54+J57</f>
        <v>922236.525</v>
      </c>
      <c r="K14" s="16"/>
      <c r="M14" s="167"/>
    </row>
    <row r="15" spans="2:11" ht="18">
      <c r="B15" s="132" t="s">
        <v>33</v>
      </c>
      <c r="C15" s="43"/>
      <c r="D15" s="42"/>
      <c r="E15" s="201">
        <v>20000</v>
      </c>
      <c r="F15" s="42"/>
      <c r="G15" s="114" t="s">
        <v>45</v>
      </c>
      <c r="H15" s="44"/>
      <c r="I15" s="42"/>
      <c r="J15" s="140">
        <f>J30+J38+J54+J57+J67</f>
        <v>984487.4904375001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47</v>
      </c>
      <c r="H16" s="42"/>
      <c r="I16" s="42"/>
      <c r="J16" s="140">
        <f>J13-J14</f>
        <v>800263.475</v>
      </c>
      <c r="K16" s="16"/>
    </row>
    <row r="17" spans="2:11" ht="18">
      <c r="B17" s="132" t="s">
        <v>3</v>
      </c>
      <c r="C17" s="45"/>
      <c r="D17" s="42"/>
      <c r="E17" s="268">
        <v>9</v>
      </c>
      <c r="F17" s="42"/>
      <c r="G17" s="114" t="s">
        <v>48</v>
      </c>
      <c r="H17" s="42"/>
      <c r="I17" s="42"/>
      <c r="J17" s="140">
        <f>J13-J15</f>
        <v>738012.5095624999</v>
      </c>
      <c r="K17" s="16"/>
    </row>
    <row r="18" spans="2:11" ht="18">
      <c r="B18" s="111"/>
      <c r="C18" s="112"/>
      <c r="D18" s="103"/>
      <c r="E18" s="269"/>
      <c r="F18" s="42"/>
      <c r="G18" s="115" t="s">
        <v>25</v>
      </c>
      <c r="H18" s="103"/>
      <c r="I18" s="116"/>
      <c r="J18" s="141">
        <f>G84</f>
        <v>15145.961391346154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26</v>
      </c>
      <c r="C20" s="119"/>
      <c r="D20" s="119"/>
      <c r="E20" s="340"/>
      <c r="F20" s="340"/>
      <c r="G20" s="121"/>
      <c r="H20" s="122"/>
      <c r="I20" s="130"/>
      <c r="J20" s="123"/>
      <c r="K20" s="16"/>
    </row>
    <row r="21" spans="2:11" s="3" customFormat="1" ht="18" customHeight="1">
      <c r="B21" s="183" t="s">
        <v>7</v>
      </c>
      <c r="C21" s="184"/>
      <c r="D21" s="184"/>
      <c r="E21" s="197" t="s">
        <v>34</v>
      </c>
      <c r="F21" s="196"/>
      <c r="G21" s="142" t="s">
        <v>5</v>
      </c>
      <c r="H21" s="143" t="s">
        <v>6</v>
      </c>
      <c r="I21" s="144" t="s">
        <v>40</v>
      </c>
      <c r="J21" s="145" t="s">
        <v>1</v>
      </c>
      <c r="K21" s="16"/>
    </row>
    <row r="22" spans="2:10" s="3" customFormat="1" ht="18">
      <c r="B22" s="240" t="s">
        <v>59</v>
      </c>
      <c r="C22" s="241"/>
      <c r="D22" s="242"/>
      <c r="E22" s="246" t="s">
        <v>78</v>
      </c>
      <c r="F22" s="246"/>
      <c r="G22" s="225">
        <v>0.4</v>
      </c>
      <c r="H22" s="146" t="s">
        <v>36</v>
      </c>
      <c r="I22" s="266">
        <f>$E$15</f>
        <v>20000</v>
      </c>
      <c r="J22" s="163">
        <f>G22*I22</f>
        <v>8000</v>
      </c>
    </row>
    <row r="23" spans="2:10" s="3" customFormat="1" ht="18">
      <c r="B23" s="240" t="s">
        <v>85</v>
      </c>
      <c r="C23" s="241"/>
      <c r="D23" s="242"/>
      <c r="E23" s="246" t="s">
        <v>75</v>
      </c>
      <c r="F23" s="246"/>
      <c r="G23" s="225">
        <v>0.2</v>
      </c>
      <c r="H23" s="147" t="s">
        <v>36</v>
      </c>
      <c r="I23" s="229">
        <f>E15</f>
        <v>20000</v>
      </c>
      <c r="J23" s="10">
        <f>G23*I23</f>
        <v>4000</v>
      </c>
    </row>
    <row r="24" spans="2:10" s="3" customFormat="1" ht="18">
      <c r="B24" s="240" t="s">
        <v>60</v>
      </c>
      <c r="C24" s="241"/>
      <c r="D24" s="242"/>
      <c r="E24" s="246" t="s">
        <v>73</v>
      </c>
      <c r="F24" s="246"/>
      <c r="G24" s="225">
        <v>1.2</v>
      </c>
      <c r="H24" s="147" t="s">
        <v>36</v>
      </c>
      <c r="I24" s="229">
        <f>E15</f>
        <v>20000</v>
      </c>
      <c r="J24" s="10">
        <f aca="true" t="shared" si="0" ref="J24:J29">G24*I24</f>
        <v>24000</v>
      </c>
    </row>
    <row r="25" spans="2:10" s="3" customFormat="1" ht="18">
      <c r="B25" s="240" t="s">
        <v>87</v>
      </c>
      <c r="C25" s="241"/>
      <c r="D25" s="242"/>
      <c r="E25" s="246" t="s">
        <v>76</v>
      </c>
      <c r="F25" s="246"/>
      <c r="G25" s="225">
        <v>0.2</v>
      </c>
      <c r="H25" s="147" t="s">
        <v>36</v>
      </c>
      <c r="I25" s="229">
        <f>E15</f>
        <v>20000</v>
      </c>
      <c r="J25" s="10">
        <f>G25*I25</f>
        <v>4000</v>
      </c>
    </row>
    <row r="26" spans="2:10" s="3" customFormat="1" ht="18">
      <c r="B26" s="240" t="s">
        <v>88</v>
      </c>
      <c r="C26" s="241"/>
      <c r="D26" s="242"/>
      <c r="E26" s="246" t="s">
        <v>73</v>
      </c>
      <c r="F26" s="246"/>
      <c r="G26" s="225">
        <v>0.2</v>
      </c>
      <c r="H26" s="147" t="s">
        <v>36</v>
      </c>
      <c r="I26" s="229">
        <v>60000</v>
      </c>
      <c r="J26" s="10">
        <f t="shared" si="0"/>
        <v>12000</v>
      </c>
    </row>
    <row r="27" spans="2:10" s="3" customFormat="1" ht="18">
      <c r="B27" s="240" t="s">
        <v>89</v>
      </c>
      <c r="C27" s="241"/>
      <c r="D27" s="242"/>
      <c r="E27" s="246" t="s">
        <v>73</v>
      </c>
      <c r="F27" s="246"/>
      <c r="G27" s="225">
        <v>0.2</v>
      </c>
      <c r="H27" s="147" t="s">
        <v>36</v>
      </c>
      <c r="I27" s="229">
        <v>60000</v>
      </c>
      <c r="J27" s="10">
        <f t="shared" si="0"/>
        <v>12000</v>
      </c>
    </row>
    <row r="28" spans="2:10" s="3" customFormat="1" ht="18">
      <c r="B28" s="240" t="s">
        <v>90</v>
      </c>
      <c r="C28" s="241"/>
      <c r="D28" s="242"/>
      <c r="E28" s="246" t="s">
        <v>73</v>
      </c>
      <c r="F28" s="246"/>
      <c r="G28" s="225">
        <v>0.2</v>
      </c>
      <c r="H28" s="147" t="s">
        <v>36</v>
      </c>
      <c r="I28" s="229">
        <f>$E$15</f>
        <v>20000</v>
      </c>
      <c r="J28" s="10">
        <f t="shared" si="0"/>
        <v>4000</v>
      </c>
    </row>
    <row r="29" spans="2:10" s="3" customFormat="1" ht="17.25" customHeight="1">
      <c r="B29" s="243" t="s">
        <v>61</v>
      </c>
      <c r="C29" s="244"/>
      <c r="D29" s="245"/>
      <c r="E29" s="247" t="s">
        <v>74</v>
      </c>
      <c r="F29" s="247"/>
      <c r="G29" s="226">
        <v>3</v>
      </c>
      <c r="H29" s="267" t="s">
        <v>36</v>
      </c>
      <c r="I29" s="229">
        <f>$E$15</f>
        <v>20000</v>
      </c>
      <c r="J29" s="164">
        <f t="shared" si="0"/>
        <v>60000</v>
      </c>
    </row>
    <row r="30" spans="2:11" ht="18">
      <c r="B30" s="187" t="s">
        <v>8</v>
      </c>
      <c r="C30" s="188"/>
      <c r="D30" s="188"/>
      <c r="E30" s="188"/>
      <c r="F30" s="188"/>
      <c r="G30" s="188"/>
      <c r="H30" s="192"/>
      <c r="I30" s="188"/>
      <c r="J30" s="104">
        <f>SUM(J22:J29)</f>
        <v>128000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183" t="s">
        <v>95</v>
      </c>
      <c r="C32" s="184"/>
      <c r="D32" s="184"/>
      <c r="E32" s="197" t="s">
        <v>34</v>
      </c>
      <c r="F32" s="197"/>
      <c r="G32" s="142" t="s">
        <v>5</v>
      </c>
      <c r="H32" s="143" t="s">
        <v>6</v>
      </c>
      <c r="I32" s="144" t="s">
        <v>40</v>
      </c>
      <c r="J32" s="145" t="s">
        <v>1</v>
      </c>
      <c r="K32" s="3"/>
    </row>
    <row r="33" spans="2:10" s="3" customFormat="1" ht="18">
      <c r="B33" s="209" t="s">
        <v>62</v>
      </c>
      <c r="C33" s="212"/>
      <c r="D33" s="212"/>
      <c r="E33" s="248" t="s">
        <v>75</v>
      </c>
      <c r="F33" s="249"/>
      <c r="G33" s="227">
        <v>1</v>
      </c>
      <c r="H33" s="263" t="s">
        <v>68</v>
      </c>
      <c r="I33" s="228">
        <v>15000</v>
      </c>
      <c r="J33" s="127">
        <f>I33*G33</f>
        <v>15000</v>
      </c>
    </row>
    <row r="34" spans="2:10" s="3" customFormat="1" ht="18">
      <c r="B34" s="240" t="s">
        <v>63</v>
      </c>
      <c r="C34" s="241"/>
      <c r="D34" s="242"/>
      <c r="E34" s="248" t="s">
        <v>75</v>
      </c>
      <c r="F34" s="249"/>
      <c r="G34" s="227">
        <v>1</v>
      </c>
      <c r="H34" s="264" t="s">
        <v>68</v>
      </c>
      <c r="I34" s="228">
        <v>35000</v>
      </c>
      <c r="J34" s="128">
        <f>G34*I34</f>
        <v>35000</v>
      </c>
    </row>
    <row r="35" spans="2:10" s="3" customFormat="1" ht="18">
      <c r="B35" s="240" t="s">
        <v>64</v>
      </c>
      <c r="C35" s="241"/>
      <c r="D35" s="242"/>
      <c r="E35" s="248" t="s">
        <v>72</v>
      </c>
      <c r="F35" s="249"/>
      <c r="G35" s="227">
        <v>3</v>
      </c>
      <c r="H35" s="264" t="s">
        <v>68</v>
      </c>
      <c r="I35" s="228">
        <v>30000</v>
      </c>
      <c r="J35" s="128">
        <f>I35*G35</f>
        <v>90000</v>
      </c>
    </row>
    <row r="36" spans="2:10" s="3" customFormat="1" ht="18">
      <c r="B36" s="209" t="s">
        <v>92</v>
      </c>
      <c r="C36" s="210"/>
      <c r="D36" s="211"/>
      <c r="E36" s="248" t="s">
        <v>76</v>
      </c>
      <c r="F36" s="249"/>
      <c r="G36" s="227">
        <v>1</v>
      </c>
      <c r="H36" s="264" t="s">
        <v>68</v>
      </c>
      <c r="I36" s="229">
        <v>10000</v>
      </c>
      <c r="J36" s="128">
        <f>I36*G36</f>
        <v>10000</v>
      </c>
    </row>
    <row r="37" spans="2:10" s="3" customFormat="1" ht="18">
      <c r="B37" s="240" t="s">
        <v>91</v>
      </c>
      <c r="C37" s="241"/>
      <c r="D37" s="242"/>
      <c r="E37" s="250" t="s">
        <v>77</v>
      </c>
      <c r="F37" s="251"/>
      <c r="G37" s="227">
        <v>1</v>
      </c>
      <c r="H37" s="264" t="s">
        <v>68</v>
      </c>
      <c r="I37" s="228">
        <v>120000</v>
      </c>
      <c r="J37" s="133">
        <f>I37*G37</f>
        <v>120000</v>
      </c>
    </row>
    <row r="38" spans="2:12" ht="15.75" customHeight="1">
      <c r="B38" s="187" t="s">
        <v>10</v>
      </c>
      <c r="C38" s="188"/>
      <c r="D38" s="188"/>
      <c r="E38" s="188"/>
      <c r="F38" s="188"/>
      <c r="G38" s="188"/>
      <c r="H38" s="188"/>
      <c r="I38" s="188"/>
      <c r="J38" s="124">
        <f>SUM(J33:J37)</f>
        <v>270000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183" t="s">
        <v>96</v>
      </c>
      <c r="C40" s="184"/>
      <c r="D40" s="184"/>
      <c r="E40" s="197" t="s">
        <v>34</v>
      </c>
      <c r="F40" s="197"/>
      <c r="G40" s="142" t="s">
        <v>5</v>
      </c>
      <c r="H40" s="143" t="s">
        <v>6</v>
      </c>
      <c r="I40" s="144" t="s">
        <v>40</v>
      </c>
      <c r="J40" s="145" t="s">
        <v>1</v>
      </c>
      <c r="L40" s="24"/>
    </row>
    <row r="41" spans="2:12" s="3" customFormat="1" ht="18">
      <c r="B41" s="270" t="s">
        <v>108</v>
      </c>
      <c r="C41" s="158"/>
      <c r="D41" s="158"/>
      <c r="E41" s="252" t="s">
        <v>78</v>
      </c>
      <c r="F41" s="253"/>
      <c r="G41" s="162">
        <v>170</v>
      </c>
      <c r="H41" s="149" t="s">
        <v>37</v>
      </c>
      <c r="I41" s="265">
        <v>540</v>
      </c>
      <c r="J41" s="127">
        <f>G41*I41</f>
        <v>91800</v>
      </c>
      <c r="L41" s="24"/>
    </row>
    <row r="42" spans="2:12" s="3" customFormat="1" ht="18">
      <c r="B42" s="205" t="s">
        <v>24</v>
      </c>
      <c r="C42" s="157"/>
      <c r="D42" s="157"/>
      <c r="E42" s="254"/>
      <c r="F42" s="255"/>
      <c r="G42" s="151"/>
      <c r="H42" s="148"/>
      <c r="I42" s="128"/>
      <c r="J42" s="128"/>
      <c r="L42" s="24"/>
    </row>
    <row r="43" spans="2:12" s="3" customFormat="1" ht="18">
      <c r="B43" s="213" t="s">
        <v>109</v>
      </c>
      <c r="C43" s="202"/>
      <c r="D43" s="230"/>
      <c r="E43" s="256" t="s">
        <v>78</v>
      </c>
      <c r="F43" s="257"/>
      <c r="G43" s="206">
        <v>250</v>
      </c>
      <c r="H43" s="148" t="s">
        <v>37</v>
      </c>
      <c r="I43" s="203">
        <v>337</v>
      </c>
      <c r="J43" s="128">
        <f>G43*I43</f>
        <v>84250</v>
      </c>
      <c r="L43" s="24"/>
    </row>
    <row r="44" spans="2:12" s="3" customFormat="1" ht="18">
      <c r="B44" s="204" t="s">
        <v>110</v>
      </c>
      <c r="C44" s="202"/>
      <c r="D44" s="230"/>
      <c r="E44" s="256" t="s">
        <v>79</v>
      </c>
      <c r="F44" s="257"/>
      <c r="G44" s="206">
        <v>150</v>
      </c>
      <c r="H44" s="148" t="s">
        <v>37</v>
      </c>
      <c r="I44" s="203">
        <v>309</v>
      </c>
      <c r="J44" s="128">
        <f>G44*I44</f>
        <v>46350</v>
      </c>
      <c r="L44" s="24"/>
    </row>
    <row r="45" spans="2:12" s="3" customFormat="1" ht="18">
      <c r="B45" s="261" t="s">
        <v>50</v>
      </c>
      <c r="C45" s="230"/>
      <c r="D45" s="230"/>
      <c r="E45" s="254"/>
      <c r="F45" s="255"/>
      <c r="G45" s="159"/>
      <c r="H45" s="150"/>
      <c r="I45" s="128"/>
      <c r="J45" s="128"/>
      <c r="L45" s="24"/>
    </row>
    <row r="46" spans="2:12" s="3" customFormat="1" ht="18">
      <c r="B46" s="152" t="s">
        <v>111</v>
      </c>
      <c r="C46" s="153"/>
      <c r="D46" s="214"/>
      <c r="E46" s="258" t="s">
        <v>79</v>
      </c>
      <c r="F46" s="200"/>
      <c r="G46" s="221">
        <v>6</v>
      </c>
      <c r="H46" s="207" t="s">
        <v>38</v>
      </c>
      <c r="I46" s="218">
        <v>12543</v>
      </c>
      <c r="J46" s="128">
        <f>G46*I46</f>
        <v>75258</v>
      </c>
      <c r="L46" s="24"/>
    </row>
    <row r="47" spans="2:12" s="3" customFormat="1" ht="18">
      <c r="B47" s="152" t="s">
        <v>112</v>
      </c>
      <c r="C47" s="153"/>
      <c r="D47" s="214"/>
      <c r="E47" s="258" t="s">
        <v>79</v>
      </c>
      <c r="F47" s="200"/>
      <c r="G47" s="221">
        <v>0.5</v>
      </c>
      <c r="H47" s="206" t="s">
        <v>38</v>
      </c>
      <c r="I47" s="218">
        <v>12125</v>
      </c>
      <c r="J47" s="128">
        <f>G47*I47</f>
        <v>6062.5</v>
      </c>
      <c r="L47" s="24"/>
    </row>
    <row r="48" spans="2:12" s="3" customFormat="1" ht="18">
      <c r="B48" s="262" t="s">
        <v>113</v>
      </c>
      <c r="C48" s="153"/>
      <c r="D48" s="214"/>
      <c r="E48" s="258" t="s">
        <v>79</v>
      </c>
      <c r="F48" s="200"/>
      <c r="G48" s="221">
        <v>2</v>
      </c>
      <c r="H48" s="206" t="s">
        <v>38</v>
      </c>
      <c r="I48" s="218">
        <v>19900</v>
      </c>
      <c r="J48" s="128">
        <f>G48*I48</f>
        <v>39800</v>
      </c>
      <c r="L48" s="24"/>
    </row>
    <row r="49" spans="2:12" s="3" customFormat="1" ht="18">
      <c r="B49" s="156" t="s">
        <v>51</v>
      </c>
      <c r="C49" s="153"/>
      <c r="D49" s="153"/>
      <c r="E49" s="254"/>
      <c r="F49" s="255"/>
      <c r="G49" s="159"/>
      <c r="H49" s="150"/>
      <c r="I49" s="208"/>
      <c r="J49" s="128"/>
      <c r="L49" s="24"/>
    </row>
    <row r="50" spans="2:12" s="3" customFormat="1" ht="18">
      <c r="B50" s="204" t="s">
        <v>114</v>
      </c>
      <c r="C50" s="153"/>
      <c r="D50" s="153"/>
      <c r="E50" s="256" t="s">
        <v>80</v>
      </c>
      <c r="F50" s="257"/>
      <c r="G50" s="222">
        <f>E13</f>
        <v>65</v>
      </c>
      <c r="H50" s="150" t="s">
        <v>71</v>
      </c>
      <c r="I50" s="219">
        <v>700</v>
      </c>
      <c r="J50" s="128">
        <f>G50*I50</f>
        <v>45500</v>
      </c>
      <c r="L50" s="24"/>
    </row>
    <row r="51" spans="2:12" s="3" customFormat="1" ht="18">
      <c r="B51" s="204" t="s">
        <v>115</v>
      </c>
      <c r="C51" s="153"/>
      <c r="D51" s="153"/>
      <c r="E51" s="256" t="s">
        <v>81</v>
      </c>
      <c r="F51" s="257"/>
      <c r="G51" s="223">
        <v>1.7</v>
      </c>
      <c r="H51" s="264" t="s">
        <v>86</v>
      </c>
      <c r="I51" s="219">
        <v>19000</v>
      </c>
      <c r="J51" s="128">
        <f>G51*I51</f>
        <v>32300</v>
      </c>
      <c r="L51" s="24"/>
    </row>
    <row r="52" spans="2:12" s="3" customFormat="1" ht="18">
      <c r="B52" s="204" t="s">
        <v>116</v>
      </c>
      <c r="C52" s="153"/>
      <c r="D52" s="153"/>
      <c r="E52" s="256" t="s">
        <v>82</v>
      </c>
      <c r="F52" s="257"/>
      <c r="G52" s="223">
        <f>E13</f>
        <v>65</v>
      </c>
      <c r="H52" s="150" t="s">
        <v>71</v>
      </c>
      <c r="I52" s="219">
        <v>600</v>
      </c>
      <c r="J52" s="128">
        <f>G52*I52</f>
        <v>39000</v>
      </c>
      <c r="L52" s="24"/>
    </row>
    <row r="53" spans="2:12" s="3" customFormat="1" ht="18" customHeight="1">
      <c r="B53" s="238" t="s">
        <v>117</v>
      </c>
      <c r="C53" s="155"/>
      <c r="D53" s="155"/>
      <c r="E53" s="259" t="s">
        <v>83</v>
      </c>
      <c r="F53" s="260"/>
      <c r="G53" s="224">
        <v>1</v>
      </c>
      <c r="H53" s="217" t="s">
        <v>69</v>
      </c>
      <c r="I53" s="220">
        <v>20000</v>
      </c>
      <c r="J53" s="133">
        <f>G53*I53</f>
        <v>20000</v>
      </c>
      <c r="L53" s="24"/>
    </row>
    <row r="54" spans="2:14" ht="18">
      <c r="B54" s="181" t="s">
        <v>11</v>
      </c>
      <c r="C54" s="182"/>
      <c r="D54" s="182"/>
      <c r="E54" s="182"/>
      <c r="F54" s="182"/>
      <c r="G54" s="182"/>
      <c r="H54" s="182"/>
      <c r="I54" s="182"/>
      <c r="J54" s="125">
        <f>SUM(J41:J53)</f>
        <v>480320.5</v>
      </c>
      <c r="K54" s="16"/>
      <c r="M54" s="16"/>
      <c r="N54" s="16"/>
    </row>
    <row r="55" spans="2:14" s="3" customFormat="1" ht="18">
      <c r="B55" s="29"/>
      <c r="C55" s="29"/>
      <c r="D55" s="29"/>
      <c r="E55" s="29"/>
      <c r="F55" s="29"/>
      <c r="G55" s="30"/>
      <c r="H55" s="29"/>
      <c r="I55" s="29"/>
      <c r="J55" s="31"/>
      <c r="K55" s="16"/>
      <c r="M55" s="16"/>
      <c r="N55" s="16"/>
    </row>
    <row r="56" spans="2:16" ht="18" customHeight="1">
      <c r="B56" s="183" t="s">
        <v>41</v>
      </c>
      <c r="C56" s="184"/>
      <c r="D56" s="184"/>
      <c r="E56" s="195"/>
      <c r="F56" s="195"/>
      <c r="G56" s="142" t="s">
        <v>5</v>
      </c>
      <c r="H56" s="143" t="s">
        <v>6</v>
      </c>
      <c r="I56" s="144"/>
      <c r="J56" s="145" t="s">
        <v>1</v>
      </c>
      <c r="K56" s="16"/>
      <c r="M56" s="16"/>
      <c r="N56" s="16"/>
      <c r="O56" s="9"/>
      <c r="P56" s="9"/>
    </row>
    <row r="57" spans="2:14" s="3" customFormat="1" ht="18">
      <c r="B57" s="231" t="s">
        <v>49</v>
      </c>
      <c r="C57" s="232"/>
      <c r="D57" s="233"/>
      <c r="E57" s="234"/>
      <c r="F57" s="235"/>
      <c r="G57" s="271">
        <v>0.05</v>
      </c>
      <c r="H57" s="272" t="s">
        <v>35</v>
      </c>
      <c r="I57" s="236"/>
      <c r="J57" s="237">
        <f>(J30+J38+J54)*G57</f>
        <v>43916.025</v>
      </c>
      <c r="K57" s="16"/>
      <c r="M57" s="16"/>
      <c r="N57" s="16"/>
    </row>
    <row r="58" spans="11:14" s="3" customFormat="1" ht="18">
      <c r="K58" s="16"/>
      <c r="M58" s="16"/>
      <c r="N58" s="16"/>
    </row>
    <row r="59" spans="2:14" s="3" customFormat="1" ht="18">
      <c r="B59" s="185" t="s">
        <v>42</v>
      </c>
      <c r="C59" s="186"/>
      <c r="D59" s="186"/>
      <c r="E59" s="186"/>
      <c r="F59" s="186"/>
      <c r="G59" s="186"/>
      <c r="H59" s="186"/>
      <c r="I59" s="186"/>
      <c r="J59" s="104">
        <f>J30+J38+J54+J57</f>
        <v>922236.525</v>
      </c>
      <c r="K59" s="16"/>
      <c r="M59" s="16"/>
      <c r="N59" s="16"/>
    </row>
    <row r="60" spans="2:14" s="3" customFormat="1" ht="18">
      <c r="B60" s="131"/>
      <c r="C60" s="131"/>
      <c r="D60" s="131"/>
      <c r="E60" s="131"/>
      <c r="F60" s="131"/>
      <c r="G60" s="32"/>
      <c r="H60" s="131"/>
      <c r="I60" s="131"/>
      <c r="J60" s="27"/>
      <c r="K60" s="16"/>
      <c r="M60" s="16"/>
      <c r="N60" s="16"/>
    </row>
    <row r="61" spans="2:14" s="3" customFormat="1" ht="20.25">
      <c r="B61" s="120" t="s">
        <v>44</v>
      </c>
      <c r="C61" s="119"/>
      <c r="D61" s="119"/>
      <c r="E61" s="20"/>
      <c r="F61" s="20"/>
      <c r="G61" s="21"/>
      <c r="H61" s="22"/>
      <c r="I61" s="23"/>
      <c r="J61" s="23"/>
      <c r="K61" s="16"/>
      <c r="M61" s="16"/>
      <c r="N61" s="16"/>
    </row>
    <row r="62" spans="2:14" s="3" customFormat="1" ht="18" customHeight="1">
      <c r="B62" s="338" t="s">
        <v>30</v>
      </c>
      <c r="C62" s="339"/>
      <c r="D62" s="339"/>
      <c r="E62" s="337"/>
      <c r="F62" s="337"/>
      <c r="G62" s="142" t="s">
        <v>5</v>
      </c>
      <c r="H62" s="143" t="s">
        <v>6</v>
      </c>
      <c r="I62" s="144"/>
      <c r="J62" s="145" t="s">
        <v>1</v>
      </c>
      <c r="K62" s="16"/>
      <c r="M62" s="16"/>
      <c r="N62" s="16"/>
    </row>
    <row r="63" spans="2:15" s="3" customFormat="1" ht="18" customHeight="1">
      <c r="B63" s="239" t="s">
        <v>97</v>
      </c>
      <c r="C63" s="174"/>
      <c r="D63" s="174"/>
      <c r="E63" s="198"/>
      <c r="F63" s="199"/>
      <c r="G63" s="160">
        <f>E16</f>
        <v>0.015</v>
      </c>
      <c r="H63" s="161" t="s">
        <v>35</v>
      </c>
      <c r="I63" s="176"/>
      <c r="J63" s="11">
        <f>J59*E16*E17*0.5</f>
        <v>62250.9654375</v>
      </c>
      <c r="K63" s="16"/>
      <c r="L63" s="336"/>
      <c r="M63" s="336"/>
      <c r="N63" s="336"/>
      <c r="O63" s="336"/>
    </row>
    <row r="64" spans="2:18" ht="18" customHeight="1" outlineLevel="1">
      <c r="B64" s="165"/>
      <c r="C64" s="153"/>
      <c r="D64" s="153"/>
      <c r="E64" s="172"/>
      <c r="F64" s="168"/>
      <c r="G64" s="169"/>
      <c r="H64" s="174"/>
      <c r="I64" s="177"/>
      <c r="J64" s="215"/>
      <c r="L64"/>
      <c r="M64"/>
      <c r="N64"/>
      <c r="O64"/>
      <c r="P64"/>
      <c r="Q64"/>
      <c r="R64"/>
    </row>
    <row r="65" spans="2:18" ht="18" customHeight="1" outlineLevel="1">
      <c r="B65" s="165"/>
      <c r="C65" s="153"/>
      <c r="D65" s="153"/>
      <c r="E65" s="172"/>
      <c r="F65" s="168"/>
      <c r="G65" s="169"/>
      <c r="H65" s="174"/>
      <c r="I65" s="177"/>
      <c r="J65" s="215"/>
      <c r="L65"/>
      <c r="M65"/>
      <c r="N65"/>
      <c r="O65"/>
      <c r="P65"/>
      <c r="Q65"/>
      <c r="R65"/>
    </row>
    <row r="66" spans="2:18" ht="18" customHeight="1" outlineLevel="1">
      <c r="B66" s="166"/>
      <c r="C66" s="129"/>
      <c r="D66" s="129"/>
      <c r="E66" s="173"/>
      <c r="F66" s="170"/>
      <c r="G66" s="171"/>
      <c r="H66" s="175"/>
      <c r="I66" s="178"/>
      <c r="J66" s="216"/>
      <c r="L66"/>
      <c r="M66"/>
      <c r="N66"/>
      <c r="O66"/>
      <c r="P66"/>
      <c r="Q66"/>
      <c r="R66"/>
    </row>
    <row r="67" spans="2:14" ht="18">
      <c r="B67" s="187" t="s">
        <v>27</v>
      </c>
      <c r="C67" s="188"/>
      <c r="D67" s="188"/>
      <c r="E67" s="188"/>
      <c r="F67" s="188"/>
      <c r="G67" s="188"/>
      <c r="H67" s="188"/>
      <c r="I67" s="188"/>
      <c r="J67" s="104">
        <f>SUM(J63:J66)</f>
        <v>62250.9654375</v>
      </c>
      <c r="K67" s="16"/>
      <c r="M67" s="16"/>
      <c r="N67" s="16"/>
    </row>
    <row r="68" spans="2:12" s="3" customFormat="1" ht="18">
      <c r="B68" s="84"/>
      <c r="C68" s="84"/>
      <c r="D68" s="84"/>
      <c r="E68" s="84"/>
      <c r="F68" s="84"/>
      <c r="G68" s="25"/>
      <c r="H68" s="84"/>
      <c r="I68" s="84"/>
      <c r="J68" s="27"/>
      <c r="K68" s="16"/>
      <c r="L68" s="16"/>
    </row>
    <row r="69" spans="2:12" ht="18">
      <c r="B69" s="189" t="s">
        <v>13</v>
      </c>
      <c r="C69" s="190"/>
      <c r="D69" s="190"/>
      <c r="E69" s="190"/>
      <c r="F69" s="190"/>
      <c r="G69" s="190"/>
      <c r="H69" s="190"/>
      <c r="I69" s="190"/>
      <c r="J69" s="193">
        <f>J59+J67</f>
        <v>984487.4904375001</v>
      </c>
      <c r="K69" s="16"/>
      <c r="L69" s="16"/>
    </row>
    <row r="70" spans="2:12" s="3" customFormat="1" ht="18">
      <c r="B70" s="191"/>
      <c r="C70" s="192"/>
      <c r="D70" s="192"/>
      <c r="E70" s="192"/>
      <c r="F70" s="192"/>
      <c r="G70" s="192"/>
      <c r="H70" s="192"/>
      <c r="I70" s="192"/>
      <c r="J70" s="194"/>
      <c r="K70" s="16"/>
      <c r="L70" s="16"/>
    </row>
    <row r="71" spans="2:12" s="3" customFormat="1" ht="18" customHeight="1">
      <c r="B71" s="135"/>
      <c r="C71" s="135"/>
      <c r="D71" s="135"/>
      <c r="E71" s="135"/>
      <c r="F71" s="135"/>
      <c r="G71" s="135"/>
      <c r="H71" s="135"/>
      <c r="I71" s="135"/>
      <c r="J71" s="136"/>
      <c r="K71" s="16"/>
      <c r="L71" s="16"/>
    </row>
    <row r="72" spans="2:12" ht="18" customHeight="1">
      <c r="B72" s="298" t="s">
        <v>98</v>
      </c>
      <c r="C72" s="299"/>
      <c r="D72" s="299"/>
      <c r="E72" s="299"/>
      <c r="F72" s="299"/>
      <c r="G72" s="299"/>
      <c r="H72" s="299"/>
      <c r="I72" s="299"/>
      <c r="J72" s="300"/>
      <c r="K72" s="16"/>
      <c r="L72" s="24"/>
    </row>
    <row r="73" spans="2:12" ht="18" customHeight="1">
      <c r="B73" s="347" t="s">
        <v>39</v>
      </c>
      <c r="C73" s="348"/>
      <c r="D73" s="348"/>
      <c r="E73" s="348"/>
      <c r="F73" s="348"/>
      <c r="G73" s="348"/>
      <c r="H73" s="348"/>
      <c r="I73" s="348"/>
      <c r="J73" s="349"/>
      <c r="K73" s="16"/>
      <c r="L73" s="24"/>
    </row>
    <row r="74" spans="2:12" s="3" customFormat="1" ht="18" customHeight="1">
      <c r="B74" s="287" t="s">
        <v>52</v>
      </c>
      <c r="C74" s="288"/>
      <c r="D74" s="289"/>
      <c r="E74" s="293" t="s">
        <v>54</v>
      </c>
      <c r="F74" s="294"/>
      <c r="G74" s="294"/>
      <c r="H74" s="294"/>
      <c r="I74" s="294"/>
      <c r="J74" s="295"/>
      <c r="K74" s="16"/>
      <c r="L74" s="24"/>
    </row>
    <row r="75" spans="2:12" s="3" customFormat="1" ht="18" customHeight="1">
      <c r="B75" s="290"/>
      <c r="C75" s="291"/>
      <c r="D75" s="292"/>
      <c r="E75" s="284">
        <f>G75*0.9</f>
        <v>23850</v>
      </c>
      <c r="F75" s="285"/>
      <c r="G75" s="296">
        <f>E14</f>
        <v>26500</v>
      </c>
      <c r="H75" s="297"/>
      <c r="I75" s="284">
        <f>G75*1.1</f>
        <v>29150.000000000004</v>
      </c>
      <c r="J75" s="285"/>
      <c r="K75" s="16"/>
      <c r="L75" s="24"/>
    </row>
    <row r="76" spans="2:12" s="3" customFormat="1" ht="18" customHeight="1">
      <c r="B76" s="284">
        <f>+B77*0.9</f>
        <v>58.5</v>
      </c>
      <c r="C76" s="286"/>
      <c r="D76" s="285"/>
      <c r="E76" s="282">
        <f>E$75*$B$76-$J$69</f>
        <v>410737.50956249994</v>
      </c>
      <c r="F76" s="283"/>
      <c r="G76" s="282">
        <f>G$75*$B$76-$J$69</f>
        <v>565762.5095624999</v>
      </c>
      <c r="H76" s="283"/>
      <c r="I76" s="282">
        <f>I$75*$B$76-$J$69</f>
        <v>720787.5095625002</v>
      </c>
      <c r="J76" s="283"/>
      <c r="K76" s="16"/>
      <c r="L76" s="24"/>
    </row>
    <row r="77" spans="2:12" s="3" customFormat="1" ht="18" customHeight="1">
      <c r="B77" s="284">
        <f>+E13</f>
        <v>65</v>
      </c>
      <c r="C77" s="286"/>
      <c r="D77" s="285"/>
      <c r="E77" s="282">
        <f>E$75*$B$77-$J$69</f>
        <v>565762.5095624999</v>
      </c>
      <c r="F77" s="283"/>
      <c r="G77" s="282">
        <f>G$75*$B$77-$J$69</f>
        <v>738012.5095624999</v>
      </c>
      <c r="H77" s="283"/>
      <c r="I77" s="282">
        <f>I$75*$B$77-$J$69</f>
        <v>910262.5095625002</v>
      </c>
      <c r="J77" s="283"/>
      <c r="K77" s="16"/>
      <c r="L77" s="24"/>
    </row>
    <row r="78" spans="2:12" s="3" customFormat="1" ht="18" customHeight="1">
      <c r="B78" s="284">
        <f>+B77*1.1</f>
        <v>71.5</v>
      </c>
      <c r="C78" s="286"/>
      <c r="D78" s="285"/>
      <c r="E78" s="282">
        <f>E$75*$B$78-$J$69</f>
        <v>720787.5095624999</v>
      </c>
      <c r="F78" s="283"/>
      <c r="G78" s="282">
        <f>G$75*$B$78-$J$69</f>
        <v>910262.5095624999</v>
      </c>
      <c r="H78" s="283"/>
      <c r="I78" s="282">
        <f>I$75*$B$78-$J$69</f>
        <v>1099737.5095625003</v>
      </c>
      <c r="J78" s="283"/>
      <c r="K78" s="16"/>
      <c r="L78" s="24"/>
    </row>
    <row r="79" spans="2:12" s="3" customFormat="1" ht="18" customHeight="1">
      <c r="B79" s="34"/>
      <c r="C79" s="34"/>
      <c r="D79" s="35"/>
      <c r="E79" s="35"/>
      <c r="F79" s="35"/>
      <c r="G79" s="36"/>
      <c r="H79" s="12"/>
      <c r="I79" s="15"/>
      <c r="J79" s="15"/>
      <c r="K79" s="16"/>
      <c r="L79" s="24"/>
    </row>
    <row r="80" spans="2:12" s="3" customFormat="1" ht="18" customHeight="1">
      <c r="B80" s="312" t="s">
        <v>99</v>
      </c>
      <c r="C80" s="313"/>
      <c r="D80" s="313"/>
      <c r="E80" s="313"/>
      <c r="F80" s="313"/>
      <c r="G80" s="313"/>
      <c r="H80" s="313"/>
      <c r="I80" s="313"/>
      <c r="J80" s="314"/>
      <c r="K80" s="16"/>
      <c r="L80" s="24"/>
    </row>
    <row r="81" spans="2:12" s="3" customFormat="1" ht="18" customHeight="1">
      <c r="B81" s="315"/>
      <c r="C81" s="316"/>
      <c r="D81" s="316"/>
      <c r="E81" s="316"/>
      <c r="F81" s="316"/>
      <c r="G81" s="316"/>
      <c r="H81" s="316"/>
      <c r="I81" s="316"/>
      <c r="J81" s="317"/>
      <c r="K81" s="16"/>
      <c r="L81" s="24"/>
    </row>
    <row r="82" spans="2:12" s="3" customFormat="1" ht="18" customHeight="1">
      <c r="B82" s="328" t="s">
        <v>52</v>
      </c>
      <c r="C82" s="275"/>
      <c r="D82" s="275"/>
      <c r="E82" s="275">
        <f>G82*0.9</f>
        <v>58.5</v>
      </c>
      <c r="F82" s="275"/>
      <c r="G82" s="275">
        <f>E13</f>
        <v>65</v>
      </c>
      <c r="H82" s="275"/>
      <c r="I82" s="275">
        <f>G82*1.1</f>
        <v>71.5</v>
      </c>
      <c r="J82" s="276"/>
      <c r="K82" s="16"/>
      <c r="L82" s="24"/>
    </row>
    <row r="83" spans="2:12" ht="18" customHeight="1">
      <c r="B83" s="329"/>
      <c r="C83" s="277"/>
      <c r="D83" s="277"/>
      <c r="E83" s="277"/>
      <c r="F83" s="277"/>
      <c r="G83" s="277"/>
      <c r="H83" s="277"/>
      <c r="I83" s="277"/>
      <c r="J83" s="278"/>
      <c r="K83" s="16"/>
      <c r="L83" s="24"/>
    </row>
    <row r="84" spans="2:12" ht="18" customHeight="1">
      <c r="B84" s="330" t="s">
        <v>53</v>
      </c>
      <c r="C84" s="331"/>
      <c r="D84" s="331"/>
      <c r="E84" s="273">
        <f>$J$69/E82</f>
        <v>16828.845990384616</v>
      </c>
      <c r="F84" s="273"/>
      <c r="G84" s="273">
        <f>$J$69/G82</f>
        <v>15145.961391346154</v>
      </c>
      <c r="H84" s="273"/>
      <c r="I84" s="273">
        <f>$J$69/I82</f>
        <v>13769.055810314687</v>
      </c>
      <c r="J84" s="334"/>
      <c r="K84" s="16"/>
      <c r="L84" s="24"/>
    </row>
    <row r="85" spans="2:12" ht="18" customHeight="1">
      <c r="B85" s="332"/>
      <c r="C85" s="333"/>
      <c r="D85" s="333"/>
      <c r="E85" s="274"/>
      <c r="F85" s="274"/>
      <c r="G85" s="274"/>
      <c r="H85" s="274"/>
      <c r="I85" s="274"/>
      <c r="J85" s="335"/>
      <c r="K85" s="16"/>
      <c r="L85" s="24"/>
    </row>
    <row r="86" spans="2:12" ht="18" customHeight="1">
      <c r="B86" s="46"/>
      <c r="C86" s="1"/>
      <c r="D86" s="3"/>
      <c r="E86" s="3"/>
      <c r="F86" s="105"/>
      <c r="G86" s="105"/>
      <c r="H86" s="105"/>
      <c r="I86" s="15"/>
      <c r="J86" s="15"/>
      <c r="K86" s="16"/>
      <c r="L86" s="24"/>
    </row>
    <row r="87" spans="2:11" s="3" customFormat="1" ht="18" customHeight="1">
      <c r="B87" s="309" t="s">
        <v>15</v>
      </c>
      <c r="C87" s="310"/>
      <c r="D87" s="310"/>
      <c r="E87" s="310"/>
      <c r="F87" s="310"/>
      <c r="G87" s="310"/>
      <c r="H87" s="310"/>
      <c r="I87" s="310"/>
      <c r="J87" s="311"/>
      <c r="K87" s="80"/>
    </row>
    <row r="88" spans="2:11" s="3" customFormat="1" ht="18" customHeight="1">
      <c r="B88" s="279" t="s">
        <v>100</v>
      </c>
      <c r="C88" s="280"/>
      <c r="D88" s="280"/>
      <c r="E88" s="280"/>
      <c r="F88" s="280"/>
      <c r="G88" s="280"/>
      <c r="H88" s="280"/>
      <c r="I88" s="280"/>
      <c r="J88" s="281"/>
      <c r="K88" s="80"/>
    </row>
    <row r="89" spans="2:14" s="3" customFormat="1" ht="18.75" customHeight="1">
      <c r="B89" s="319" t="s">
        <v>101</v>
      </c>
      <c r="C89" s="320"/>
      <c r="D89" s="320"/>
      <c r="E89" s="320"/>
      <c r="F89" s="320"/>
      <c r="G89" s="320"/>
      <c r="H89" s="320"/>
      <c r="I89" s="320"/>
      <c r="J89" s="321"/>
      <c r="K89" s="80"/>
      <c r="N89" s="106"/>
    </row>
    <row r="90" spans="2:11" s="3" customFormat="1" ht="15.75" customHeight="1">
      <c r="B90" s="319" t="s">
        <v>118</v>
      </c>
      <c r="C90" s="320"/>
      <c r="D90" s="320"/>
      <c r="E90" s="320"/>
      <c r="F90" s="320"/>
      <c r="G90" s="320"/>
      <c r="H90" s="320"/>
      <c r="I90" s="320"/>
      <c r="J90" s="321"/>
      <c r="K90" s="81"/>
    </row>
    <row r="91" spans="2:11" s="3" customFormat="1" ht="40.5" customHeight="1">
      <c r="B91" s="319" t="s">
        <v>102</v>
      </c>
      <c r="C91" s="320"/>
      <c r="D91" s="320"/>
      <c r="E91" s="320"/>
      <c r="F91" s="320"/>
      <c r="G91" s="320"/>
      <c r="H91" s="320"/>
      <c r="I91" s="320"/>
      <c r="J91" s="321"/>
      <c r="K91" s="81"/>
    </row>
    <row r="92" spans="2:11" s="3" customFormat="1" ht="16.5" customHeight="1">
      <c r="B92" s="322" t="s">
        <v>103</v>
      </c>
      <c r="C92" s="323"/>
      <c r="D92" s="323"/>
      <c r="E92" s="323"/>
      <c r="F92" s="323"/>
      <c r="G92" s="323"/>
      <c r="H92" s="323"/>
      <c r="I92" s="323"/>
      <c r="J92" s="324"/>
      <c r="K92" s="80"/>
    </row>
    <row r="93" spans="2:11" s="3" customFormat="1" ht="18" customHeight="1">
      <c r="B93" s="319" t="s">
        <v>104</v>
      </c>
      <c r="C93" s="320"/>
      <c r="D93" s="320"/>
      <c r="E93" s="320"/>
      <c r="F93" s="320"/>
      <c r="G93" s="320"/>
      <c r="H93" s="320"/>
      <c r="I93" s="320"/>
      <c r="J93" s="321"/>
      <c r="K93" s="80"/>
    </row>
    <row r="94" spans="2:11" s="3" customFormat="1" ht="18">
      <c r="B94" s="325" t="s">
        <v>105</v>
      </c>
      <c r="C94" s="326"/>
      <c r="D94" s="326"/>
      <c r="E94" s="326"/>
      <c r="F94" s="326"/>
      <c r="G94" s="326"/>
      <c r="H94" s="326"/>
      <c r="I94" s="326"/>
      <c r="J94" s="327"/>
      <c r="K94" s="80"/>
    </row>
    <row r="95" spans="2:11" s="3" customFormat="1" ht="18.75" customHeight="1">
      <c r="B95" s="344" t="s">
        <v>106</v>
      </c>
      <c r="C95" s="345"/>
      <c r="D95" s="345"/>
      <c r="E95" s="345"/>
      <c r="F95" s="345"/>
      <c r="G95" s="345"/>
      <c r="H95" s="345"/>
      <c r="I95" s="345"/>
      <c r="J95" s="346"/>
      <c r="K95" s="80"/>
    </row>
    <row r="96" spans="2:11" s="3" customFormat="1" ht="18" customHeight="1">
      <c r="B96" s="137"/>
      <c r="C96" s="137"/>
      <c r="D96" s="137"/>
      <c r="E96" s="137"/>
      <c r="F96" s="137"/>
      <c r="G96" s="137"/>
      <c r="H96" s="137"/>
      <c r="I96" s="137"/>
      <c r="J96" s="137"/>
      <c r="K96" s="81"/>
    </row>
    <row r="97" spans="2:11" s="3" customFormat="1" ht="18" customHeight="1">
      <c r="B97" s="37"/>
      <c r="C97" s="38"/>
      <c r="D97" s="38"/>
      <c r="E97" s="38"/>
      <c r="F97" s="38"/>
      <c r="G97" s="38"/>
      <c r="H97" s="38"/>
      <c r="I97" s="38"/>
      <c r="J97" s="38"/>
      <c r="K97" s="33"/>
    </row>
    <row r="98" spans="2:11" s="3" customFormat="1" ht="16.5" customHeight="1">
      <c r="B98" s="39"/>
      <c r="C98" s="39"/>
      <c r="D98" s="39"/>
      <c r="E98" s="39"/>
      <c r="F98" s="39"/>
      <c r="G98" s="40"/>
      <c r="H98" s="39"/>
      <c r="I98" s="39"/>
      <c r="J98" s="39"/>
      <c r="K98" s="9"/>
    </row>
    <row r="99" spans="2:11" s="3" customFormat="1" ht="15">
      <c r="B99" s="4"/>
      <c r="C99" s="4"/>
      <c r="D99" s="4"/>
      <c r="E99" s="4"/>
      <c r="F99" s="4"/>
      <c r="G99" s="5"/>
      <c r="H99" s="4"/>
      <c r="I99" s="4"/>
      <c r="J99" s="4"/>
      <c r="K99" s="9"/>
    </row>
    <row r="100" spans="2:11" s="3" customFormat="1" ht="1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2" s="3" customFormat="1" ht="1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ht="18">
      <c r="B107" s="56"/>
      <c r="C107" s="56"/>
      <c r="D107" s="57"/>
      <c r="E107" s="57"/>
      <c r="F107" s="58"/>
      <c r="G107" s="58"/>
      <c r="H107" s="58"/>
      <c r="I107" s="67"/>
      <c r="J107" s="67"/>
      <c r="K107" s="69"/>
      <c r="L107" s="67"/>
    </row>
    <row r="108" spans="2:12" ht="18">
      <c r="B108" s="56"/>
      <c r="C108" s="59"/>
      <c r="D108" s="59"/>
      <c r="E108" s="60"/>
      <c r="F108" s="59"/>
      <c r="G108" s="61"/>
      <c r="H108" s="62"/>
      <c r="I108" s="67"/>
      <c r="J108" s="67"/>
      <c r="K108" s="69"/>
      <c r="L108" s="67"/>
    </row>
    <row r="109" spans="2:12" ht="18">
      <c r="B109" s="57"/>
      <c r="C109" s="57"/>
      <c r="D109" s="57"/>
      <c r="E109" s="57"/>
      <c r="F109" s="57"/>
      <c r="G109" s="57"/>
      <c r="H109" s="57"/>
      <c r="I109" s="67"/>
      <c r="J109" s="67"/>
      <c r="K109" s="69"/>
      <c r="L109" s="67"/>
    </row>
    <row r="110" spans="2:12" ht="18">
      <c r="B110" s="56"/>
      <c r="C110" s="57"/>
      <c r="D110" s="57"/>
      <c r="E110" s="57"/>
      <c r="F110" s="57"/>
      <c r="G110" s="57"/>
      <c r="H110" s="57"/>
      <c r="I110" s="67"/>
      <c r="J110" s="67"/>
      <c r="K110" s="69"/>
      <c r="L110" s="67"/>
    </row>
    <row r="111" spans="2:12" ht="18">
      <c r="B111" s="70"/>
      <c r="C111" s="71"/>
      <c r="D111" s="71"/>
      <c r="E111" s="63"/>
      <c r="F111" s="63"/>
      <c r="G111" s="63"/>
      <c r="H111" s="63"/>
      <c r="I111" s="67"/>
      <c r="J111" s="69"/>
      <c r="K111" s="69"/>
      <c r="L111" s="67"/>
    </row>
    <row r="112" spans="2:12" ht="18">
      <c r="B112" s="70"/>
      <c r="C112" s="71"/>
      <c r="D112" s="71"/>
      <c r="E112" s="63"/>
      <c r="F112" s="63"/>
      <c r="G112" s="63"/>
      <c r="H112" s="63"/>
      <c r="I112" s="67"/>
      <c r="J112" s="69"/>
      <c r="K112" s="69"/>
      <c r="L112" s="67"/>
    </row>
    <row r="113" spans="2:12" ht="18">
      <c r="B113" s="64"/>
      <c r="C113" s="65"/>
      <c r="D113" s="65"/>
      <c r="E113" s="64"/>
      <c r="F113" s="64"/>
      <c r="G113" s="64"/>
      <c r="H113" s="66"/>
      <c r="I113" s="67"/>
      <c r="J113" s="67"/>
      <c r="K113" s="69"/>
      <c r="L113" s="67"/>
    </row>
    <row r="114" spans="2:12" ht="18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72"/>
      <c r="C116" s="73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8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8">
      <c r="B118" s="318"/>
      <c r="C118" s="318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ht="18">
      <c r="B130" s="57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77"/>
      <c r="C142" s="77"/>
      <c r="D142" s="77"/>
      <c r="E142" s="77"/>
      <c r="F142" s="7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9"/>
      <c r="D145" s="69"/>
      <c r="E145" s="69"/>
      <c r="F145" s="69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9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9"/>
      <c r="D152" s="69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8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9"/>
      <c r="C165" s="69"/>
      <c r="D165" s="69"/>
      <c r="E165" s="69"/>
      <c r="F165" s="69"/>
      <c r="G165" s="69"/>
      <c r="H165" s="69"/>
      <c r="I165" s="69"/>
      <c r="J165" s="67"/>
      <c r="K165" s="69"/>
      <c r="L165" s="67"/>
    </row>
    <row r="166" spans="2:12" s="3" customFormat="1" ht="15">
      <c r="B166" s="69"/>
      <c r="C166" s="69"/>
      <c r="D166" s="69"/>
      <c r="E166" s="69"/>
      <c r="F166" s="69"/>
      <c r="G166" s="78"/>
      <c r="H166" s="69"/>
      <c r="I166" s="69"/>
      <c r="J166" s="67"/>
      <c r="K166" s="69"/>
      <c r="L166" s="78"/>
    </row>
    <row r="167" spans="2:12" s="3" customFormat="1" ht="15">
      <c r="B167" s="69"/>
      <c r="C167" s="69"/>
      <c r="D167" s="69"/>
      <c r="E167" s="69"/>
      <c r="F167" s="69"/>
      <c r="G167" s="69"/>
      <c r="H167" s="69"/>
      <c r="I167" s="79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</sheetData>
  <sheetProtection/>
  <mergeCells count="48">
    <mergeCell ref="L63:O63"/>
    <mergeCell ref="E62:F62"/>
    <mergeCell ref="B62:D62"/>
    <mergeCell ref="E20:F20"/>
    <mergeCell ref="D6:J6"/>
    <mergeCell ref="B95:J95"/>
    <mergeCell ref="B73:J73"/>
    <mergeCell ref="B91:J91"/>
    <mergeCell ref="B93:J93"/>
    <mergeCell ref="B90:J90"/>
    <mergeCell ref="B118:C118"/>
    <mergeCell ref="B89:J89"/>
    <mergeCell ref="B92:J92"/>
    <mergeCell ref="B94:J94"/>
    <mergeCell ref="B82:D83"/>
    <mergeCell ref="B84:D85"/>
    <mergeCell ref="E82:F83"/>
    <mergeCell ref="I84:J85"/>
    <mergeCell ref="B72:J72"/>
    <mergeCell ref="D2:J2"/>
    <mergeCell ref="D3:J3"/>
    <mergeCell ref="D4:J4"/>
    <mergeCell ref="B12:E12"/>
    <mergeCell ref="G12:J12"/>
    <mergeCell ref="E76:F76"/>
    <mergeCell ref="E75:F75"/>
    <mergeCell ref="G78:H78"/>
    <mergeCell ref="G77:H77"/>
    <mergeCell ref="G76:H76"/>
    <mergeCell ref="G75:H75"/>
    <mergeCell ref="I77:J77"/>
    <mergeCell ref="I76:J76"/>
    <mergeCell ref="I75:J75"/>
    <mergeCell ref="B78:D78"/>
    <mergeCell ref="B77:D77"/>
    <mergeCell ref="B76:D76"/>
    <mergeCell ref="B74:D75"/>
    <mergeCell ref="E74:J74"/>
    <mergeCell ref="E78:F78"/>
    <mergeCell ref="E77:F77"/>
    <mergeCell ref="G84:H85"/>
    <mergeCell ref="E84:F85"/>
    <mergeCell ref="I82:J83"/>
    <mergeCell ref="G82:H83"/>
    <mergeCell ref="B88:J88"/>
    <mergeCell ref="I78:J78"/>
    <mergeCell ref="B87:J87"/>
    <mergeCell ref="B80:J8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0" max="10" man="1"/>
  </rowBreaks>
  <ignoredErrors>
    <ignoredError sqref="J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(('Arroz 2019-20 Media Tec. Maule'!E13-45000)/45000)+1</f>
        <v>0.0014444444444444704</v>
      </c>
    </row>
    <row r="3" ht="18">
      <c r="B3" s="13"/>
    </row>
    <row r="4" spans="2:3" ht="18">
      <c r="B4" s="350" t="s">
        <v>18</v>
      </c>
      <c r="C4" s="350"/>
    </row>
    <row r="5" spans="2:5" ht="18">
      <c r="B5" s="82" t="s">
        <v>31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1" t="s">
        <v>14</v>
      </c>
      <c r="C14" s="351"/>
      <c r="D14" s="351"/>
    </row>
    <row r="16" spans="2:4" ht="18">
      <c r="B16" s="49" t="s">
        <v>16</v>
      </c>
      <c r="C16" s="48" t="e">
        <f>'Arroz 2019-20 Media Tec. Maule'!#REF!</f>
        <v>#REF!</v>
      </c>
      <c r="D16" s="48" t="e">
        <f>'Arroz 2019-20 Media Tec. Maule'!#REF!</f>
        <v>#REF!</v>
      </c>
    </row>
    <row r="17" ht="15">
      <c r="B17" s="24"/>
    </row>
    <row r="18" spans="2:4" ht="15">
      <c r="B18" s="47" t="s">
        <v>17</v>
      </c>
      <c r="C18" s="50" t="e">
        <f>((C16-'Arroz 2019-20 Media Tec. Maule'!E13)/'Arroz 2019-20 Media Tec. Maule'!E13)+1</f>
        <v>#REF!</v>
      </c>
      <c r="D18" s="50" t="e">
        <f>((D16-'Arroz 2019-20 Media Tec. Maule'!E13)/'Arroz 2019-20 Media Tec. Maule'!E13)+1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SUM('Arroz 2019-20 Media Tec. Maule'!J22:J28)</f>
        <v>68000</v>
      </c>
      <c r="D21" s="9">
        <f>SUM('Arroz 2019-20 Media Tec. Maule'!J22:J28)</f>
        <v>68000</v>
      </c>
    </row>
    <row r="22" spans="2:4" ht="18">
      <c r="B22" s="51" t="s">
        <v>20</v>
      </c>
      <c r="C22" s="52" t="e">
        <f>C18*'Arroz 2019-20 Media Tec. Maule'!G29*'Arroz 2019-20 Media Tec. Maule'!I29</f>
        <v>#REF!</v>
      </c>
      <c r="D22" s="52" t="e">
        <f>D18*'Arroz 2019-20 Media Tec. Maule'!G29*'Arroz 2019-20 Media Tec. Maule'!I29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SUM('Arroz 2019-20 Media Tec. Maule'!J33:J37)</f>
        <v>270000</v>
      </c>
      <c r="D26" s="9">
        <f>SUM('Arroz 2019-20 Media Tec. Maule'!J33:J37)</f>
        <v>270000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270000</v>
      </c>
      <c r="D28" s="9">
        <f>SUM(D26:D27)</f>
        <v>270000</v>
      </c>
    </row>
    <row r="30" ht="18">
      <c r="B30" s="49" t="s">
        <v>22</v>
      </c>
    </row>
    <row r="31" spans="2:4" ht="18">
      <c r="B31" s="17" t="s">
        <v>19</v>
      </c>
      <c r="C31" s="9">
        <f>SUM('Arroz 2019-20 Media Tec. Maule'!J41:J53)</f>
        <v>480320.5</v>
      </c>
      <c r="D31" s="9">
        <f>SUM('Arroz 2019-20 Media Tec. Maule'!J41:J53)</f>
        <v>480320.5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480320.5</v>
      </c>
      <c r="D33" s="9">
        <f>SUM(D31:D32)</f>
        <v>480320.5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C35*'Arroz 2019-20 Media Tec. Maule'!G57</f>
        <v>#REF!</v>
      </c>
      <c r="D37" s="9" t="e">
        <f>D35*D18*'Arroz 2019-20 Media Tec. Maule'!G57</f>
        <v>#REF!</v>
      </c>
    </row>
    <row r="38" spans="2:4" ht="18">
      <c r="B38" s="53" t="s">
        <v>12</v>
      </c>
      <c r="C38" s="9" t="e">
        <f>C35*'Arroz 2019-20 Media Tec. Maule'!E16*'Arroz 2019-20 Media Tec. Maule'!E17*0.5</f>
        <v>#REF!</v>
      </c>
      <c r="D38" s="9" t="e">
        <f>D35*'Arroz 2019-20 Media Tec. Maule'!E16*'Arroz 2019-20 Media Tec. Maule'!E17*0.5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2021-01-21T15:40:10Z</dcterms:modified>
  <cp:category/>
  <cp:version/>
  <cp:contentType/>
  <cp:contentStatus/>
</cp:coreProperties>
</file>