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66" windowHeight="12135" activeTab="0"/>
  </bookViews>
  <sheets>
    <sheet name="Arroz 2022-23 Tec. Media Maule" sheetId="1" r:id="rId1"/>
    <sheet name="Hoja2" sheetId="2" r:id="rId2"/>
    <sheet name="Hoja1" sheetId="3" state="hidden" r:id="rId3"/>
  </sheets>
  <definedNames>
    <definedName name="_xlnm.Print_Area" localSheetId="0">'Arroz 2022-23 Tec. Media Maule'!$A$1:$K$99</definedName>
  </definedNames>
  <calcPr fullCalcOnLoad="1"/>
</workbook>
</file>

<file path=xl/sharedStrings.xml><?xml version="1.0" encoding="utf-8"?>
<sst xmlns="http://schemas.openxmlformats.org/spreadsheetml/2006/main" count="174" uniqueCount="120">
  <si>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</si>
  <si>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</si>
  <si>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</si>
  <si>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</si>
  <si>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</si>
  <si>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</si>
  <si>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</si>
  <si>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</si>
  <si>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</si>
  <si>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</si>
  <si>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</si>
  <si>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</si>
  <si>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</si>
  <si>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</si>
  <si>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</si>
  <si>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</si>
  <si>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</si>
  <si>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</si>
  <si>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</si>
  <si>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</si>
  <si>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</si>
  <si>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</si>
  <si>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</si>
  <si>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</si>
  <si>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</si>
  <si>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</si>
  <si>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</si>
  <si>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</si>
  <si>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</si>
  <si>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</si>
  <si>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</si>
  <si>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</si>
  <si>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</si>
  <si>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</si>
  <si>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</si>
  <si>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</si>
  <si>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</si>
  <si>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</si>
  <si>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</si>
  <si>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</si>
  <si>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</si>
  <si>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</si>
  <si>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</si>
  <si>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</si>
  <si>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</si>
  <si>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</si>
  <si>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</si>
  <si>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</si>
  <si>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</si>
  <si>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</si>
  <si>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Otros:</t>
  </si>
  <si>
    <t>Rendimiento (quintales/hectárea)</t>
  </si>
  <si>
    <t>Costo unitario ($/quintal)</t>
  </si>
  <si>
    <t>Precio ($/quintal)</t>
  </si>
  <si>
    <t>Rendimiento (quintales/hectárea):</t>
  </si>
  <si>
    <t>Fecha de siembra: octubre</t>
  </si>
  <si>
    <t xml:space="preserve">Fecha de cosecha: abril-mayo </t>
  </si>
  <si>
    <t>Limpieza de canales</t>
  </si>
  <si>
    <t>Presiembra (pega pretil, llenado, fangueo, preger)</t>
  </si>
  <si>
    <t xml:space="preserve">Riegos </t>
  </si>
  <si>
    <t xml:space="preserve">Maquina pretilera </t>
  </si>
  <si>
    <t>Rotura de suelo</t>
  </si>
  <si>
    <t>Rastraje</t>
  </si>
  <si>
    <t>Tecnología: media</t>
  </si>
  <si>
    <t>Región del Maule</t>
  </si>
  <si>
    <t>Densidad (plantas/hectárea):sin información</t>
  </si>
  <si>
    <t>hectárea</t>
  </si>
  <si>
    <t>análisis</t>
  </si>
  <si>
    <t>Destino de producción:mercado nacional</t>
  </si>
  <si>
    <t>quintal</t>
  </si>
  <si>
    <t>septiembre-octubre</t>
  </si>
  <si>
    <t>octubre-noviembre</t>
  </si>
  <si>
    <t>octubre-febrero</t>
  </si>
  <si>
    <t>junio-agosto</t>
  </si>
  <si>
    <t>octubre</t>
  </si>
  <si>
    <t>marzo-abril</t>
  </si>
  <si>
    <t>agosto-septiembre</t>
  </si>
  <si>
    <t>noviembre-diciembre</t>
  </si>
  <si>
    <t>abril-mayo</t>
  </si>
  <si>
    <t>anual</t>
  </si>
  <si>
    <t>marzo-mayo</t>
  </si>
  <si>
    <t>junio-octubre</t>
  </si>
  <si>
    <t>Reforzado de pretiles</t>
  </si>
  <si>
    <t>Siembra(al voleo)</t>
  </si>
  <si>
    <t>Aplicación herbicidas (1ra especializada)</t>
  </si>
  <si>
    <t>Aplicación herbicidas (2da especializada)</t>
  </si>
  <si>
    <t>Aplicación fertilizante</t>
  </si>
  <si>
    <t>Cosecha automotriz</t>
  </si>
  <si>
    <t>Trompo(aplicación nitrogeno)</t>
  </si>
  <si>
    <r>
      <t>Arroz ( Oryza sativa L.)</t>
    </r>
    <r>
      <rPr>
        <b/>
        <vertAlign val="superscript"/>
        <sz val="15"/>
        <rFont val="Arial"/>
        <family val="2"/>
      </rPr>
      <t>(1)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</si>
  <si>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</si>
  <si>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</si>
  <si>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</si>
  <si>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</si>
  <si>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</si>
  <si>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arroz.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</si>
  <si>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</si>
  <si>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</si>
  <si>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</si>
  <si>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</si>
  <si>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</si>
  <si>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 xml:space="preserve">Tecnología de riego: </t>
    </r>
    <r>
      <rPr>
        <b/>
        <sz val="14"/>
        <rFont val="Arial"/>
        <family val="2"/>
      </rPr>
      <t>tradicional (pre germinado)</t>
    </r>
  </si>
  <si>
    <t xml:space="preserve"> Semilla</t>
  </si>
  <si>
    <t xml:space="preserve"> Mezcla arroz(15-20-20)</t>
  </si>
  <si>
    <t xml:space="preserve"> Urea</t>
  </si>
  <si>
    <t xml:space="preserve"> Molinate 75 EC</t>
  </si>
  <si>
    <t xml:space="preserve"> Sal Dimetilamina de MCPA 75%</t>
  </si>
  <si>
    <t xml:space="preserve"> Basagran  480</t>
  </si>
  <si>
    <t xml:space="preserve"> Flete insumo-producto</t>
  </si>
  <si>
    <t xml:space="preserve"> Agua</t>
  </si>
  <si>
    <t xml:space="preserve"> Secado a 15%</t>
  </si>
  <si>
    <r>
      <t xml:space="preserve"> Análisis de suelo  </t>
    </r>
    <r>
      <rPr>
        <vertAlign val="superscript"/>
        <sz val="14"/>
        <rFont val="Arial"/>
        <family val="2"/>
      </rPr>
      <t>(5)</t>
    </r>
  </si>
  <si>
    <t>(3) Representa un valor promedio de arriendo en la región.</t>
  </si>
  <si>
    <t>acción</t>
  </si>
  <si>
    <t>Variedad: Diamante INIA, Zafiro - INIA, Pantera.</t>
  </si>
  <si>
    <r>
      <t>Precio de venta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</si>
  <si>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 xml:space="preserve">(2) El precio del arroz,  costos y rendimientos son los promedios  utilizado en el análisis de sensibilidad, sin iva, vía telefónica corresponde precio promedio estimado regional  mayo 2023 de la temporada 2022/23. </t>
  </si>
  <si>
    <t>(Precio sin IVA)</t>
  </si>
  <si>
    <t>1 hectárea mayo 2023</t>
  </si>
  <si>
    <t>Ficha de Costos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</si>
</sst>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5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 locked="0"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0" borderId="19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/>
      <protection/>
    </xf>
    <xf numFmtId="0" fontId="10" fillId="0" borderId="11" xfId="56" applyFont="1" applyFill="1" applyBorder="1" applyAlignment="1" applyProtection="1">
      <alignment/>
      <protection/>
    </xf>
    <xf numFmtId="0" fontId="10" fillId="0" borderId="15" xfId="56" applyFont="1" applyFill="1" applyBorder="1" applyAlignment="1" applyProtection="1">
      <alignment/>
      <protection/>
    </xf>
    <xf numFmtId="0" fontId="10" fillId="0" borderId="13" xfId="56" applyFont="1" applyFill="1" applyBorder="1" applyAlignment="1" applyProtection="1">
      <alignment/>
      <protection/>
    </xf>
    <xf numFmtId="0" fontId="10" fillId="0" borderId="16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9" xfId="56" applyFont="1" applyFill="1" applyBorder="1">
      <alignment/>
      <protection/>
    </xf>
    <xf numFmtId="0" fontId="10" fillId="0" borderId="23" xfId="56" applyFont="1" applyFill="1" applyBorder="1" applyAlignment="1" applyProtection="1">
      <alignment horizontal="center"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4" borderId="16" xfId="55" applyFont="1" applyFill="1" applyBorder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0" fontId="10" fillId="0" borderId="0" xfId="56" applyFont="1" applyFill="1" applyBorder="1" applyAlignment="1">
      <alignment/>
      <protection/>
    </xf>
    <xf numFmtId="0" fontId="10" fillId="0" borderId="13" xfId="56" applyFont="1" applyFill="1" applyBorder="1" applyAlignment="1">
      <alignment/>
      <protection/>
    </xf>
    <xf numFmtId="181" fontId="10" fillId="0" borderId="19" xfId="56" applyNumberFormat="1" applyFont="1" applyFill="1" applyBorder="1" applyAlignment="1" applyProtection="1">
      <alignment horizontal="right"/>
      <protection/>
    </xf>
    <xf numFmtId="181" fontId="10" fillId="0" borderId="15" xfId="56" applyNumberFormat="1" applyFont="1" applyFill="1" applyBorder="1" applyAlignment="1" applyProtection="1">
      <alignment horizontal="right"/>
      <protection/>
    </xf>
    <xf numFmtId="0" fontId="10" fillId="0" borderId="19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5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181" fontId="10" fillId="0" borderId="11" xfId="56" applyNumberFormat="1" applyFont="1" applyFill="1" applyBorder="1" applyAlignment="1" applyProtection="1">
      <alignment horizontal="right"/>
      <protection/>
    </xf>
    <xf numFmtId="181" fontId="10" fillId="0" borderId="21" xfId="56" applyNumberFormat="1" applyFont="1" applyBorder="1" applyAlignment="1">
      <alignment horizontal="right"/>
      <protection/>
    </xf>
    <xf numFmtId="181" fontId="10" fillId="0" borderId="22" xfId="56" applyNumberFormat="1" applyFont="1" applyBorder="1" applyAlignment="1">
      <alignment horizontal="right"/>
      <protection/>
    </xf>
    <xf numFmtId="3" fontId="10" fillId="0" borderId="11" xfId="67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18" xfId="56" applyFont="1" applyFill="1" applyBorder="1" applyAlignment="1">
      <alignment vertical="center"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0" xfId="56" applyFont="1" applyFill="1" applyBorder="1" applyAlignment="1">
      <alignment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184" fontId="10" fillId="34" borderId="21" xfId="56" applyNumberFormat="1" applyFont="1" applyFill="1" applyBorder="1" applyAlignment="1" applyProtection="1">
      <alignment horizontal="right"/>
      <protection/>
    </xf>
    <xf numFmtId="184" fontId="10" fillId="34" borderId="22" xfId="56" applyNumberFormat="1" applyFont="1" applyFill="1" applyBorder="1" applyAlignment="1" applyProtection="1">
      <alignment horizontal="right"/>
      <protection/>
    </xf>
    <xf numFmtId="181" fontId="10" fillId="34" borderId="11" xfId="56" applyNumberFormat="1" applyFont="1" applyFill="1" applyBorder="1" applyAlignment="1" applyProtection="1">
      <alignment horizontal="right"/>
      <protection locked="0"/>
    </xf>
    <xf numFmtId="184" fontId="10" fillId="34" borderId="22" xfId="67" applyNumberFormat="1" applyFont="1" applyFill="1" applyBorder="1" applyAlignment="1" applyProtection="1">
      <alignment horizontal="righ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181" fontId="10" fillId="34" borderId="22" xfId="67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/>
      <protection/>
    </xf>
    <xf numFmtId="181" fontId="10" fillId="34" borderId="16" xfId="67" applyNumberFormat="1" applyFont="1" applyFill="1" applyBorder="1" applyAlignment="1" applyProtection="1">
      <alignment horizontal="right"/>
      <protection/>
    </xf>
    <xf numFmtId="0" fontId="10" fillId="34" borderId="21" xfId="56" applyFont="1" applyFill="1" applyBorder="1" applyAlignment="1" applyProtection="1">
      <alignment horizontal="right"/>
      <protection/>
    </xf>
    <xf numFmtId="0" fontId="10" fillId="34" borderId="22" xfId="56" applyFont="1" applyFill="1" applyBorder="1" applyAlignment="1" applyProtection="1">
      <alignment horizontal="right"/>
      <protection/>
    </xf>
    <xf numFmtId="180" fontId="10" fillId="34" borderId="22" xfId="67" applyFont="1" applyFill="1" applyBorder="1" applyAlignment="1">
      <alignment horizontal="right"/>
      <protection/>
    </xf>
    <xf numFmtId="180" fontId="10" fillId="34" borderId="22" xfId="67" applyFont="1" applyFill="1" applyBorder="1" applyAlignment="1" applyProtection="1">
      <alignment horizontal="right"/>
      <protection locked="0"/>
    </xf>
    <xf numFmtId="180" fontId="10" fillId="34" borderId="23" xfId="67" applyFont="1" applyFill="1" applyBorder="1" applyAlignment="1">
      <alignment horizontal="right"/>
      <protection/>
    </xf>
    <xf numFmtId="3" fontId="10" fillId="0" borderId="22" xfId="56" applyNumberFormat="1" applyFont="1" applyFill="1" applyBorder="1" applyAlignment="1" applyProtection="1">
      <alignment horizontal="right"/>
      <protection locked="0"/>
    </xf>
    <xf numFmtId="3" fontId="10" fillId="0" borderId="2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right"/>
      <protection/>
    </xf>
    <xf numFmtId="0" fontId="10" fillId="0" borderId="12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left"/>
      <protection/>
    </xf>
    <xf numFmtId="3" fontId="10" fillId="0" borderId="23" xfId="56" applyNumberFormat="1" applyFont="1" applyFill="1" applyBorder="1" applyAlignment="1" applyProtection="1">
      <alignment horizontal="righ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3" fontId="8" fillId="37" borderId="14" xfId="0" applyNumberFormat="1" applyFont="1" applyFill="1" applyBorder="1" applyAlignment="1">
      <alignment horizontal="right" vertical="center"/>
    </xf>
    <xf numFmtId="3" fontId="8" fillId="37" borderId="18" xfId="0" applyNumberFormat="1" applyFont="1" applyFill="1" applyBorder="1" applyAlignment="1">
      <alignment horizontal="right" vertical="center"/>
    </xf>
    <xf numFmtId="3" fontId="8" fillId="37" borderId="0" xfId="0" applyNumberFormat="1" applyFont="1" applyFill="1" applyBorder="1" applyAlignment="1">
      <alignment horizontal="right" vertical="center"/>
    </xf>
    <xf numFmtId="3" fontId="8" fillId="37" borderId="11" xfId="0" applyNumberFormat="1" applyFont="1" applyFill="1" applyBorder="1" applyAlignment="1">
      <alignment horizontal="right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183" fontId="10" fillId="34" borderId="25" xfId="0" applyNumberFormat="1" applyFont="1" applyFill="1" applyBorder="1" applyAlignment="1">
      <alignment horizontal="right"/>
    </xf>
    <xf numFmtId="183" fontId="10" fillId="34" borderId="20" xfId="0" applyNumberFormat="1" applyFont="1" applyFill="1" applyBorder="1" applyAlignment="1">
      <alignment horizontal="right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right"/>
    </xf>
    <xf numFmtId="3" fontId="8" fillId="37" borderId="20" xfId="0" applyNumberFormat="1" applyFont="1" applyFill="1" applyBorder="1" applyAlignment="1">
      <alignment horizontal="right"/>
    </xf>
    <xf numFmtId="3" fontId="8" fillId="37" borderId="25" xfId="0" applyNumberFormat="1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right" vertical="center"/>
    </xf>
    <xf numFmtId="3" fontId="8" fillId="37" borderId="20" xfId="0" applyNumberFormat="1" applyFont="1" applyFill="1" applyBorder="1" applyAlignment="1">
      <alignment horizontal="right" vertical="center"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2" fontId="11" fillId="34" borderId="13" xfId="67" applyNumberFormat="1" applyFont="1" applyFill="1" applyBorder="1" applyAlignment="1">
      <alignment horizontal="center" vertical="center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right" vertical="center"/>
    </xf>
    <xf numFmtId="183" fontId="10" fillId="34" borderId="11" xfId="0" applyNumberFormat="1" applyFont="1" applyFill="1" applyBorder="1" applyAlignment="1">
      <alignment horizontal="right" vertical="center"/>
    </xf>
    <xf numFmtId="183" fontId="10" fillId="34" borderId="13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628650</xdr:colOff>
      <xdr:row>98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22027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1"/>
  <sheetViews>
    <sheetView showGridLines="0" tabSelected="1" view="pageLayout" zoomScale="60" zoomScaleNormal="70" zoomScaleSheetLayoutView="70" zoomScalePageLayoutView="60" workbookViewId="0" topLeftCell="A1">
      <selection activeCell="N12" sqref="N1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5"/>
      <c r="C2" s="135"/>
      <c r="D2" s="303" t="s">
        <v>119</v>
      </c>
      <c r="E2" s="303"/>
      <c r="F2" s="303"/>
      <c r="G2" s="303"/>
      <c r="H2" s="303"/>
      <c r="I2" s="303"/>
      <c r="J2" s="303"/>
    </row>
    <row r="3" spans="2:10" s="3" customFormat="1" ht="18" customHeight="1">
      <c r="B3" s="135"/>
      <c r="C3" s="135"/>
      <c r="D3" s="265"/>
      <c r="E3" s="265"/>
      <c r="F3" s="265"/>
      <c r="G3" s="265"/>
      <c r="H3" s="265"/>
      <c r="I3" s="265"/>
      <c r="J3" s="265"/>
    </row>
    <row r="4" spans="2:11" s="3" customFormat="1" ht="18" customHeight="1">
      <c r="B4" s="94"/>
      <c r="C4" s="116"/>
      <c r="D4" s="304" t="s">
        <v>89</v>
      </c>
      <c r="E4" s="304"/>
      <c r="F4" s="304"/>
      <c r="G4" s="304"/>
      <c r="H4" s="304"/>
      <c r="I4" s="304"/>
      <c r="J4" s="304"/>
      <c r="K4" s="14"/>
    </row>
    <row r="5" spans="2:11" s="3" customFormat="1" ht="18" customHeight="1">
      <c r="B5" s="94"/>
      <c r="C5" s="116"/>
      <c r="D5" s="304" t="s">
        <v>64</v>
      </c>
      <c r="E5" s="304"/>
      <c r="F5" s="304"/>
      <c r="G5" s="304"/>
      <c r="H5" s="304"/>
      <c r="I5" s="304"/>
      <c r="J5" s="304"/>
      <c r="K5" s="14"/>
    </row>
    <row r="6" spans="2:11" s="3" customFormat="1" ht="18" customHeight="1">
      <c r="B6" s="42"/>
      <c r="C6" s="42"/>
      <c r="D6" s="311" t="s">
        <v>117</v>
      </c>
      <c r="E6" s="311"/>
      <c r="F6" s="311"/>
      <c r="G6" s="311"/>
      <c r="H6" s="311"/>
      <c r="I6" s="311"/>
      <c r="J6" s="311"/>
      <c r="K6" s="16"/>
    </row>
    <row r="7" spans="2:11" s="3" customFormat="1" ht="18" customHeight="1">
      <c r="B7" s="42"/>
      <c r="C7" s="42"/>
      <c r="D7" s="339" t="s">
        <v>28</v>
      </c>
      <c r="E7" s="340"/>
      <c r="F7" s="340"/>
      <c r="G7" s="340"/>
      <c r="H7" s="340"/>
      <c r="I7" s="340"/>
      <c r="J7" s="341"/>
      <c r="K7" s="16"/>
    </row>
    <row r="8" spans="2:11" s="3" customFormat="1" ht="18" customHeight="1">
      <c r="B8" s="42"/>
      <c r="C8" s="42"/>
      <c r="D8" s="85" t="s">
        <v>118</v>
      </c>
      <c r="E8" s="86"/>
      <c r="F8" s="86"/>
      <c r="G8" s="87" t="s">
        <v>114</v>
      </c>
      <c r="H8" s="88"/>
      <c r="I8" s="89"/>
      <c r="J8" s="90"/>
      <c r="K8" s="16"/>
    </row>
    <row r="9" spans="2:11" s="3" customFormat="1" ht="18" customHeight="1">
      <c r="B9" s="42"/>
      <c r="C9" s="42"/>
      <c r="D9" s="91" t="s">
        <v>101</v>
      </c>
      <c r="E9" s="92"/>
      <c r="F9" s="92"/>
      <c r="G9" s="93" t="s">
        <v>68</v>
      </c>
      <c r="H9" s="94"/>
      <c r="I9" s="95"/>
      <c r="J9" s="96"/>
      <c r="K9" s="16"/>
    </row>
    <row r="10" spans="2:11" s="3" customFormat="1" ht="18" customHeight="1">
      <c r="B10" s="42"/>
      <c r="C10" s="42"/>
      <c r="D10" s="91" t="s">
        <v>65</v>
      </c>
      <c r="E10" s="147"/>
      <c r="F10" s="92"/>
      <c r="G10" s="93" t="s">
        <v>63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55</v>
      </c>
      <c r="E11" s="98"/>
      <c r="F11" s="98"/>
      <c r="G11" s="99" t="s">
        <v>56</v>
      </c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4"/>
      <c r="K12" s="18"/>
    </row>
    <row r="13" spans="2:11" ht="17.25">
      <c r="B13" s="305" t="s">
        <v>29</v>
      </c>
      <c r="C13" s="306"/>
      <c r="D13" s="306"/>
      <c r="E13" s="307"/>
      <c r="F13" s="41"/>
      <c r="G13" s="308" t="s">
        <v>4</v>
      </c>
      <c r="H13" s="309"/>
      <c r="I13" s="309"/>
      <c r="J13" s="310"/>
      <c r="K13" s="16"/>
    </row>
    <row r="14" spans="2:11" ht="17.25">
      <c r="B14" s="107" t="s">
        <v>54</v>
      </c>
      <c r="C14" s="108"/>
      <c r="D14" s="86"/>
      <c r="E14" s="223">
        <v>65</v>
      </c>
      <c r="F14" s="42"/>
      <c r="G14" s="112" t="s">
        <v>45</v>
      </c>
      <c r="H14" s="86"/>
      <c r="I14" s="86"/>
      <c r="J14" s="136">
        <f>E14*E15</f>
        <v>1937000</v>
      </c>
      <c r="K14" s="16"/>
    </row>
    <row r="15" spans="2:13" ht="18" customHeight="1">
      <c r="B15" s="168" t="s">
        <v>115</v>
      </c>
      <c r="C15" s="169"/>
      <c r="D15" s="169"/>
      <c r="E15" s="189">
        <v>29800</v>
      </c>
      <c r="F15" s="42"/>
      <c r="G15" s="113" t="s">
        <v>42</v>
      </c>
      <c r="H15" s="42"/>
      <c r="I15" s="42"/>
      <c r="J15" s="137">
        <f>J31+J39+J55+J58</f>
        <v>1510102.65</v>
      </c>
      <c r="K15" s="16"/>
      <c r="M15" s="156"/>
    </row>
    <row r="16" spans="2:11" ht="17.25">
      <c r="B16" s="130" t="s">
        <v>32</v>
      </c>
      <c r="C16" s="43"/>
      <c r="D16" s="42"/>
      <c r="E16" s="189">
        <v>22000</v>
      </c>
      <c r="F16" s="42"/>
      <c r="G16" s="113" t="s">
        <v>44</v>
      </c>
      <c r="H16" s="44"/>
      <c r="I16" s="42"/>
      <c r="J16" s="137">
        <f>J31+J39+J55+J58+J68</f>
        <v>1612034.578875</v>
      </c>
      <c r="K16" s="16"/>
    </row>
    <row r="17" spans="2:11" ht="17.25">
      <c r="B17" s="130" t="s">
        <v>2</v>
      </c>
      <c r="C17" s="45"/>
      <c r="D17" s="42"/>
      <c r="E17" s="109">
        <v>0.015</v>
      </c>
      <c r="F17" s="42"/>
      <c r="G17" s="113" t="s">
        <v>46</v>
      </c>
      <c r="H17" s="42"/>
      <c r="I17" s="42"/>
      <c r="J17" s="137">
        <f>J14-J15</f>
        <v>426897.3500000001</v>
      </c>
      <c r="K17" s="16"/>
    </row>
    <row r="18" spans="2:11" ht="17.25">
      <c r="B18" s="130" t="s">
        <v>3</v>
      </c>
      <c r="C18" s="45"/>
      <c r="D18" s="42"/>
      <c r="E18" s="220">
        <v>9</v>
      </c>
      <c r="F18" s="42"/>
      <c r="G18" s="113" t="s">
        <v>47</v>
      </c>
      <c r="H18" s="42"/>
      <c r="I18" s="42"/>
      <c r="J18" s="137">
        <f>J14-J16</f>
        <v>324965.4211250001</v>
      </c>
      <c r="K18" s="16"/>
    </row>
    <row r="19" spans="2:11" ht="17.25">
      <c r="B19" s="110"/>
      <c r="C19" s="111"/>
      <c r="D19" s="103"/>
      <c r="E19" s="221"/>
      <c r="F19" s="42"/>
      <c r="G19" s="114" t="s">
        <v>25</v>
      </c>
      <c r="H19" s="103"/>
      <c r="I19" s="115"/>
      <c r="J19" s="138">
        <f>G85</f>
        <v>24800.531982692308</v>
      </c>
      <c r="K19" s="16"/>
    </row>
    <row r="20" spans="2:11" s="3" customFormat="1" ht="17.25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18" t="s">
        <v>26</v>
      </c>
      <c r="C21" s="117"/>
      <c r="D21" s="117"/>
      <c r="E21" s="338"/>
      <c r="F21" s="338"/>
      <c r="G21" s="119"/>
      <c r="H21" s="120"/>
      <c r="I21" s="128"/>
      <c r="J21" s="121"/>
      <c r="K21" s="16"/>
    </row>
    <row r="22" spans="2:11" s="3" customFormat="1" ht="18" customHeight="1">
      <c r="B22" s="172" t="s">
        <v>7</v>
      </c>
      <c r="C22" s="173"/>
      <c r="D22" s="173"/>
      <c r="E22" s="186" t="s">
        <v>33</v>
      </c>
      <c r="F22" s="185"/>
      <c r="G22" s="139" t="s">
        <v>5</v>
      </c>
      <c r="H22" s="140" t="s">
        <v>6</v>
      </c>
      <c r="I22" s="141" t="s">
        <v>39</v>
      </c>
      <c r="J22" s="142" t="s">
        <v>1</v>
      </c>
      <c r="K22" s="16"/>
    </row>
    <row r="23" spans="2:10" s="3" customFormat="1" ht="17.25">
      <c r="B23" s="211" t="s">
        <v>57</v>
      </c>
      <c r="C23" s="212"/>
      <c r="D23" s="213"/>
      <c r="E23" s="224" t="s">
        <v>76</v>
      </c>
      <c r="F23" s="224"/>
      <c r="G23" s="226">
        <v>0.4</v>
      </c>
      <c r="H23" s="143" t="s">
        <v>35</v>
      </c>
      <c r="I23" s="152">
        <f>$E$16</f>
        <v>22000</v>
      </c>
      <c r="J23" s="152">
        <f>G23*I23</f>
        <v>8800</v>
      </c>
    </row>
    <row r="24" spans="2:10" s="3" customFormat="1" ht="17.25">
      <c r="B24" s="211" t="s">
        <v>82</v>
      </c>
      <c r="C24" s="212"/>
      <c r="D24" s="213"/>
      <c r="E24" s="224" t="s">
        <v>73</v>
      </c>
      <c r="F24" s="224"/>
      <c r="G24" s="226">
        <v>0.2</v>
      </c>
      <c r="H24" s="144" t="s">
        <v>35</v>
      </c>
      <c r="I24" s="10">
        <f>E16</f>
        <v>22000</v>
      </c>
      <c r="J24" s="10">
        <f>G24*I24</f>
        <v>4400</v>
      </c>
    </row>
    <row r="25" spans="2:10" s="3" customFormat="1" ht="17.25">
      <c r="B25" s="211" t="s">
        <v>58</v>
      </c>
      <c r="C25" s="212"/>
      <c r="D25" s="213"/>
      <c r="E25" s="224" t="s">
        <v>71</v>
      </c>
      <c r="F25" s="224"/>
      <c r="G25" s="226">
        <v>1.2</v>
      </c>
      <c r="H25" s="144" t="s">
        <v>35</v>
      </c>
      <c r="I25" s="10">
        <f>E16</f>
        <v>22000</v>
      </c>
      <c r="J25" s="10">
        <f aca="true" t="shared" si="0" ref="J25:J30">G25*I25</f>
        <v>26400</v>
      </c>
    </row>
    <row r="26" spans="2:10" s="3" customFormat="1" ht="17.25">
      <c r="B26" s="211" t="s">
        <v>83</v>
      </c>
      <c r="C26" s="212"/>
      <c r="D26" s="213"/>
      <c r="E26" s="224" t="s">
        <v>74</v>
      </c>
      <c r="F26" s="224"/>
      <c r="G26" s="226">
        <v>0.2</v>
      </c>
      <c r="H26" s="144" t="s">
        <v>35</v>
      </c>
      <c r="I26" s="10">
        <f>E16</f>
        <v>22000</v>
      </c>
      <c r="J26" s="10">
        <f>G26*I26</f>
        <v>4400</v>
      </c>
    </row>
    <row r="27" spans="2:10" s="3" customFormat="1" ht="17.25">
      <c r="B27" s="211" t="s">
        <v>84</v>
      </c>
      <c r="C27" s="212"/>
      <c r="D27" s="213"/>
      <c r="E27" s="224" t="s">
        <v>71</v>
      </c>
      <c r="F27" s="224"/>
      <c r="G27" s="226">
        <v>0.2</v>
      </c>
      <c r="H27" s="144" t="s">
        <v>35</v>
      </c>
      <c r="I27" s="10">
        <v>60000</v>
      </c>
      <c r="J27" s="10">
        <f t="shared" si="0"/>
        <v>12000</v>
      </c>
    </row>
    <row r="28" spans="2:10" s="3" customFormat="1" ht="17.25">
      <c r="B28" s="211" t="s">
        <v>85</v>
      </c>
      <c r="C28" s="212"/>
      <c r="D28" s="213"/>
      <c r="E28" s="224" t="s">
        <v>71</v>
      </c>
      <c r="F28" s="224"/>
      <c r="G28" s="226">
        <v>0.2</v>
      </c>
      <c r="H28" s="144" t="s">
        <v>35</v>
      </c>
      <c r="I28" s="10">
        <v>60000</v>
      </c>
      <c r="J28" s="10">
        <f t="shared" si="0"/>
        <v>12000</v>
      </c>
    </row>
    <row r="29" spans="2:10" s="3" customFormat="1" ht="17.25">
      <c r="B29" s="211" t="s">
        <v>86</v>
      </c>
      <c r="C29" s="212"/>
      <c r="D29" s="213"/>
      <c r="E29" s="224" t="s">
        <v>71</v>
      </c>
      <c r="F29" s="224"/>
      <c r="G29" s="226">
        <v>0.2</v>
      </c>
      <c r="H29" s="144" t="s">
        <v>35</v>
      </c>
      <c r="I29" s="10">
        <f>$E$16</f>
        <v>22000</v>
      </c>
      <c r="J29" s="10">
        <f t="shared" si="0"/>
        <v>4400</v>
      </c>
    </row>
    <row r="30" spans="2:10" s="3" customFormat="1" ht="17.25" customHeight="1">
      <c r="B30" s="214" t="s">
        <v>59</v>
      </c>
      <c r="C30" s="215"/>
      <c r="D30" s="216"/>
      <c r="E30" s="225" t="s">
        <v>72</v>
      </c>
      <c r="F30" s="225"/>
      <c r="G30" s="227">
        <v>3</v>
      </c>
      <c r="H30" s="219" t="s">
        <v>35</v>
      </c>
      <c r="I30" s="10">
        <f>$E$16</f>
        <v>22000</v>
      </c>
      <c r="J30" s="153">
        <f t="shared" si="0"/>
        <v>66000</v>
      </c>
    </row>
    <row r="31" spans="2:11" ht="17.25">
      <c r="B31" s="176" t="s">
        <v>8</v>
      </c>
      <c r="C31" s="177"/>
      <c r="D31" s="177"/>
      <c r="E31" s="177"/>
      <c r="F31" s="177"/>
      <c r="G31" s="177"/>
      <c r="H31" s="181"/>
      <c r="I31" s="177"/>
      <c r="J31" s="104">
        <f>SUM(J23:J30)</f>
        <v>138400</v>
      </c>
      <c r="K31" s="3"/>
    </row>
    <row r="32" spans="2:10" s="3" customFormat="1" ht="17.25">
      <c r="B32" s="84"/>
      <c r="C32" s="84"/>
      <c r="D32" s="84"/>
      <c r="E32" s="84"/>
      <c r="F32" s="84"/>
      <c r="G32" s="25"/>
      <c r="H32" s="84"/>
      <c r="I32" s="84"/>
      <c r="J32" s="27"/>
    </row>
    <row r="33" spans="2:11" s="28" customFormat="1" ht="18" customHeight="1">
      <c r="B33" s="172" t="s">
        <v>90</v>
      </c>
      <c r="C33" s="173"/>
      <c r="D33" s="173"/>
      <c r="E33" s="186" t="s">
        <v>33</v>
      </c>
      <c r="F33" s="186"/>
      <c r="G33" s="139" t="s">
        <v>5</v>
      </c>
      <c r="H33" s="140" t="s">
        <v>6</v>
      </c>
      <c r="I33" s="141" t="s">
        <v>39</v>
      </c>
      <c r="J33" s="142" t="s">
        <v>1</v>
      </c>
      <c r="K33" s="3"/>
    </row>
    <row r="34" spans="2:10" s="3" customFormat="1" ht="17.25">
      <c r="B34" s="193" t="s">
        <v>60</v>
      </c>
      <c r="C34" s="196"/>
      <c r="D34" s="196"/>
      <c r="E34" s="228" t="s">
        <v>73</v>
      </c>
      <c r="F34" s="229"/>
      <c r="G34" s="232">
        <v>1</v>
      </c>
      <c r="H34" s="233" t="s">
        <v>66</v>
      </c>
      <c r="I34" s="235">
        <v>25000</v>
      </c>
      <c r="J34" s="125">
        <f>I34*G34</f>
        <v>25000</v>
      </c>
    </row>
    <row r="35" spans="2:10" s="3" customFormat="1" ht="17.25">
      <c r="B35" s="211" t="s">
        <v>61</v>
      </c>
      <c r="C35" s="212"/>
      <c r="D35" s="213"/>
      <c r="E35" s="228" t="s">
        <v>73</v>
      </c>
      <c r="F35" s="229"/>
      <c r="G35" s="232">
        <v>1</v>
      </c>
      <c r="H35" s="234" t="s">
        <v>66</v>
      </c>
      <c r="I35" s="235">
        <v>45000</v>
      </c>
      <c r="J35" s="126">
        <f>G35*I35</f>
        <v>45000</v>
      </c>
    </row>
    <row r="36" spans="2:10" s="3" customFormat="1" ht="17.25">
      <c r="B36" s="211" t="s">
        <v>62</v>
      </c>
      <c r="C36" s="212"/>
      <c r="D36" s="213"/>
      <c r="E36" s="228" t="s">
        <v>70</v>
      </c>
      <c r="F36" s="229"/>
      <c r="G36" s="232">
        <v>3</v>
      </c>
      <c r="H36" s="234" t="s">
        <v>66</v>
      </c>
      <c r="I36" s="235">
        <v>45000</v>
      </c>
      <c r="J36" s="126">
        <f>I36*G36</f>
        <v>135000</v>
      </c>
    </row>
    <row r="37" spans="2:10" s="3" customFormat="1" ht="17.25">
      <c r="B37" s="193" t="s">
        <v>88</v>
      </c>
      <c r="C37" s="194"/>
      <c r="D37" s="195"/>
      <c r="E37" s="228" t="s">
        <v>74</v>
      </c>
      <c r="F37" s="229"/>
      <c r="G37" s="232">
        <v>1</v>
      </c>
      <c r="H37" s="234" t="s">
        <v>66</v>
      </c>
      <c r="I37" s="10">
        <v>20000</v>
      </c>
      <c r="J37" s="126">
        <f>I37*G37</f>
        <v>20000</v>
      </c>
    </row>
    <row r="38" spans="2:10" s="3" customFormat="1" ht="17.25">
      <c r="B38" s="211" t="s">
        <v>87</v>
      </c>
      <c r="C38" s="212"/>
      <c r="D38" s="213"/>
      <c r="E38" s="230" t="s">
        <v>75</v>
      </c>
      <c r="F38" s="231"/>
      <c r="G38" s="232">
        <v>1</v>
      </c>
      <c r="H38" s="234" t="s">
        <v>66</v>
      </c>
      <c r="I38" s="235">
        <v>140000</v>
      </c>
      <c r="J38" s="131">
        <f>I38*G38</f>
        <v>140000</v>
      </c>
    </row>
    <row r="39" spans="2:12" ht="15.75" customHeight="1">
      <c r="B39" s="176" t="s">
        <v>10</v>
      </c>
      <c r="C39" s="177"/>
      <c r="D39" s="177"/>
      <c r="E39" s="177"/>
      <c r="F39" s="177"/>
      <c r="G39" s="177"/>
      <c r="H39" s="177"/>
      <c r="I39" s="177"/>
      <c r="J39" s="122">
        <f>SUM(J34:J38)</f>
        <v>365000</v>
      </c>
      <c r="K39" s="3"/>
      <c r="L39" s="16"/>
    </row>
    <row r="40" spans="2:12" s="3" customFormat="1" ht="17.25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72" t="s">
        <v>91</v>
      </c>
      <c r="C41" s="173"/>
      <c r="D41" s="173"/>
      <c r="E41" s="186" t="s">
        <v>33</v>
      </c>
      <c r="F41" s="186"/>
      <c r="G41" s="139" t="s">
        <v>5</v>
      </c>
      <c r="H41" s="140" t="s">
        <v>6</v>
      </c>
      <c r="I41" s="141" t="s">
        <v>39</v>
      </c>
      <c r="J41" s="142" t="s">
        <v>1</v>
      </c>
      <c r="L41" s="24"/>
    </row>
    <row r="42" spans="2:12" s="3" customFormat="1" ht="17.25">
      <c r="B42" s="222" t="s">
        <v>102</v>
      </c>
      <c r="C42" s="151"/>
      <c r="D42" s="151"/>
      <c r="E42" s="236" t="s">
        <v>76</v>
      </c>
      <c r="F42" s="237"/>
      <c r="G42" s="245">
        <v>170</v>
      </c>
      <c r="H42" s="253" t="s">
        <v>36</v>
      </c>
      <c r="I42" s="125">
        <v>600</v>
      </c>
      <c r="J42" s="125">
        <f>G42*I42</f>
        <v>102000</v>
      </c>
      <c r="L42" s="24"/>
    </row>
    <row r="43" spans="2:12" s="3" customFormat="1" ht="17.25">
      <c r="B43" s="192" t="s">
        <v>24</v>
      </c>
      <c r="C43" s="150"/>
      <c r="D43" s="150"/>
      <c r="E43" s="238"/>
      <c r="F43" s="239"/>
      <c r="G43" s="246"/>
      <c r="H43" s="254"/>
      <c r="I43" s="126"/>
      <c r="J43" s="126"/>
      <c r="L43" s="24"/>
    </row>
    <row r="44" spans="2:12" s="3" customFormat="1" ht="17.25">
      <c r="B44" s="197" t="s">
        <v>103</v>
      </c>
      <c r="C44" s="190"/>
      <c r="D44" s="201"/>
      <c r="E44" s="240" t="s">
        <v>76</v>
      </c>
      <c r="F44" s="241"/>
      <c r="G44" s="247">
        <v>250</v>
      </c>
      <c r="H44" s="254" t="s">
        <v>36</v>
      </c>
      <c r="I44" s="258">
        <v>1350</v>
      </c>
      <c r="J44" s="126">
        <f>G44*I44</f>
        <v>337500</v>
      </c>
      <c r="L44" s="24"/>
    </row>
    <row r="45" spans="2:12" s="3" customFormat="1" ht="17.25">
      <c r="B45" s="191" t="s">
        <v>104</v>
      </c>
      <c r="C45" s="190"/>
      <c r="D45" s="201"/>
      <c r="E45" s="240" t="s">
        <v>77</v>
      </c>
      <c r="F45" s="241"/>
      <c r="G45" s="247">
        <v>150</v>
      </c>
      <c r="H45" s="254" t="s">
        <v>36</v>
      </c>
      <c r="I45" s="258">
        <v>1150</v>
      </c>
      <c r="J45" s="126">
        <f>G45*I45</f>
        <v>172500</v>
      </c>
      <c r="L45" s="24"/>
    </row>
    <row r="46" spans="2:12" s="3" customFormat="1" ht="17.25">
      <c r="B46" s="217" t="s">
        <v>49</v>
      </c>
      <c r="C46" s="201"/>
      <c r="D46" s="201"/>
      <c r="E46" s="238"/>
      <c r="F46" s="239"/>
      <c r="G46" s="248"/>
      <c r="H46" s="255"/>
      <c r="I46" s="126"/>
      <c r="J46" s="126"/>
      <c r="L46" s="24"/>
    </row>
    <row r="47" spans="2:12" s="3" customFormat="1" ht="17.25">
      <c r="B47" s="145" t="s">
        <v>105</v>
      </c>
      <c r="C47" s="146"/>
      <c r="D47" s="198"/>
      <c r="E47" s="242" t="s">
        <v>77</v>
      </c>
      <c r="F47" s="239"/>
      <c r="G47" s="249">
        <v>6</v>
      </c>
      <c r="H47" s="256" t="s">
        <v>37</v>
      </c>
      <c r="I47" s="11">
        <v>19263</v>
      </c>
      <c r="J47" s="126">
        <f>G47*I47</f>
        <v>115578</v>
      </c>
      <c r="L47" s="24"/>
    </row>
    <row r="48" spans="2:12" s="3" customFormat="1" ht="17.25">
      <c r="B48" s="145" t="s">
        <v>106</v>
      </c>
      <c r="C48" s="146"/>
      <c r="D48" s="198"/>
      <c r="E48" s="242" t="s">
        <v>77</v>
      </c>
      <c r="F48" s="239"/>
      <c r="G48" s="249">
        <v>0.5</v>
      </c>
      <c r="H48" s="247" t="s">
        <v>37</v>
      </c>
      <c r="I48" s="11">
        <v>18350</v>
      </c>
      <c r="J48" s="126">
        <f>G48*I48</f>
        <v>9175</v>
      </c>
      <c r="L48" s="24"/>
    </row>
    <row r="49" spans="2:12" s="3" customFormat="1" ht="17.25">
      <c r="B49" s="218" t="s">
        <v>107</v>
      </c>
      <c r="C49" s="146"/>
      <c r="D49" s="198"/>
      <c r="E49" s="242" t="s">
        <v>77</v>
      </c>
      <c r="F49" s="239"/>
      <c r="G49" s="249">
        <v>2</v>
      </c>
      <c r="H49" s="247" t="s">
        <v>37</v>
      </c>
      <c r="I49" s="11">
        <v>26270</v>
      </c>
      <c r="J49" s="126">
        <f>G49*I49</f>
        <v>52540</v>
      </c>
      <c r="L49" s="24"/>
    </row>
    <row r="50" spans="2:12" s="3" customFormat="1" ht="17.25">
      <c r="B50" s="149" t="s">
        <v>50</v>
      </c>
      <c r="C50" s="146"/>
      <c r="D50" s="146"/>
      <c r="E50" s="238"/>
      <c r="F50" s="239"/>
      <c r="G50" s="248"/>
      <c r="H50" s="255"/>
      <c r="I50" s="126"/>
      <c r="J50" s="126"/>
      <c r="L50" s="24"/>
    </row>
    <row r="51" spans="2:12" s="3" customFormat="1" ht="17.25">
      <c r="B51" s="191" t="s">
        <v>108</v>
      </c>
      <c r="C51" s="146"/>
      <c r="D51" s="146"/>
      <c r="E51" s="240" t="s">
        <v>78</v>
      </c>
      <c r="F51" s="241"/>
      <c r="G51" s="250">
        <f>E14</f>
        <v>65</v>
      </c>
      <c r="H51" s="255" t="s">
        <v>69</v>
      </c>
      <c r="I51" s="259">
        <v>750</v>
      </c>
      <c r="J51" s="126">
        <f>G51*I51</f>
        <v>48750</v>
      </c>
      <c r="L51" s="24"/>
    </row>
    <row r="52" spans="2:12" s="3" customFormat="1" ht="17.25">
      <c r="B52" s="191" t="s">
        <v>109</v>
      </c>
      <c r="C52" s="146"/>
      <c r="D52" s="146"/>
      <c r="E52" s="240" t="s">
        <v>79</v>
      </c>
      <c r="F52" s="241"/>
      <c r="G52" s="251">
        <v>1.7</v>
      </c>
      <c r="H52" s="234" t="s">
        <v>113</v>
      </c>
      <c r="I52" s="259">
        <v>30000</v>
      </c>
      <c r="J52" s="126">
        <f>G52*I52</f>
        <v>51000</v>
      </c>
      <c r="L52" s="24"/>
    </row>
    <row r="53" spans="2:12" s="3" customFormat="1" ht="17.25">
      <c r="B53" s="191" t="s">
        <v>110</v>
      </c>
      <c r="C53" s="146"/>
      <c r="D53" s="146"/>
      <c r="E53" s="240" t="s">
        <v>80</v>
      </c>
      <c r="F53" s="241"/>
      <c r="G53" s="251">
        <f>E14</f>
        <v>65</v>
      </c>
      <c r="H53" s="255" t="s">
        <v>69</v>
      </c>
      <c r="I53" s="259">
        <v>650</v>
      </c>
      <c r="J53" s="126">
        <f>G53*I53</f>
        <v>42250</v>
      </c>
      <c r="L53" s="24"/>
    </row>
    <row r="54" spans="2:12" s="3" customFormat="1" ht="18" customHeight="1">
      <c r="B54" s="209" t="s">
        <v>111</v>
      </c>
      <c r="C54" s="148"/>
      <c r="D54" s="148"/>
      <c r="E54" s="243" t="s">
        <v>81</v>
      </c>
      <c r="F54" s="244"/>
      <c r="G54" s="252">
        <v>0.1</v>
      </c>
      <c r="H54" s="257" t="s">
        <v>67</v>
      </c>
      <c r="I54" s="264">
        <v>35000</v>
      </c>
      <c r="J54" s="131">
        <f>G54*I54</f>
        <v>3500</v>
      </c>
      <c r="L54" s="24"/>
    </row>
    <row r="55" spans="2:14" ht="17.25">
      <c r="B55" s="170" t="s">
        <v>11</v>
      </c>
      <c r="C55" s="171"/>
      <c r="D55" s="171"/>
      <c r="E55" s="171"/>
      <c r="F55" s="171"/>
      <c r="G55" s="171"/>
      <c r="H55" s="171"/>
      <c r="I55" s="171"/>
      <c r="J55" s="123">
        <f>SUM(J42:J54)</f>
        <v>934793</v>
      </c>
      <c r="K55" s="16"/>
      <c r="M55" s="16"/>
      <c r="N55" s="16"/>
    </row>
    <row r="56" spans="2:14" s="3" customFormat="1" ht="17.25">
      <c r="B56" s="29"/>
      <c r="C56" s="29"/>
      <c r="D56" s="29"/>
      <c r="E56" s="29"/>
      <c r="F56" s="29"/>
      <c r="G56" s="30"/>
      <c r="H56" s="29"/>
      <c r="I56" s="29"/>
      <c r="J56" s="31"/>
      <c r="K56" s="16"/>
      <c r="M56" s="16"/>
      <c r="N56" s="16"/>
    </row>
    <row r="57" spans="2:16" ht="18" customHeight="1">
      <c r="B57" s="172" t="s">
        <v>40</v>
      </c>
      <c r="C57" s="173"/>
      <c r="D57" s="173"/>
      <c r="E57" s="184"/>
      <c r="F57" s="184"/>
      <c r="G57" s="139" t="s">
        <v>5</v>
      </c>
      <c r="H57" s="140" t="s">
        <v>6</v>
      </c>
      <c r="I57" s="141"/>
      <c r="J57" s="142" t="s">
        <v>1</v>
      </c>
      <c r="K57" s="16"/>
      <c r="M57" s="16"/>
      <c r="N57" s="16"/>
      <c r="O57" s="9"/>
      <c r="P57" s="9"/>
    </row>
    <row r="58" spans="2:14" s="3" customFormat="1" ht="17.25">
      <c r="B58" s="202" t="s">
        <v>48</v>
      </c>
      <c r="C58" s="203"/>
      <c r="D58" s="204"/>
      <c r="E58" s="205"/>
      <c r="F58" s="206"/>
      <c r="G58" s="260">
        <v>0.05</v>
      </c>
      <c r="H58" s="261" t="s">
        <v>34</v>
      </c>
      <c r="I58" s="207"/>
      <c r="J58" s="208">
        <f>(J31+J39+J55)*G58</f>
        <v>71909.65000000001</v>
      </c>
      <c r="K58" s="16"/>
      <c r="M58" s="16"/>
      <c r="N58" s="16"/>
    </row>
    <row r="59" spans="11:14" s="3" customFormat="1" ht="17.25">
      <c r="K59" s="16"/>
      <c r="M59" s="16"/>
      <c r="N59" s="16"/>
    </row>
    <row r="60" spans="2:14" s="3" customFormat="1" ht="17.25">
      <c r="B60" s="174" t="s">
        <v>41</v>
      </c>
      <c r="C60" s="175"/>
      <c r="D60" s="175"/>
      <c r="E60" s="175"/>
      <c r="F60" s="175"/>
      <c r="G60" s="175"/>
      <c r="H60" s="175"/>
      <c r="I60" s="175"/>
      <c r="J60" s="104">
        <f>J31+J39+J55+J58</f>
        <v>1510102.65</v>
      </c>
      <c r="K60" s="16"/>
      <c r="M60" s="16"/>
      <c r="N60" s="16"/>
    </row>
    <row r="61" spans="2:14" s="3" customFormat="1" ht="17.25">
      <c r="B61" s="129"/>
      <c r="C61" s="129"/>
      <c r="D61" s="129"/>
      <c r="E61" s="129"/>
      <c r="F61" s="129"/>
      <c r="G61" s="32"/>
      <c r="H61" s="129"/>
      <c r="I61" s="129"/>
      <c r="J61" s="27"/>
      <c r="K61" s="16"/>
      <c r="M61" s="16"/>
      <c r="N61" s="16"/>
    </row>
    <row r="62" spans="2:14" s="3" customFormat="1" ht="20.25">
      <c r="B62" s="118" t="s">
        <v>43</v>
      </c>
      <c r="C62" s="117"/>
      <c r="D62" s="117"/>
      <c r="E62" s="20"/>
      <c r="F62" s="20"/>
      <c r="G62" s="21"/>
      <c r="H62" s="22"/>
      <c r="I62" s="23"/>
      <c r="J62" s="23"/>
      <c r="K62" s="16"/>
      <c r="M62" s="16"/>
      <c r="N62" s="16"/>
    </row>
    <row r="63" spans="2:14" s="3" customFormat="1" ht="18" customHeight="1">
      <c r="B63" s="336" t="s">
        <v>30</v>
      </c>
      <c r="C63" s="337"/>
      <c r="D63" s="337"/>
      <c r="E63" s="335"/>
      <c r="F63" s="335"/>
      <c r="G63" s="139" t="s">
        <v>5</v>
      </c>
      <c r="H63" s="140" t="s">
        <v>6</v>
      </c>
      <c r="I63" s="141"/>
      <c r="J63" s="142" t="s">
        <v>1</v>
      </c>
      <c r="K63" s="16"/>
      <c r="M63" s="16"/>
      <c r="N63" s="16"/>
    </row>
    <row r="64" spans="2:15" s="3" customFormat="1" ht="18" customHeight="1">
      <c r="B64" s="210" t="s">
        <v>92</v>
      </c>
      <c r="C64" s="163"/>
      <c r="D64" s="163"/>
      <c r="E64" s="187"/>
      <c r="F64" s="188"/>
      <c r="G64" s="262">
        <f>E17</f>
        <v>0.015</v>
      </c>
      <c r="H64" s="263" t="s">
        <v>34</v>
      </c>
      <c r="I64" s="165"/>
      <c r="J64" s="11">
        <f>J60*E17*E18*0.5</f>
        <v>101931.92887499998</v>
      </c>
      <c r="K64" s="16"/>
      <c r="L64" s="334"/>
      <c r="M64" s="334"/>
      <c r="N64" s="334"/>
      <c r="O64" s="334"/>
    </row>
    <row r="65" spans="2:18" ht="18" customHeight="1" outlineLevel="1">
      <c r="B65" s="154"/>
      <c r="C65" s="146"/>
      <c r="D65" s="146"/>
      <c r="E65" s="161"/>
      <c r="F65" s="157"/>
      <c r="G65" s="158"/>
      <c r="H65" s="163"/>
      <c r="I65" s="166"/>
      <c r="J65" s="199"/>
      <c r="L65"/>
      <c r="M65"/>
      <c r="N65"/>
      <c r="O65"/>
      <c r="P65"/>
      <c r="Q65"/>
      <c r="R65"/>
    </row>
    <row r="66" spans="2:18" ht="18" customHeight="1" outlineLevel="1">
      <c r="B66" s="154"/>
      <c r="C66" s="146"/>
      <c r="D66" s="146"/>
      <c r="E66" s="161"/>
      <c r="F66" s="157"/>
      <c r="G66" s="158"/>
      <c r="H66" s="163"/>
      <c r="I66" s="166"/>
      <c r="J66" s="199"/>
      <c r="L66"/>
      <c r="M66"/>
      <c r="N66"/>
      <c r="O66"/>
      <c r="P66"/>
      <c r="Q66"/>
      <c r="R66"/>
    </row>
    <row r="67" spans="2:18" ht="18" customHeight="1" outlineLevel="1">
      <c r="B67" s="155"/>
      <c r="C67" s="127"/>
      <c r="D67" s="127"/>
      <c r="E67" s="162"/>
      <c r="F67" s="159"/>
      <c r="G67" s="160"/>
      <c r="H67" s="164"/>
      <c r="I67" s="167"/>
      <c r="J67" s="200"/>
      <c r="L67"/>
      <c r="M67"/>
      <c r="N67"/>
      <c r="O67"/>
      <c r="P67"/>
      <c r="Q67"/>
      <c r="R67"/>
    </row>
    <row r="68" spans="2:14" ht="17.25">
      <c r="B68" s="176" t="s">
        <v>27</v>
      </c>
      <c r="C68" s="177"/>
      <c r="D68" s="177"/>
      <c r="E68" s="177"/>
      <c r="F68" s="177"/>
      <c r="G68" s="177"/>
      <c r="H68" s="177"/>
      <c r="I68" s="177"/>
      <c r="J68" s="104">
        <f>SUM(J64:J67)</f>
        <v>101931.92887499998</v>
      </c>
      <c r="K68" s="16"/>
      <c r="M68" s="16"/>
      <c r="N68" s="16"/>
    </row>
    <row r="69" spans="2:12" s="3" customFormat="1" ht="17.25">
      <c r="B69" s="84"/>
      <c r="C69" s="84"/>
      <c r="D69" s="84"/>
      <c r="E69" s="84"/>
      <c r="F69" s="84"/>
      <c r="G69" s="25"/>
      <c r="H69" s="84"/>
      <c r="I69" s="84"/>
      <c r="J69" s="27"/>
      <c r="K69" s="16"/>
      <c r="L69" s="16"/>
    </row>
    <row r="70" spans="2:12" ht="17.25">
      <c r="B70" s="178" t="s">
        <v>13</v>
      </c>
      <c r="C70" s="179"/>
      <c r="D70" s="179"/>
      <c r="E70" s="179"/>
      <c r="F70" s="179"/>
      <c r="G70" s="179"/>
      <c r="H70" s="179"/>
      <c r="I70" s="179"/>
      <c r="J70" s="182">
        <f>J60+J68</f>
        <v>1612034.578875</v>
      </c>
      <c r="K70" s="16"/>
      <c r="L70" s="16"/>
    </row>
    <row r="71" spans="2:12" s="3" customFormat="1" ht="17.25">
      <c r="B71" s="180"/>
      <c r="C71" s="181"/>
      <c r="D71" s="181"/>
      <c r="E71" s="181"/>
      <c r="F71" s="181"/>
      <c r="G71" s="181"/>
      <c r="H71" s="181"/>
      <c r="I71" s="181"/>
      <c r="J71" s="183"/>
      <c r="K71" s="16"/>
      <c r="L71" s="16"/>
    </row>
    <row r="72" spans="2:12" s="3" customFormat="1" ht="18" customHeight="1">
      <c r="B72" s="132"/>
      <c r="C72" s="132"/>
      <c r="D72" s="132"/>
      <c r="E72" s="132"/>
      <c r="F72" s="132"/>
      <c r="G72" s="132"/>
      <c r="H72" s="132"/>
      <c r="I72" s="132"/>
      <c r="J72" s="133"/>
      <c r="K72" s="16"/>
      <c r="L72" s="16"/>
    </row>
    <row r="73" spans="2:12" ht="18" customHeight="1">
      <c r="B73" s="300" t="s">
        <v>93</v>
      </c>
      <c r="C73" s="301"/>
      <c r="D73" s="301"/>
      <c r="E73" s="301"/>
      <c r="F73" s="301"/>
      <c r="G73" s="301"/>
      <c r="H73" s="301"/>
      <c r="I73" s="301"/>
      <c r="J73" s="302"/>
      <c r="K73" s="16"/>
      <c r="L73" s="24"/>
    </row>
    <row r="74" spans="2:12" ht="18" customHeight="1">
      <c r="B74" s="345" t="s">
        <v>38</v>
      </c>
      <c r="C74" s="346"/>
      <c r="D74" s="346"/>
      <c r="E74" s="346"/>
      <c r="F74" s="346"/>
      <c r="G74" s="346"/>
      <c r="H74" s="346"/>
      <c r="I74" s="346"/>
      <c r="J74" s="347"/>
      <c r="K74" s="16"/>
      <c r="L74" s="24"/>
    </row>
    <row r="75" spans="2:12" s="3" customFormat="1" ht="18" customHeight="1">
      <c r="B75" s="289" t="s">
        <v>51</v>
      </c>
      <c r="C75" s="290"/>
      <c r="D75" s="291"/>
      <c r="E75" s="295" t="s">
        <v>53</v>
      </c>
      <c r="F75" s="296"/>
      <c r="G75" s="296"/>
      <c r="H75" s="296"/>
      <c r="I75" s="296"/>
      <c r="J75" s="297"/>
      <c r="K75" s="16"/>
      <c r="L75" s="24"/>
    </row>
    <row r="76" spans="2:12" s="3" customFormat="1" ht="18" customHeight="1">
      <c r="B76" s="292"/>
      <c r="C76" s="293"/>
      <c r="D76" s="294"/>
      <c r="E76" s="284">
        <f>G76*0.9</f>
        <v>26820</v>
      </c>
      <c r="F76" s="285"/>
      <c r="G76" s="298">
        <f>E15</f>
        <v>29800</v>
      </c>
      <c r="H76" s="299"/>
      <c r="I76" s="284">
        <f>G76*1.1</f>
        <v>32780</v>
      </c>
      <c r="J76" s="285"/>
      <c r="K76" s="16"/>
      <c r="L76" s="24"/>
    </row>
    <row r="77" spans="2:12" s="3" customFormat="1" ht="18" customHeight="1">
      <c r="B77" s="286">
        <f>+B78*0.9</f>
        <v>58.5</v>
      </c>
      <c r="C77" s="287"/>
      <c r="D77" s="288"/>
      <c r="E77" s="273">
        <f>E$76*$B$77-$J$70</f>
        <v>-43064.57887499989</v>
      </c>
      <c r="F77" s="274"/>
      <c r="G77" s="273">
        <f>G$76*$B$77-$J$70</f>
        <v>131265.4211250001</v>
      </c>
      <c r="H77" s="274"/>
      <c r="I77" s="273">
        <f>I$76*$B$77-$J$70</f>
        <v>305595.4211250001</v>
      </c>
      <c r="J77" s="274"/>
      <c r="K77" s="16"/>
      <c r="L77" s="24"/>
    </row>
    <row r="78" spans="2:12" s="3" customFormat="1" ht="18" customHeight="1">
      <c r="B78" s="286">
        <f>+E14</f>
        <v>65</v>
      </c>
      <c r="C78" s="287"/>
      <c r="D78" s="288"/>
      <c r="E78" s="273">
        <f>E$76*$B$78-$J$70</f>
        <v>131265.4211250001</v>
      </c>
      <c r="F78" s="274"/>
      <c r="G78" s="273">
        <f>G$76*$B$78-$J$70</f>
        <v>324965.4211250001</v>
      </c>
      <c r="H78" s="274"/>
      <c r="I78" s="273">
        <f>I$76*$B$78-$J$70</f>
        <v>518665.4211250001</v>
      </c>
      <c r="J78" s="274"/>
      <c r="K78" s="16"/>
      <c r="L78" s="24"/>
    </row>
    <row r="79" spans="2:12" s="3" customFormat="1" ht="18" customHeight="1">
      <c r="B79" s="286">
        <f>+B78*1.1</f>
        <v>71.5</v>
      </c>
      <c r="C79" s="287"/>
      <c r="D79" s="288"/>
      <c r="E79" s="273">
        <f>E$76*$B$79-$J$70</f>
        <v>305595.4211250001</v>
      </c>
      <c r="F79" s="274"/>
      <c r="G79" s="273">
        <f>G$76*$B$79-$J$70</f>
        <v>518665.4211250001</v>
      </c>
      <c r="H79" s="274"/>
      <c r="I79" s="273">
        <f>I$76*$B$79-$J$70</f>
        <v>731735.4211250001</v>
      </c>
      <c r="J79" s="274"/>
      <c r="K79" s="16"/>
      <c r="L79" s="24"/>
    </row>
    <row r="80" spans="2:12" s="3" customFormat="1" ht="18" customHeight="1">
      <c r="B80" s="34"/>
      <c r="C80" s="34"/>
      <c r="D80" s="35"/>
      <c r="E80" s="35"/>
      <c r="F80" s="35"/>
      <c r="G80" s="36"/>
      <c r="H80" s="12"/>
      <c r="I80" s="15"/>
      <c r="J80" s="15"/>
      <c r="K80" s="16"/>
      <c r="L80" s="24"/>
    </row>
    <row r="81" spans="2:12" s="3" customFormat="1" ht="18" customHeight="1">
      <c r="B81" s="278" t="s">
        <v>94</v>
      </c>
      <c r="C81" s="279"/>
      <c r="D81" s="279"/>
      <c r="E81" s="279"/>
      <c r="F81" s="279"/>
      <c r="G81" s="279"/>
      <c r="H81" s="279"/>
      <c r="I81" s="279"/>
      <c r="J81" s="280"/>
      <c r="K81" s="16"/>
      <c r="L81" s="24"/>
    </row>
    <row r="82" spans="2:12" s="3" customFormat="1" ht="18" customHeight="1">
      <c r="B82" s="281"/>
      <c r="C82" s="282"/>
      <c r="D82" s="282"/>
      <c r="E82" s="282"/>
      <c r="F82" s="282"/>
      <c r="G82" s="282"/>
      <c r="H82" s="282"/>
      <c r="I82" s="282"/>
      <c r="J82" s="283"/>
      <c r="K82" s="16"/>
      <c r="L82" s="24"/>
    </row>
    <row r="83" spans="2:12" s="3" customFormat="1" ht="18" customHeight="1">
      <c r="B83" s="322" t="s">
        <v>51</v>
      </c>
      <c r="C83" s="323"/>
      <c r="D83" s="323"/>
      <c r="E83" s="266">
        <f>G83*0.9</f>
        <v>58.5</v>
      </c>
      <c r="F83" s="266"/>
      <c r="G83" s="266">
        <f>E14</f>
        <v>65</v>
      </c>
      <c r="H83" s="266"/>
      <c r="I83" s="266">
        <f>G83*1.1</f>
        <v>71.5</v>
      </c>
      <c r="J83" s="267"/>
      <c r="K83" s="16"/>
      <c r="L83" s="24"/>
    </row>
    <row r="84" spans="2:12" ht="18" customHeight="1">
      <c r="B84" s="324"/>
      <c r="C84" s="325"/>
      <c r="D84" s="325"/>
      <c r="E84" s="268"/>
      <c r="F84" s="268"/>
      <c r="G84" s="268"/>
      <c r="H84" s="268"/>
      <c r="I84" s="268"/>
      <c r="J84" s="269"/>
      <c r="K84" s="16"/>
      <c r="L84" s="24"/>
    </row>
    <row r="85" spans="2:12" ht="18" customHeight="1">
      <c r="B85" s="326" t="s">
        <v>52</v>
      </c>
      <c r="C85" s="327"/>
      <c r="D85" s="327"/>
      <c r="E85" s="330">
        <f>$J$70/E83</f>
        <v>27556.146647435897</v>
      </c>
      <c r="F85" s="330"/>
      <c r="G85" s="330">
        <f>$J$70/G83</f>
        <v>24800.531982692308</v>
      </c>
      <c r="H85" s="330"/>
      <c r="I85" s="330">
        <f>$J$70/I83</f>
        <v>22545.938166083914</v>
      </c>
      <c r="J85" s="331"/>
      <c r="K85" s="16"/>
      <c r="L85" s="24"/>
    </row>
    <row r="86" spans="2:12" ht="18" customHeight="1">
      <c r="B86" s="328"/>
      <c r="C86" s="329"/>
      <c r="D86" s="329"/>
      <c r="E86" s="332"/>
      <c r="F86" s="332"/>
      <c r="G86" s="332"/>
      <c r="H86" s="332"/>
      <c r="I86" s="332"/>
      <c r="J86" s="333"/>
      <c r="K86" s="16"/>
      <c r="L86" s="24"/>
    </row>
    <row r="87" spans="2:12" ht="18" customHeight="1">
      <c r="B87" s="46"/>
      <c r="C87" s="1"/>
      <c r="D87" s="3"/>
      <c r="E87" s="3"/>
      <c r="F87" s="105"/>
      <c r="G87" s="105"/>
      <c r="H87" s="105"/>
      <c r="I87" s="15"/>
      <c r="J87" s="15"/>
      <c r="K87" s="16"/>
      <c r="L87" s="24"/>
    </row>
    <row r="88" spans="2:11" s="3" customFormat="1" ht="18" customHeight="1">
      <c r="B88" s="275" t="s">
        <v>15</v>
      </c>
      <c r="C88" s="276"/>
      <c r="D88" s="276"/>
      <c r="E88" s="276"/>
      <c r="F88" s="276"/>
      <c r="G88" s="276"/>
      <c r="H88" s="276"/>
      <c r="I88" s="276"/>
      <c r="J88" s="277"/>
      <c r="K88" s="80"/>
    </row>
    <row r="89" spans="2:11" s="3" customFormat="1" ht="18" customHeight="1">
      <c r="B89" s="270" t="s">
        <v>95</v>
      </c>
      <c r="C89" s="271"/>
      <c r="D89" s="271"/>
      <c r="E89" s="271"/>
      <c r="F89" s="271"/>
      <c r="G89" s="271"/>
      <c r="H89" s="271"/>
      <c r="I89" s="271"/>
      <c r="J89" s="272"/>
      <c r="K89" s="80"/>
    </row>
    <row r="90" spans="2:14" s="3" customFormat="1" ht="13.5" customHeight="1">
      <c r="B90" s="313" t="s">
        <v>116</v>
      </c>
      <c r="C90" s="314"/>
      <c r="D90" s="314"/>
      <c r="E90" s="314"/>
      <c r="F90" s="314"/>
      <c r="G90" s="314"/>
      <c r="H90" s="314"/>
      <c r="I90" s="314"/>
      <c r="J90" s="315"/>
      <c r="K90" s="80"/>
      <c r="N90" s="106"/>
    </row>
    <row r="91" spans="2:11" s="3" customFormat="1" ht="15.75" customHeight="1">
      <c r="B91" s="313" t="s">
        <v>112</v>
      </c>
      <c r="C91" s="314"/>
      <c r="D91" s="314"/>
      <c r="E91" s="314"/>
      <c r="F91" s="314"/>
      <c r="G91" s="314"/>
      <c r="H91" s="314"/>
      <c r="I91" s="314"/>
      <c r="J91" s="315"/>
      <c r="K91" s="81"/>
    </row>
    <row r="92" spans="2:11" s="3" customFormat="1" ht="44.25" customHeight="1">
      <c r="B92" s="313" t="s">
        <v>96</v>
      </c>
      <c r="C92" s="314"/>
      <c r="D92" s="314"/>
      <c r="E92" s="314"/>
      <c r="F92" s="314"/>
      <c r="G92" s="314"/>
      <c r="H92" s="314"/>
      <c r="I92" s="314"/>
      <c r="J92" s="315"/>
      <c r="K92" s="81"/>
    </row>
    <row r="93" spans="2:11" s="3" customFormat="1" ht="17.25" customHeight="1">
      <c r="B93" s="316" t="s">
        <v>97</v>
      </c>
      <c r="C93" s="317"/>
      <c r="D93" s="317"/>
      <c r="E93" s="317"/>
      <c r="F93" s="317"/>
      <c r="G93" s="317"/>
      <c r="H93" s="317"/>
      <c r="I93" s="317"/>
      <c r="J93" s="318"/>
      <c r="K93" s="80"/>
    </row>
    <row r="94" spans="2:11" s="3" customFormat="1" ht="18" customHeight="1">
      <c r="B94" s="313" t="s">
        <v>98</v>
      </c>
      <c r="C94" s="314"/>
      <c r="D94" s="314"/>
      <c r="E94" s="314"/>
      <c r="F94" s="314"/>
      <c r="G94" s="314"/>
      <c r="H94" s="314"/>
      <c r="I94" s="314"/>
      <c r="J94" s="315"/>
      <c r="K94" s="80"/>
    </row>
    <row r="95" spans="2:11" s="3" customFormat="1" ht="17.25">
      <c r="B95" s="319" t="s">
        <v>99</v>
      </c>
      <c r="C95" s="320"/>
      <c r="D95" s="320"/>
      <c r="E95" s="320"/>
      <c r="F95" s="320"/>
      <c r="G95" s="320"/>
      <c r="H95" s="320"/>
      <c r="I95" s="320"/>
      <c r="J95" s="321"/>
      <c r="K95" s="80"/>
    </row>
    <row r="96" spans="2:11" s="3" customFormat="1" ht="18.75" customHeight="1">
      <c r="B96" s="342" t="s">
        <v>100</v>
      </c>
      <c r="C96" s="343"/>
      <c r="D96" s="343"/>
      <c r="E96" s="343"/>
      <c r="F96" s="343"/>
      <c r="G96" s="343"/>
      <c r="H96" s="343"/>
      <c r="I96" s="343"/>
      <c r="J96" s="344"/>
      <c r="K96" s="80"/>
    </row>
    <row r="97" spans="2:11" s="3" customFormat="1" ht="18" customHeight="1">
      <c r="B97" s="134"/>
      <c r="C97" s="134"/>
      <c r="D97" s="134"/>
      <c r="E97" s="134"/>
      <c r="F97" s="134"/>
      <c r="G97" s="134"/>
      <c r="H97" s="134"/>
      <c r="I97" s="134"/>
      <c r="J97" s="134"/>
      <c r="K97" s="81"/>
    </row>
    <row r="98" spans="2:11" s="3" customFormat="1" ht="18" customHeight="1">
      <c r="B98" s="37"/>
      <c r="C98" s="38"/>
      <c r="D98" s="38"/>
      <c r="E98" s="38"/>
      <c r="F98" s="38"/>
      <c r="G98" s="38"/>
      <c r="H98" s="38"/>
      <c r="I98" s="38"/>
      <c r="J98" s="38"/>
      <c r="K98" s="33"/>
    </row>
    <row r="99" spans="2:11" s="3" customFormat="1" ht="17.25" customHeight="1">
      <c r="B99" s="39"/>
      <c r="C99" s="39"/>
      <c r="D99" s="39"/>
      <c r="E99" s="39"/>
      <c r="F99" s="39"/>
      <c r="G99" s="40"/>
      <c r="H99" s="39"/>
      <c r="I99" s="39"/>
      <c r="J99" s="39"/>
      <c r="K99" s="9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9"/>
    </row>
    <row r="101" spans="2:11" s="3" customFormat="1" ht="15">
      <c r="B101" s="6"/>
      <c r="C101" s="6"/>
      <c r="D101" s="6"/>
      <c r="E101" s="6"/>
      <c r="F101" s="6"/>
      <c r="G101" s="7"/>
      <c r="H101" s="6"/>
      <c r="I101" s="6"/>
      <c r="J101" s="6"/>
      <c r="K101" s="9"/>
    </row>
    <row r="102" spans="2:11" s="3" customFormat="1" ht="15">
      <c r="B102" s="6"/>
      <c r="C102" s="6"/>
      <c r="D102" s="6"/>
      <c r="E102" s="6"/>
      <c r="F102" s="6"/>
      <c r="G102" s="7"/>
      <c r="H102" s="6"/>
      <c r="I102" s="6"/>
      <c r="J102" s="6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2" s="3" customFormat="1" ht="1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s="3" customFormat="1" ht="15">
      <c r="B105" s="67"/>
      <c r="C105" s="67"/>
      <c r="D105" s="67"/>
      <c r="E105" s="67"/>
      <c r="F105" s="67"/>
      <c r="G105" s="68"/>
      <c r="H105" s="67"/>
      <c r="I105" s="67"/>
      <c r="J105" s="67"/>
      <c r="K105" s="69"/>
      <c r="L105" s="67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ht="17.25">
      <c r="B108" s="56"/>
      <c r="C108" s="56"/>
      <c r="D108" s="57"/>
      <c r="E108" s="57"/>
      <c r="F108" s="58"/>
      <c r="G108" s="58"/>
      <c r="H108" s="58"/>
      <c r="I108" s="67"/>
      <c r="J108" s="67"/>
      <c r="K108" s="69"/>
      <c r="L108" s="67"/>
    </row>
    <row r="109" spans="2:12" ht="17.25">
      <c r="B109" s="56"/>
      <c r="C109" s="59"/>
      <c r="D109" s="59"/>
      <c r="E109" s="60"/>
      <c r="F109" s="59"/>
      <c r="G109" s="61"/>
      <c r="H109" s="62"/>
      <c r="I109" s="67"/>
      <c r="J109" s="67"/>
      <c r="K109" s="69"/>
      <c r="L109" s="67"/>
    </row>
    <row r="110" spans="2:12" ht="17.25">
      <c r="B110" s="57"/>
      <c r="C110" s="57"/>
      <c r="D110" s="57"/>
      <c r="E110" s="57"/>
      <c r="F110" s="57"/>
      <c r="G110" s="57"/>
      <c r="H110" s="57"/>
      <c r="I110" s="67"/>
      <c r="J110" s="67"/>
      <c r="K110" s="69"/>
      <c r="L110" s="67"/>
    </row>
    <row r="111" spans="2:12" ht="17.25">
      <c r="B111" s="56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7.25">
      <c r="B112" s="70"/>
      <c r="C112" s="71"/>
      <c r="D112" s="71"/>
      <c r="E112" s="63"/>
      <c r="F112" s="63"/>
      <c r="G112" s="63"/>
      <c r="H112" s="63"/>
      <c r="I112" s="67"/>
      <c r="J112" s="69"/>
      <c r="K112" s="69"/>
      <c r="L112" s="67"/>
    </row>
    <row r="113" spans="2:12" ht="17.25">
      <c r="B113" s="70"/>
      <c r="C113" s="71"/>
      <c r="D113" s="71"/>
      <c r="E113" s="63"/>
      <c r="F113" s="63"/>
      <c r="G113" s="63"/>
      <c r="H113" s="63"/>
      <c r="I113" s="67"/>
      <c r="J113" s="69"/>
      <c r="K113" s="69"/>
      <c r="L113" s="67"/>
    </row>
    <row r="114" spans="2:12" ht="17.25">
      <c r="B114" s="64"/>
      <c r="C114" s="65"/>
      <c r="D114" s="65"/>
      <c r="E114" s="64"/>
      <c r="F114" s="64"/>
      <c r="G114" s="64"/>
      <c r="H114" s="66"/>
      <c r="I114" s="67"/>
      <c r="J114" s="67"/>
      <c r="K114" s="69"/>
      <c r="L114" s="67"/>
    </row>
    <row r="115" spans="2:12" ht="17.25">
      <c r="B115" s="57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7.25">
      <c r="B116" s="56"/>
      <c r="C116" s="57"/>
      <c r="D116" s="57"/>
      <c r="E116" s="57"/>
      <c r="F116" s="57"/>
      <c r="G116" s="57"/>
      <c r="H116" s="57"/>
      <c r="I116" s="67"/>
      <c r="J116" s="67"/>
      <c r="K116" s="69"/>
      <c r="L116" s="67"/>
    </row>
    <row r="117" spans="2:12" ht="17.25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7.25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7.25">
      <c r="B119" s="312"/>
      <c r="C119" s="312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7.25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7.25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7.25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7.25">
      <c r="B130" s="64"/>
      <c r="C130" s="65"/>
      <c r="D130" s="65"/>
      <c r="E130" s="64"/>
      <c r="F130" s="64"/>
      <c r="G130" s="64"/>
      <c r="H130" s="66"/>
      <c r="I130" s="67"/>
      <c r="J130" s="67"/>
      <c r="K130" s="69"/>
      <c r="L130" s="67"/>
    </row>
    <row r="131" spans="2:12" ht="17.25">
      <c r="B131" s="57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ht="17.25">
      <c r="B132" s="64"/>
      <c r="C132" s="65"/>
      <c r="D132" s="65"/>
      <c r="E132" s="64"/>
      <c r="F132" s="64"/>
      <c r="G132" s="64"/>
      <c r="H132" s="66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77"/>
      <c r="C143" s="77"/>
      <c r="D143" s="77"/>
      <c r="E143" s="77"/>
      <c r="F143" s="7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9"/>
      <c r="D146" s="69"/>
      <c r="E146" s="69"/>
      <c r="F146" s="69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9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9"/>
      <c r="D153" s="69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8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9"/>
      <c r="C166" s="69"/>
      <c r="D166" s="69"/>
      <c r="E166" s="69"/>
      <c r="F166" s="69"/>
      <c r="G166" s="69"/>
      <c r="H166" s="69"/>
      <c r="I166" s="69"/>
      <c r="J166" s="67"/>
      <c r="K166" s="69"/>
      <c r="L166" s="67"/>
    </row>
    <row r="167" spans="2:12" s="3" customFormat="1" ht="15">
      <c r="B167" s="69"/>
      <c r="C167" s="69"/>
      <c r="D167" s="69"/>
      <c r="E167" s="69"/>
      <c r="F167" s="69"/>
      <c r="G167" s="78"/>
      <c r="H167" s="69"/>
      <c r="I167" s="69"/>
      <c r="J167" s="67"/>
      <c r="K167" s="69"/>
      <c r="L167" s="78"/>
    </row>
    <row r="168" spans="2:12" s="3" customFormat="1" ht="15">
      <c r="B168" s="69"/>
      <c r="C168" s="69"/>
      <c r="D168" s="69"/>
      <c r="E168" s="69"/>
      <c r="F168" s="69"/>
      <c r="G168" s="69"/>
      <c r="H168" s="69"/>
      <c r="I168" s="79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9"/>
      <c r="I175" s="69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9"/>
      <c r="I176" s="6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</sheetData>
  <sheetProtection/>
  <mergeCells count="49">
    <mergeCell ref="L64:O64"/>
    <mergeCell ref="E63:F63"/>
    <mergeCell ref="B63:D63"/>
    <mergeCell ref="E21:F21"/>
    <mergeCell ref="D7:J7"/>
    <mergeCell ref="B96:J96"/>
    <mergeCell ref="B74:J74"/>
    <mergeCell ref="B92:J92"/>
    <mergeCell ref="B94:J94"/>
    <mergeCell ref="B91:J91"/>
    <mergeCell ref="B119:C119"/>
    <mergeCell ref="B90:J90"/>
    <mergeCell ref="B93:J93"/>
    <mergeCell ref="B95:J95"/>
    <mergeCell ref="B83:D84"/>
    <mergeCell ref="B85:D86"/>
    <mergeCell ref="E83:F84"/>
    <mergeCell ref="I85:J86"/>
    <mergeCell ref="G85:H86"/>
    <mergeCell ref="E85:F86"/>
    <mergeCell ref="B73:J73"/>
    <mergeCell ref="D2:J2"/>
    <mergeCell ref="D4:J4"/>
    <mergeCell ref="D5:J5"/>
    <mergeCell ref="B13:E13"/>
    <mergeCell ref="G13:J13"/>
    <mergeCell ref="D6:J6"/>
    <mergeCell ref="E77:F77"/>
    <mergeCell ref="E76:F76"/>
    <mergeCell ref="G79:H79"/>
    <mergeCell ref="G78:H78"/>
    <mergeCell ref="G77:H77"/>
    <mergeCell ref="G76:H76"/>
    <mergeCell ref="I78:J78"/>
    <mergeCell ref="I77:J77"/>
    <mergeCell ref="I76:J76"/>
    <mergeCell ref="B79:D79"/>
    <mergeCell ref="B78:D78"/>
    <mergeCell ref="B77:D77"/>
    <mergeCell ref="B75:D76"/>
    <mergeCell ref="E75:J75"/>
    <mergeCell ref="E79:F79"/>
    <mergeCell ref="E78:F78"/>
    <mergeCell ref="I83:J84"/>
    <mergeCell ref="G83:H84"/>
    <mergeCell ref="B89:J89"/>
    <mergeCell ref="I79:J79"/>
    <mergeCell ref="B88:J88"/>
    <mergeCell ref="B81:J8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1" max="10" man="1"/>
  </rowBreaks>
  <ignoredErrors>
    <ignoredError sqref="J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(('Arroz 2022-23 Tec. Media Maule'!E14-45000)/45000)+1</f>
        <v>0.0014444444444444704</v>
      </c>
    </row>
    <row r="3" ht="17.25">
      <c r="B3" s="13"/>
    </row>
    <row r="4" spans="2:3" ht="17.25">
      <c r="B4" s="348" t="s">
        <v>18</v>
      </c>
      <c r="C4" s="348"/>
    </row>
    <row r="5" spans="2:5" ht="17.25">
      <c r="B5" s="82" t="s">
        <v>31</v>
      </c>
      <c r="C5" s="127"/>
      <c r="D5" s="83"/>
      <c r="E5" s="3">
        <v>45000</v>
      </c>
    </row>
    <row r="6" spans="2:4" ht="15">
      <c r="B6" s="26"/>
      <c r="C6" s="26"/>
      <c r="D6" s="26"/>
    </row>
    <row r="14" spans="2:4" ht="15">
      <c r="B14" s="349" t="s">
        <v>14</v>
      </c>
      <c r="C14" s="349"/>
      <c r="D14" s="349"/>
    </row>
    <row r="16" spans="2:4" ht="17.25">
      <c r="B16" s="49" t="s">
        <v>16</v>
      </c>
      <c r="C16" s="48" t="e">
        <f>'Arroz 2022-23 Tec. Media Maule'!#REF!</f>
        <v>#REF!</v>
      </c>
      <c r="D16" s="48" t="e">
        <f>'Arroz 2022-23 Tec. Media Maule'!#REF!</f>
        <v>#REF!</v>
      </c>
    </row>
    <row r="17" ht="15">
      <c r="B17" s="24"/>
    </row>
    <row r="18" spans="2:4" ht="15">
      <c r="B18" s="47" t="s">
        <v>17</v>
      </c>
      <c r="C18" s="50" t="e">
        <f>((C16-'Arroz 2022-23 Tec. Media Maule'!E14)/'Arroz 2022-23 Tec. Media Maule'!E14)+1</f>
        <v>#REF!</v>
      </c>
      <c r="D18" s="50" t="e">
        <f>((D16-'Arroz 2022-23 Tec. Media Maule'!E14)/'Arroz 2022-23 Tec. Media Maule'!E14)+1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SUM('Arroz 2022-23 Tec. Media Maule'!J23:J29)</f>
        <v>72400</v>
      </c>
      <c r="D21" s="9">
        <f>SUM('Arroz 2022-23 Tec. Media Maule'!J23:J29)</f>
        <v>72400</v>
      </c>
    </row>
    <row r="22" spans="2:4" ht="17.25">
      <c r="B22" s="51" t="s">
        <v>20</v>
      </c>
      <c r="C22" s="52" t="e">
        <f>C18*'Arroz 2022-23 Tec. Media Maule'!G30*'Arroz 2022-23 Tec. Media Maule'!I30</f>
        <v>#REF!</v>
      </c>
      <c r="D22" s="52" t="e">
        <f>D18*'Arroz 2022-23 Tec. Media Maule'!G30*'Arroz 2022-23 Tec. Media Maule'!I30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SUM('Arroz 2022-23 Tec. Media Maule'!J34:J38)</f>
        <v>365000</v>
      </c>
      <c r="D26" s="9">
        <f>SUM('Arroz 2022-23 Tec. Media Maule'!J34:J38)</f>
        <v>365000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365000</v>
      </c>
      <c r="D28" s="9">
        <f>SUM(D26:D27)</f>
        <v>365000</v>
      </c>
    </row>
    <row r="30" ht="17.25">
      <c r="B30" s="49" t="s">
        <v>22</v>
      </c>
    </row>
    <row r="31" spans="2:4" ht="17.25">
      <c r="B31" s="17" t="s">
        <v>19</v>
      </c>
      <c r="C31" s="9">
        <f>SUM('Arroz 2022-23 Tec. Media Maule'!J42:J54)</f>
        <v>934793</v>
      </c>
      <c r="D31" s="9">
        <f>SUM('Arroz 2022-23 Tec. Media Maule'!J42:J54)</f>
        <v>934793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934793</v>
      </c>
      <c r="D33" s="9">
        <f>SUM(D31:D32)</f>
        <v>934793</v>
      </c>
    </row>
    <row r="34" spans="2:4" ht="1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7.25">
      <c r="B37" s="53" t="s">
        <v>0</v>
      </c>
      <c r="C37" s="9" t="e">
        <f>C35*'Arroz 2022-23 Tec. Media Maule'!G58</f>
        <v>#REF!</v>
      </c>
      <c r="D37" s="9" t="e">
        <f>D35*D18*'Arroz 2022-23 Tec. Media Maule'!G58</f>
        <v>#REF!</v>
      </c>
    </row>
    <row r="38" spans="2:4" ht="17.25">
      <c r="B38" s="53" t="s">
        <v>12</v>
      </c>
      <c r="C38" s="9" t="e">
        <f>C35*'Arroz 2022-23 Tec. Media Maule'!E17*'Arroz 2022-23 Tec. Media Maule'!E18*0.5</f>
        <v>#REF!</v>
      </c>
      <c r="D38" s="9" t="e">
        <f>D35*'Arroz 2022-23 Tec. Media Maule'!E17*'Arroz 2022-23 Tec. Media Maule'!E18*0.5</f>
        <v>#REF!</v>
      </c>
    </row>
    <row r="39" ht="1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Sergio Soto Nuñez</cp:lastModifiedBy>
  <cp:lastPrinted>2019-06-10T21:24:06Z</cp:lastPrinted>
  <dcterms:created xsi:type="dcterms:W3CDTF">2012-07-09T18:51:50Z</dcterms:created>
  <dcterms:modified xsi:type="dcterms:W3CDTF">2023-05-30T14:56:56Z</dcterms:modified>
  <cp:category/>
  <cp:version/>
  <cp:contentType/>
  <cp:contentStatus/>
</cp:coreProperties>
</file>