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avena .arauc.fardo-riego2021_22" sheetId="1" r:id="rId1"/>
    <sheet name="rdto_variable" sheetId="2" state="hidden" r:id="rId2"/>
  </sheets>
  <definedNames>
    <definedName name="_xlfn.IFERROR" hidden="1">#NAME?</definedName>
    <definedName name="_xlnm.Print_Area" localSheetId="0">'avena .arauc.fardo-riego2021_22'!$A$1:$K$108</definedName>
    <definedName name="costo_financiero">'avena .arauc.fardo-riego2021_22'!$J$73</definedName>
    <definedName name="imprevistos">'avena .arauc.fardo-riego2021_22'!#REF!</definedName>
    <definedName name="meses_financiamiento">'avena .arauc.fardo-riego2021_22'!$E$17</definedName>
    <definedName name="precio_de_venta">'avena .arauc.fardo-riego2021_22'!$E$14</definedName>
    <definedName name="rendimiento">'avena .arauc.fardo-riego2021_22'!$E$13</definedName>
    <definedName name="tasa_interes_mensual">'avena .arauc.fardo-riego2021_22'!$E$16</definedName>
    <definedName name="total_costos">'avena .arauc.fardo-riego2021_22'!$J$79</definedName>
    <definedName name="total_costos_directos">'avena .arauc.fardo-riego2021_22'!$J$69</definedName>
    <definedName name="total_costos_indirectos">'avena .arauc.fardo-riego2021_22'!$J$77</definedName>
    <definedName name="total_insumos">'avena .arauc.fardo-riego2021_22'!$J$64</definedName>
    <definedName name="total_mano_obra">'avena .arauc.fardo-riego2021_22'!$J$28</definedName>
    <definedName name="total_maquinaria">'avena .arauc.fardo-riego2021_22'!$J$38</definedName>
  </definedNames>
  <calcPr fullCalcOnLoad="1"/>
</workbook>
</file>

<file path=xl/sharedStrings.xml><?xml version="1.0" encoding="utf-8"?>
<sst xmlns="http://schemas.openxmlformats.org/spreadsheetml/2006/main" count="202" uniqueCount="144">
  <si>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</si>
  <si>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</si>
  <si>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</si>
  <si>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</si>
  <si>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</si>
  <si>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</si>
  <si>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</si>
  <si>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</si>
  <si>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</si>
  <si>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</si>
  <si>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</si>
  <si>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</si>
  <si>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</si>
  <si>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</si>
  <si>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</si>
  <si>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</si>
  <si>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</si>
  <si>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</si>
  <si>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</si>
  <si>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</si>
  <si>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</si>
  <si>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</si>
  <si>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</si>
  <si>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</si>
  <si>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</si>
  <si>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</si>
  <si>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</si>
  <si>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</si>
  <si>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</si>
  <si>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</si>
  <si>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</si>
  <si>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</si>
  <si>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</si>
  <si>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</si>
  <si>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</si>
  <si>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</si>
  <si>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</si>
  <si>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</si>
  <si>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</si>
  <si>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</si>
  <si>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</si>
  <si>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</si>
  <si>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</si>
  <si>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</si>
  <si>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</si>
  <si>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</si>
  <si>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</si>
  <si>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</si>
  <si>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</si>
  <si>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</si>
  <si>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</si>
  <si>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</si>
  <si>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</si>
  <si>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Herbicidas:</t>
  </si>
  <si>
    <t>Fertilizantes:</t>
  </si>
  <si>
    <t>Aplicación nitrógeno (trompo)</t>
  </si>
  <si>
    <t>Región de La Araucanía</t>
  </si>
  <si>
    <t>Paleo acequias y desagües por lluvias</t>
  </si>
  <si>
    <t>Apoyo a la fertilización</t>
  </si>
  <si>
    <t xml:space="preserve">Araduras 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</si>
  <si>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</si>
  <si>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</si>
  <si>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</si>
  <si>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</si>
  <si>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</si>
  <si>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</si>
  <si>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</si>
  <si>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</si>
  <si>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</si>
  <si>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</si>
  <si>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</si>
  <si>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</si>
  <si>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</si>
  <si>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</si>
  <si>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</si>
  <si>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</si>
  <si>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</si>
  <si>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</si>
  <si>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</si>
  <si>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</si>
  <si>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</si>
  <si>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</si>
  <si>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gramo</t>
  </si>
  <si>
    <t>MCPA 750</t>
  </si>
  <si>
    <t xml:space="preserve">Roundup Full II  </t>
  </si>
  <si>
    <t xml:space="preserve">Anagran Plus 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</si>
  <si>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</si>
  <si>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</si>
  <si>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</si>
  <si>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</si>
  <si>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</si>
  <si>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</si>
  <si>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</si>
  <si>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</si>
  <si>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</si>
  <si>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</si>
  <si>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</si>
  <si>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</si>
  <si>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(1) Nombre científico de la avena.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</si>
  <si>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</si>
  <si>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</si>
  <si>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</si>
  <si>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</si>
  <si>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</si>
  <si>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</si>
  <si>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</si>
  <si>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</si>
  <si>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</si>
  <si>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</si>
  <si>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junio - agosto</t>
  </si>
  <si>
    <t>junio - julio</t>
  </si>
  <si>
    <t>junio - noviembre</t>
  </si>
  <si>
    <t>junio - octubre</t>
  </si>
  <si>
    <t>octubre - noviembre</t>
  </si>
  <si>
    <t>noviembre-diciembre</t>
  </si>
  <si>
    <t>agosto - octubre</t>
  </si>
  <si>
    <t>Aplicación de pesticidas con pulvizadora y tractor</t>
  </si>
  <si>
    <t>Can 27 ( 27 0 0 )</t>
  </si>
  <si>
    <t>Destino de producción: consumo local</t>
  </si>
  <si>
    <t>Mezcla NPK(11-30-11)</t>
  </si>
  <si>
    <t>Variedad:  Supernova, Urano, Strigosa.</t>
  </si>
  <si>
    <t xml:space="preserve">hectárea </t>
  </si>
  <si>
    <t xml:space="preserve">kilo </t>
  </si>
  <si>
    <r>
      <t>Precio de venta a productor ($/fardo):</t>
    </r>
    <r>
      <rPr>
        <b/>
        <vertAlign val="superscript"/>
        <sz val="14"/>
        <rFont val="Arial"/>
        <family val="2"/>
      </rPr>
      <t xml:space="preserve"> (2)</t>
    </r>
  </si>
  <si>
    <t>Precio ($/fardo)</t>
  </si>
  <si>
    <t>Rendimiento (fardo/hectárea)</t>
  </si>
  <si>
    <t>Costo fardo</t>
  </si>
  <si>
    <r>
      <t>Avena (Avena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fardo.</t>
    </r>
  </si>
  <si>
    <t>septiembre - octubre</t>
  </si>
  <si>
    <t>Riego( arriendo)</t>
  </si>
  <si>
    <t>Tecnología de riego: riego</t>
  </si>
  <si>
    <t>Fecha siembra:  junio - agosto</t>
  </si>
  <si>
    <t>Fecha cosecha: noviembre-diciembre.</t>
  </si>
  <si>
    <t>noviembre - diciembre</t>
  </si>
  <si>
    <t>Super Nitro(N 25%)</t>
  </si>
  <si>
    <t xml:space="preserve">octubre </t>
  </si>
  <si>
    <t>(2) El precio del fardo de 30 kilos en promedio aproximado de avena utilizado en el análisis de sensibilidad corresponde al precio promedio regional durante la temporada 2021-22.</t>
  </si>
  <si>
    <t>Rendimiento (fardo de 30 kilos/hectárea):</t>
  </si>
  <si>
    <r>
      <t xml:space="preserve">Costo unitario ($/fardo) </t>
    </r>
    <r>
      <rPr>
        <b/>
        <vertAlign val="superscript"/>
        <sz val="14"/>
        <color indexed="9"/>
        <rFont val="Arial"/>
        <family val="2"/>
      </rPr>
      <t>(8)</t>
    </r>
  </si>
  <si>
    <t>Costo unitario ($/fardo)</t>
  </si>
  <si>
    <t xml:space="preserve">1 hectárea septiembre 2022 </t>
  </si>
  <si>
    <t>Metsulfuron Metilo 50%</t>
  </si>
  <si>
    <t>sobre</t>
  </si>
  <si>
    <t>(6) 1,5% mensual simple sobre el 50% de los costos directos. Tasa de interés promedio de las empresas distribuidoras de insumos.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</si>
</sst>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33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7" fontId="61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2" fillId="34" borderId="0" xfId="0" applyNumberFormat="1" applyFont="1" applyFill="1" applyAlignment="1">
      <alignment/>
    </xf>
    <xf numFmtId="187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7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6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6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6" fontId="67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6" fontId="9" fillId="34" borderId="24" xfId="69" applyFont="1" applyFill="1" applyBorder="1" applyAlignment="1" applyProtection="1">
      <alignment/>
      <protection locked="0"/>
    </xf>
    <xf numFmtId="186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/>
      <protection locked="0"/>
    </xf>
    <xf numFmtId="0" fontId="7" fillId="34" borderId="24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6" fontId="8" fillId="34" borderId="0" xfId="69" applyFont="1" applyFill="1" applyBorder="1" applyAlignment="1" applyProtection="1">
      <alignment vertical="center"/>
      <protection/>
    </xf>
    <xf numFmtId="201" fontId="7" fillId="34" borderId="11" xfId="57" applyNumberFormat="1" applyFont="1" applyFill="1" applyBorder="1" applyAlignment="1" applyProtection="1">
      <alignment horizontal="right"/>
      <protection locked="0"/>
    </xf>
    <xf numFmtId="201" fontId="7" fillId="34" borderId="20" xfId="58" applyNumberFormat="1" applyFont="1" applyFill="1" applyBorder="1" applyAlignment="1" applyProtection="1">
      <alignment/>
      <protection/>
    </xf>
    <xf numFmtId="201" fontId="7" fillId="34" borderId="11" xfId="58" applyNumberFormat="1" applyFont="1" applyFill="1" applyBorder="1" applyAlignment="1" applyProtection="1">
      <alignment/>
      <protection/>
    </xf>
    <xf numFmtId="201" fontId="7" fillId="34" borderId="19" xfId="58" applyNumberFormat="1" applyFont="1" applyFill="1" applyBorder="1" applyAlignment="1" applyProtection="1">
      <alignment/>
      <protection/>
    </xf>
    <xf numFmtId="187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7" fontId="9" fillId="0" borderId="22" xfId="58" applyNumberFormat="1" applyFont="1" applyFill="1" applyBorder="1" applyAlignment="1" applyProtection="1">
      <alignment horizontal="center"/>
      <protection locked="0"/>
    </xf>
    <xf numFmtId="187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7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7" fontId="9" fillId="0" borderId="24" xfId="58" applyNumberFormat="1" applyFont="1" applyFill="1" applyBorder="1" applyAlignment="1" applyProtection="1">
      <alignment horizontal="center"/>
      <protection locked="0"/>
    </xf>
    <xf numFmtId="3" fontId="9" fillId="0" borderId="24" xfId="69" applyNumberFormat="1" applyFont="1" applyFill="1" applyBorder="1" applyAlignment="1" applyProtection="1">
      <alignment horizontal="center"/>
      <protection locked="0"/>
    </xf>
    <xf numFmtId="187" fontId="9" fillId="34" borderId="24" xfId="58" applyNumberFormat="1" applyFont="1" applyFill="1" applyBorder="1" applyAlignment="1" applyProtection="1">
      <alignment horizontal="center"/>
      <protection locked="0"/>
    </xf>
    <xf numFmtId="3" fontId="9" fillId="34" borderId="24" xfId="69" applyNumberFormat="1" applyFont="1" applyFill="1" applyBorder="1" applyAlignment="1" applyProtection="1">
      <alignment horizontal="center"/>
      <protection locked="0"/>
    </xf>
    <xf numFmtId="187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7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11" xfId="69" applyNumberFormat="1" applyFont="1" applyFill="1" applyBorder="1" applyAlignment="1" applyProtection="1">
      <alignment horizontal="center"/>
      <protection locked="0"/>
    </xf>
    <xf numFmtId="186" fontId="9" fillId="34" borderId="21" xfId="69" applyFont="1" applyFill="1" applyBorder="1" applyAlignment="1" applyProtection="1">
      <alignment horizontal="center"/>
      <protection locked="0"/>
    </xf>
    <xf numFmtId="3" fontId="9" fillId="0" borderId="25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7" fontId="9" fillId="0" borderId="11" xfId="58" applyNumberFormat="1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4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4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4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4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3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3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3" xfId="0" applyNumberFormat="1" applyFont="1" applyFill="1" applyBorder="1" applyAlignment="1">
      <alignment horizontal="center"/>
    </xf>
    <xf numFmtId="3" fontId="7" fillId="38" borderId="23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23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9" fontId="9" fillId="34" borderId="15" xfId="0" applyNumberFormat="1" applyFont="1" applyFill="1" applyBorder="1" applyAlignment="1">
      <alignment/>
    </xf>
    <xf numFmtId="189" fontId="9" fillId="34" borderId="23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4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4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9" fontId="9" fillId="34" borderId="0" xfId="0" applyNumberFormat="1" applyFont="1" applyFill="1" applyBorder="1" applyAlignment="1">
      <alignment vertical="center"/>
    </xf>
    <xf numFmtId="189" fontId="9" fillId="34" borderId="13" xfId="0" applyNumberFormat="1" applyFont="1" applyFill="1" applyBorder="1" applyAlignment="1">
      <alignment vertical="center"/>
    </xf>
    <xf numFmtId="189" fontId="9" fillId="34" borderId="11" xfId="0" applyNumberFormat="1" applyFont="1" applyFill="1" applyBorder="1" applyAlignment="1">
      <alignment vertical="center"/>
    </xf>
    <xf numFmtId="189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5" fillId="40" borderId="17" xfId="0" applyFont="1" applyFill="1" applyBorder="1" applyAlignment="1">
      <alignment vertical="center"/>
    </xf>
    <xf numFmtId="0" fontId="65" fillId="40" borderId="13" xfId="0" applyFont="1" applyFill="1" applyBorder="1" applyAlignment="1">
      <alignment vertical="center"/>
    </xf>
    <xf numFmtId="0" fontId="65" fillId="40" borderId="19" xfId="0" applyFont="1" applyFill="1" applyBorder="1" applyAlignment="1">
      <alignment vertical="center"/>
    </xf>
    <xf numFmtId="0" fontId="9" fillId="36" borderId="23" xfId="69" applyNumberFormat="1" applyFont="1" applyFill="1" applyBorder="1" applyAlignment="1" applyProtection="1">
      <alignment horizontal="left"/>
      <protection/>
    </xf>
    <xf numFmtId="0" fontId="68" fillId="36" borderId="18" xfId="69" applyNumberFormat="1" applyFont="1" applyFill="1" applyBorder="1" applyAlignment="1" applyProtection="1">
      <alignment horizontal="left"/>
      <protection/>
    </xf>
    <xf numFmtId="0" fontId="68" fillId="36" borderId="15" xfId="69" applyNumberFormat="1" applyFont="1" applyFill="1" applyBorder="1" applyAlignment="1" applyProtection="1">
      <alignment horizontal="left"/>
      <protection/>
    </xf>
    <xf numFmtId="0" fontId="9" fillId="36" borderId="23" xfId="58" applyFont="1" applyFill="1" applyBorder="1" applyAlignment="1">
      <alignment/>
      <protection/>
    </xf>
    <xf numFmtId="0" fontId="9" fillId="36" borderId="18" xfId="58" applyFont="1" applyFill="1" applyBorder="1" applyAlignment="1">
      <alignment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3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 horizontal="left"/>
      <protection/>
    </xf>
    <xf numFmtId="191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91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7" fontId="7" fillId="34" borderId="16" xfId="0" applyNumberFormat="1" applyFont="1" applyFill="1" applyBorder="1" applyAlignment="1">
      <alignment/>
    </xf>
    <xf numFmtId="187" fontId="7" fillId="34" borderId="24" xfId="0" applyNumberFormat="1" applyFont="1" applyFill="1" applyBorder="1" applyAlignment="1">
      <alignment/>
    </xf>
    <xf numFmtId="187" fontId="67" fillId="34" borderId="17" xfId="0" applyNumberFormat="1" applyFont="1" applyFill="1" applyBorder="1" applyAlignment="1">
      <alignment/>
    </xf>
    <xf numFmtId="0" fontId="9" fillId="34" borderId="24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4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4" xfId="69" applyNumberFormat="1" applyFont="1" applyFill="1" applyBorder="1" applyAlignment="1" applyProtection="1">
      <alignment/>
      <protection locked="0"/>
    </xf>
    <xf numFmtId="0" fontId="9" fillId="34" borderId="24" xfId="58" applyFont="1" applyFill="1" applyBorder="1" applyProtection="1">
      <alignment/>
      <protection locked="0"/>
    </xf>
    <xf numFmtId="186" fontId="9" fillId="0" borderId="21" xfId="69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3" fontId="65" fillId="23" borderId="20" xfId="58" applyNumberFormat="1" applyFont="1" applyFill="1" applyBorder="1" applyAlignment="1" applyProtection="1">
      <alignment horizontal="center" vertical="center"/>
      <protection/>
    </xf>
    <xf numFmtId="3" fontId="9" fillId="34" borderId="25" xfId="69" applyNumberFormat="1" applyFont="1" applyFill="1" applyBorder="1" applyAlignment="1" applyProtection="1">
      <alignment horizontal="right"/>
      <protection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6" fontId="66" fillId="0" borderId="0" xfId="69" applyFont="1" applyFill="1" applyBorder="1" applyAlignment="1" applyProtection="1">
      <alignment horizontal="left"/>
      <protection/>
    </xf>
    <xf numFmtId="3" fontId="12" fillId="34" borderId="24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3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0" fontId="65" fillId="23" borderId="23" xfId="58" applyFont="1" applyFill="1" applyBorder="1" applyAlignment="1" applyProtection="1">
      <alignment horizontal="left"/>
      <protection/>
    </xf>
    <xf numFmtId="0" fontId="65" fillId="23" borderId="18" xfId="58" applyFont="1" applyFill="1" applyBorder="1" applyAlignment="1" applyProtection="1">
      <alignment horizontal="left"/>
      <protection/>
    </xf>
    <xf numFmtId="17" fontId="65" fillId="41" borderId="23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21812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106</xdr:row>
      <xdr:rowOff>142875</xdr:rowOff>
    </xdr:from>
    <xdr:to>
      <xdr:col>2</xdr:col>
      <xdr:colOff>723900</xdr:colOff>
      <xdr:row>107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546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6"/>
  <sheetViews>
    <sheetView showGridLines="0" tabSelected="1" view="pageBreakPreview" zoomScale="59" zoomScaleNormal="59" zoomScaleSheetLayoutView="59" zoomScalePageLayoutView="80" workbookViewId="0" topLeftCell="A1">
      <selection activeCell="M101" sqref="M10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3"/>
      <c r="C2" s="153"/>
      <c r="D2" s="328" t="s">
        <v>65</v>
      </c>
      <c r="E2" s="328"/>
      <c r="F2" s="328"/>
      <c r="G2" s="328"/>
      <c r="H2" s="328"/>
      <c r="I2" s="328"/>
      <c r="J2" s="328"/>
    </row>
    <row r="3" spans="2:11" s="3" customFormat="1" ht="18" customHeight="1">
      <c r="B3" s="77"/>
      <c r="C3" s="90"/>
      <c r="D3" s="330" t="s">
        <v>127</v>
      </c>
      <c r="E3" s="330"/>
      <c r="F3" s="330"/>
      <c r="G3" s="330"/>
      <c r="H3" s="330"/>
      <c r="I3" s="330"/>
      <c r="J3" s="330"/>
      <c r="K3" s="11"/>
    </row>
    <row r="4" spans="2:11" s="3" customFormat="1" ht="18" customHeight="1">
      <c r="B4" s="77"/>
      <c r="C4" s="90"/>
      <c r="D4" s="330" t="s">
        <v>56</v>
      </c>
      <c r="E4" s="330"/>
      <c r="F4" s="330"/>
      <c r="G4" s="330"/>
      <c r="H4" s="330"/>
      <c r="I4" s="330"/>
      <c r="J4" s="330"/>
      <c r="K4" s="11"/>
    </row>
    <row r="5" spans="2:11" s="3" customFormat="1" ht="18" customHeight="1">
      <c r="B5" s="34"/>
      <c r="C5" s="34"/>
      <c r="D5" s="91"/>
      <c r="E5" s="36"/>
      <c r="F5" s="36"/>
      <c r="G5" s="81"/>
      <c r="H5" s="36"/>
      <c r="I5" s="34"/>
      <c r="J5" s="92"/>
      <c r="K5" s="13"/>
    </row>
    <row r="6" spans="2:11" s="3" customFormat="1" ht="18" customHeight="1">
      <c r="B6" s="34"/>
      <c r="C6" s="34"/>
      <c r="D6" s="325" t="s">
        <v>29</v>
      </c>
      <c r="E6" s="326"/>
      <c r="F6" s="326"/>
      <c r="G6" s="326"/>
      <c r="H6" s="326"/>
      <c r="I6" s="326"/>
      <c r="J6" s="327"/>
      <c r="K6" s="13"/>
    </row>
    <row r="7" spans="2:11" s="3" customFormat="1" ht="18" customHeight="1">
      <c r="B7" s="34"/>
      <c r="C7" s="34"/>
      <c r="D7" s="139" t="s">
        <v>140</v>
      </c>
      <c r="E7" s="75"/>
      <c r="F7" s="75"/>
      <c r="G7" s="136" t="s">
        <v>120</v>
      </c>
      <c r="H7" s="98"/>
      <c r="I7" s="99"/>
      <c r="J7" s="100"/>
      <c r="K7" s="13"/>
    </row>
    <row r="8" spans="2:11" s="3" customFormat="1" ht="18" customHeight="1">
      <c r="B8" s="34"/>
      <c r="C8" s="34"/>
      <c r="D8" s="140" t="s">
        <v>130</v>
      </c>
      <c r="E8" s="76"/>
      <c r="F8" s="76"/>
      <c r="G8" s="137" t="s">
        <v>118</v>
      </c>
      <c r="H8" s="77"/>
      <c r="I8" s="78"/>
      <c r="J8" s="101"/>
      <c r="K8" s="13"/>
    </row>
    <row r="9" spans="2:11" s="3" customFormat="1" ht="18" customHeight="1">
      <c r="B9" s="34"/>
      <c r="C9" s="34"/>
      <c r="D9" s="140" t="s">
        <v>66</v>
      </c>
      <c r="E9" s="76"/>
      <c r="F9" s="76"/>
      <c r="G9" s="137" t="s">
        <v>25</v>
      </c>
      <c r="H9" s="77"/>
      <c r="I9" s="78"/>
      <c r="J9" s="101"/>
      <c r="K9" s="15"/>
    </row>
    <row r="10" spans="2:11" s="3" customFormat="1" ht="18" customHeight="1">
      <c r="B10" s="34"/>
      <c r="C10" s="34"/>
      <c r="D10" s="141" t="s">
        <v>131</v>
      </c>
      <c r="E10" s="102"/>
      <c r="F10" s="102"/>
      <c r="G10" s="138" t="s">
        <v>132</v>
      </c>
      <c r="H10" s="103"/>
      <c r="I10" s="104"/>
      <c r="J10" s="105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7"/>
      <c r="K11" s="15"/>
    </row>
    <row r="12" spans="2:11" ht="18">
      <c r="B12" s="317" t="s">
        <v>30</v>
      </c>
      <c r="C12" s="318"/>
      <c r="D12" s="318"/>
      <c r="E12" s="319"/>
      <c r="F12" s="33"/>
      <c r="G12" s="320" t="s">
        <v>4</v>
      </c>
      <c r="H12" s="321"/>
      <c r="I12" s="321"/>
      <c r="J12" s="322"/>
      <c r="K12" s="13"/>
    </row>
    <row r="13" spans="2:11" ht="18">
      <c r="B13" s="84" t="s">
        <v>137</v>
      </c>
      <c r="C13" s="85"/>
      <c r="D13" s="75"/>
      <c r="E13" s="135">
        <v>370</v>
      </c>
      <c r="F13" s="34"/>
      <c r="G13" s="269" t="s">
        <v>93</v>
      </c>
      <c r="H13" s="130"/>
      <c r="I13" s="130"/>
      <c r="J13" s="155">
        <f>rendimiento*precio_de_venta</f>
        <v>1221000</v>
      </c>
      <c r="K13" s="13"/>
    </row>
    <row r="14" spans="2:11" ht="18" customHeight="1">
      <c r="B14" s="192" t="s">
        <v>123</v>
      </c>
      <c r="C14" s="193"/>
      <c r="D14" s="193"/>
      <c r="E14" s="154">
        <v>3300</v>
      </c>
      <c r="F14" s="34"/>
      <c r="G14" s="270" t="s">
        <v>94</v>
      </c>
      <c r="H14" s="131"/>
      <c r="I14" s="131"/>
      <c r="J14" s="156">
        <f>total_mano_obra+total_maquinaria+total_insumos+J67</f>
        <v>1138058.25</v>
      </c>
      <c r="K14" s="13"/>
    </row>
    <row r="15" spans="2:11" ht="18">
      <c r="B15" s="190" t="s">
        <v>67</v>
      </c>
      <c r="C15" s="35"/>
      <c r="D15" s="34"/>
      <c r="E15" s="154">
        <v>18000</v>
      </c>
      <c r="F15" s="34"/>
      <c r="G15" s="270" t="s">
        <v>95</v>
      </c>
      <c r="H15" s="132"/>
      <c r="I15" s="131"/>
      <c r="J15" s="156">
        <f>total_costos_directos+total_costos_indirectos</f>
        <v>1206341.745</v>
      </c>
      <c r="K15" s="13"/>
    </row>
    <row r="16" spans="2:11" ht="18">
      <c r="B16" s="190" t="s">
        <v>2</v>
      </c>
      <c r="C16" s="37"/>
      <c r="D16" s="34"/>
      <c r="E16" s="106">
        <v>0.015</v>
      </c>
      <c r="F16" s="34"/>
      <c r="G16" s="270" t="s">
        <v>96</v>
      </c>
      <c r="H16" s="131"/>
      <c r="I16" s="131"/>
      <c r="J16" s="156">
        <f>J13-J14</f>
        <v>82941.75</v>
      </c>
      <c r="K16" s="13"/>
    </row>
    <row r="17" spans="2:11" ht="18">
      <c r="B17" s="190" t="s">
        <v>3</v>
      </c>
      <c r="C17" s="37"/>
      <c r="D17" s="34"/>
      <c r="E17" s="195">
        <v>8</v>
      </c>
      <c r="F17" s="34"/>
      <c r="G17" s="270" t="s">
        <v>97</v>
      </c>
      <c r="H17" s="131"/>
      <c r="I17" s="131"/>
      <c r="J17" s="156">
        <f>J13-J15</f>
        <v>14658.254999999888</v>
      </c>
      <c r="K17" s="13"/>
    </row>
    <row r="18" spans="2:11" ht="18">
      <c r="B18" s="86"/>
      <c r="C18" s="87"/>
      <c r="D18" s="79"/>
      <c r="E18" s="194"/>
      <c r="F18" s="34"/>
      <c r="G18" s="271" t="s">
        <v>26</v>
      </c>
      <c r="H18" s="133"/>
      <c r="I18" s="134"/>
      <c r="J18" s="157">
        <f>total_costos/rendimiento</f>
        <v>3260.3830945945947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19.5">
      <c r="B20" s="94" t="s">
        <v>27</v>
      </c>
      <c r="C20" s="93"/>
      <c r="D20" s="93"/>
      <c r="E20" s="329"/>
      <c r="F20" s="329"/>
      <c r="G20" s="107"/>
      <c r="H20" s="108"/>
      <c r="I20" s="109"/>
      <c r="J20" s="110"/>
      <c r="K20" s="13"/>
    </row>
    <row r="21" spans="2:11" s="3" customFormat="1" ht="30" customHeight="1">
      <c r="B21" s="323" t="s">
        <v>7</v>
      </c>
      <c r="C21" s="324"/>
      <c r="D21" s="324"/>
      <c r="E21" s="197" t="s">
        <v>68</v>
      </c>
      <c r="F21" s="196"/>
      <c r="G21" s="158" t="s">
        <v>5</v>
      </c>
      <c r="H21" s="159" t="s">
        <v>6</v>
      </c>
      <c r="I21" s="160" t="s">
        <v>69</v>
      </c>
      <c r="J21" s="161" t="s">
        <v>1</v>
      </c>
      <c r="K21" s="13"/>
    </row>
    <row r="22" spans="2:11" s="3" customFormat="1" ht="18">
      <c r="B22" s="185" t="s">
        <v>48</v>
      </c>
      <c r="C22" s="150"/>
      <c r="D22" s="151"/>
      <c r="E22" s="198" t="s">
        <v>72</v>
      </c>
      <c r="F22" s="151"/>
      <c r="G22" s="164">
        <v>0.2</v>
      </c>
      <c r="H22" s="165" t="s">
        <v>70</v>
      </c>
      <c r="I22" s="166">
        <f aca="true" t="shared" si="0" ref="I22:I27">$E$15</f>
        <v>18000</v>
      </c>
      <c r="J22" s="112">
        <f aca="true" t="shared" si="1" ref="J22:J27">G22*I22</f>
        <v>3600</v>
      </c>
      <c r="K22" s="13"/>
    </row>
    <row r="23" spans="2:11" s="3" customFormat="1" ht="18">
      <c r="B23" s="144" t="s">
        <v>49</v>
      </c>
      <c r="C23" s="142"/>
      <c r="D23" s="143"/>
      <c r="E23" s="199" t="s">
        <v>109</v>
      </c>
      <c r="F23" s="143"/>
      <c r="G23" s="164">
        <v>0.3</v>
      </c>
      <c r="H23" s="165" t="s">
        <v>70</v>
      </c>
      <c r="I23" s="166">
        <f t="shared" si="0"/>
        <v>18000</v>
      </c>
      <c r="J23" s="112">
        <f t="shared" si="1"/>
        <v>5400</v>
      </c>
      <c r="K23" s="13"/>
    </row>
    <row r="24" spans="2:11" s="3" customFormat="1" ht="18">
      <c r="B24" s="187" t="s">
        <v>57</v>
      </c>
      <c r="C24" s="188"/>
      <c r="D24" s="189"/>
      <c r="E24" s="199" t="s">
        <v>110</v>
      </c>
      <c r="F24" s="143"/>
      <c r="G24" s="164">
        <v>0.5</v>
      </c>
      <c r="H24" s="165" t="s">
        <v>70</v>
      </c>
      <c r="I24" s="166">
        <f t="shared" si="0"/>
        <v>18000</v>
      </c>
      <c r="J24" s="112">
        <f t="shared" si="1"/>
        <v>9000</v>
      </c>
      <c r="K24" s="13"/>
    </row>
    <row r="25" spans="2:11" s="3" customFormat="1" ht="18">
      <c r="B25" s="187" t="s">
        <v>50</v>
      </c>
      <c r="C25" s="188"/>
      <c r="D25" s="189"/>
      <c r="E25" s="199" t="s">
        <v>111</v>
      </c>
      <c r="F25" s="143"/>
      <c r="G25" s="164">
        <v>0.5</v>
      </c>
      <c r="H25" s="165" t="s">
        <v>70</v>
      </c>
      <c r="I25" s="166">
        <f t="shared" si="0"/>
        <v>18000</v>
      </c>
      <c r="J25" s="112">
        <f t="shared" si="1"/>
        <v>9000</v>
      </c>
      <c r="K25" s="13"/>
    </row>
    <row r="26" spans="2:11" s="3" customFormat="1" ht="18">
      <c r="B26" s="144" t="s">
        <v>58</v>
      </c>
      <c r="C26" s="142"/>
      <c r="D26" s="143"/>
      <c r="E26" s="199" t="s">
        <v>112</v>
      </c>
      <c r="F26" s="143"/>
      <c r="G26" s="164">
        <v>1</v>
      </c>
      <c r="H26" s="165" t="s">
        <v>70</v>
      </c>
      <c r="I26" s="166">
        <f>E15</f>
        <v>18000</v>
      </c>
      <c r="J26" s="112">
        <f t="shared" si="1"/>
        <v>18000</v>
      </c>
      <c r="K26" s="13"/>
    </row>
    <row r="27" spans="2:11" s="3" customFormat="1" ht="18">
      <c r="B27" s="187" t="s">
        <v>51</v>
      </c>
      <c r="C27" s="188"/>
      <c r="D27" s="189"/>
      <c r="E27" s="200" t="s">
        <v>133</v>
      </c>
      <c r="F27" s="186"/>
      <c r="G27" s="164">
        <v>0.5</v>
      </c>
      <c r="H27" s="165" t="s">
        <v>70</v>
      </c>
      <c r="I27" s="166">
        <f t="shared" si="0"/>
        <v>18000</v>
      </c>
      <c r="J27" s="112">
        <f t="shared" si="1"/>
        <v>9000</v>
      </c>
      <c r="K27" s="13"/>
    </row>
    <row r="28" spans="2:11" ht="18">
      <c r="B28" s="181" t="s">
        <v>8</v>
      </c>
      <c r="C28" s="182"/>
      <c r="D28" s="182"/>
      <c r="E28" s="182"/>
      <c r="F28" s="182"/>
      <c r="G28" s="182"/>
      <c r="H28" s="182"/>
      <c r="I28" s="182"/>
      <c r="J28" s="80">
        <f>SUM(J22:J27)</f>
        <v>54000</v>
      </c>
      <c r="K28" s="13"/>
    </row>
    <row r="29" spans="2:11" s="3" customFormat="1" ht="18">
      <c r="B29" s="17"/>
      <c r="C29" s="17"/>
      <c r="D29" s="17"/>
      <c r="E29" s="17"/>
      <c r="F29" s="17"/>
      <c r="G29" s="114"/>
      <c r="H29" s="17"/>
      <c r="I29" s="17"/>
      <c r="J29" s="115"/>
      <c r="K29" s="13"/>
    </row>
    <row r="30" spans="2:11" s="25" customFormat="1" ht="36.75" customHeight="1">
      <c r="B30" s="201" t="s">
        <v>104</v>
      </c>
      <c r="C30" s="202"/>
      <c r="D30" s="202"/>
      <c r="E30" s="197" t="s">
        <v>68</v>
      </c>
      <c r="F30" s="197"/>
      <c r="G30" s="158" t="s">
        <v>5</v>
      </c>
      <c r="H30" s="159" t="s">
        <v>6</v>
      </c>
      <c r="I30" s="160" t="s">
        <v>69</v>
      </c>
      <c r="J30" s="283" t="s">
        <v>1</v>
      </c>
      <c r="K30" s="13"/>
    </row>
    <row r="31" spans="2:11" s="3" customFormat="1" ht="18">
      <c r="B31" s="185" t="s">
        <v>59</v>
      </c>
      <c r="C31" s="150"/>
      <c r="D31" s="151"/>
      <c r="E31" s="203" t="s">
        <v>73</v>
      </c>
      <c r="F31" s="204"/>
      <c r="G31" s="167">
        <v>1</v>
      </c>
      <c r="H31" s="162" t="s">
        <v>71</v>
      </c>
      <c r="I31" s="168">
        <v>30000</v>
      </c>
      <c r="J31" s="113">
        <f aca="true" t="shared" si="2" ref="J31:J37">G31*I31</f>
        <v>30000</v>
      </c>
      <c r="K31" s="13"/>
    </row>
    <row r="32" spans="2:11" s="3" customFormat="1" ht="18">
      <c r="B32" s="187" t="s">
        <v>52</v>
      </c>
      <c r="C32" s="188"/>
      <c r="D32" s="189"/>
      <c r="E32" s="205" t="s">
        <v>73</v>
      </c>
      <c r="F32" s="206"/>
      <c r="G32" s="169">
        <v>2</v>
      </c>
      <c r="H32" s="163" t="s">
        <v>71</v>
      </c>
      <c r="I32" s="170">
        <v>25000</v>
      </c>
      <c r="J32" s="111">
        <f t="shared" si="2"/>
        <v>50000</v>
      </c>
      <c r="K32" s="13"/>
    </row>
    <row r="33" spans="2:11" s="3" customFormat="1" ht="18">
      <c r="B33" s="187" t="s">
        <v>116</v>
      </c>
      <c r="C33" s="277"/>
      <c r="D33" s="189"/>
      <c r="E33" s="205" t="s">
        <v>111</v>
      </c>
      <c r="F33" s="206"/>
      <c r="G33" s="169">
        <v>2</v>
      </c>
      <c r="H33" s="163" t="s">
        <v>71</v>
      </c>
      <c r="I33" s="170">
        <v>15000</v>
      </c>
      <c r="J33" s="111">
        <f t="shared" si="2"/>
        <v>30000</v>
      </c>
      <c r="K33" s="13"/>
    </row>
    <row r="34" spans="2:11" s="3" customFormat="1" ht="18">
      <c r="B34" s="187" t="s">
        <v>62</v>
      </c>
      <c r="C34" s="188"/>
      <c r="D34" s="189"/>
      <c r="E34" s="205" t="s">
        <v>109</v>
      </c>
      <c r="F34" s="206"/>
      <c r="G34" s="169">
        <v>1</v>
      </c>
      <c r="H34" s="163" t="s">
        <v>71</v>
      </c>
      <c r="I34" s="170">
        <v>25000</v>
      </c>
      <c r="J34" s="111">
        <f t="shared" si="2"/>
        <v>25000</v>
      </c>
      <c r="K34" s="13"/>
    </row>
    <row r="35" spans="2:11" s="3" customFormat="1" ht="18">
      <c r="B35" s="144" t="s">
        <v>81</v>
      </c>
      <c r="C35" s="142"/>
      <c r="D35" s="143"/>
      <c r="E35" s="205" t="s">
        <v>109</v>
      </c>
      <c r="F35" s="206"/>
      <c r="G35" s="171">
        <v>0.4</v>
      </c>
      <c r="H35" s="163" t="s">
        <v>71</v>
      </c>
      <c r="I35" s="170">
        <v>12000</v>
      </c>
      <c r="J35" s="111">
        <f t="shared" si="2"/>
        <v>4800</v>
      </c>
      <c r="K35" s="13"/>
    </row>
    <row r="36" spans="2:11" s="3" customFormat="1" ht="18">
      <c r="B36" s="144" t="s">
        <v>55</v>
      </c>
      <c r="C36" s="142"/>
      <c r="D36" s="143"/>
      <c r="E36" s="205" t="s">
        <v>128</v>
      </c>
      <c r="F36" s="206"/>
      <c r="G36" s="171">
        <v>1</v>
      </c>
      <c r="H36" s="163" t="s">
        <v>71</v>
      </c>
      <c r="I36" s="170">
        <v>15000</v>
      </c>
      <c r="J36" s="111">
        <f t="shared" si="2"/>
        <v>15000</v>
      </c>
      <c r="K36" s="13"/>
    </row>
    <row r="37" spans="2:11" s="3" customFormat="1" ht="18">
      <c r="B37" s="144" t="s">
        <v>126</v>
      </c>
      <c r="C37" s="142"/>
      <c r="D37" s="143"/>
      <c r="E37" s="199" t="s">
        <v>133</v>
      </c>
      <c r="F37" s="207"/>
      <c r="G37" s="171">
        <f>E13</f>
        <v>370</v>
      </c>
      <c r="H37" s="164" t="s">
        <v>121</v>
      </c>
      <c r="I37" s="172">
        <v>800</v>
      </c>
      <c r="J37" s="284">
        <f t="shared" si="2"/>
        <v>296000</v>
      </c>
      <c r="K37" s="13"/>
    </row>
    <row r="38" spans="2:12" ht="18">
      <c r="B38" s="209" t="s">
        <v>10</v>
      </c>
      <c r="C38" s="210"/>
      <c r="D38" s="210"/>
      <c r="E38" s="182"/>
      <c r="F38" s="182"/>
      <c r="G38" s="182"/>
      <c r="H38" s="182"/>
      <c r="I38" s="182"/>
      <c r="J38" s="95">
        <f>SUM(J31:J37)</f>
        <v>450800</v>
      </c>
      <c r="K38" s="13"/>
      <c r="L38" s="13"/>
    </row>
    <row r="39" spans="2:12" s="3" customFormat="1" ht="18">
      <c r="B39" s="73"/>
      <c r="C39" s="73"/>
      <c r="D39" s="73"/>
      <c r="E39" s="73"/>
      <c r="F39" s="73"/>
      <c r="G39" s="22" t="s">
        <v>32</v>
      </c>
      <c r="H39" s="73"/>
      <c r="I39" s="73"/>
      <c r="J39" s="24"/>
      <c r="K39" s="13"/>
      <c r="L39" s="16"/>
    </row>
    <row r="40" spans="2:12" s="3" customFormat="1" ht="21" customHeight="1">
      <c r="B40" s="211" t="s">
        <v>105</v>
      </c>
      <c r="C40" s="212"/>
      <c r="D40" s="212"/>
      <c r="E40" s="197" t="s">
        <v>68</v>
      </c>
      <c r="F40" s="197"/>
      <c r="G40" s="158" t="s">
        <v>5</v>
      </c>
      <c r="H40" s="159" t="s">
        <v>6</v>
      </c>
      <c r="I40" s="160" t="s">
        <v>69</v>
      </c>
      <c r="J40" s="161" t="s">
        <v>1</v>
      </c>
      <c r="K40" s="13"/>
      <c r="L40" s="21"/>
    </row>
    <row r="41" spans="2:12" s="3" customFormat="1" ht="18">
      <c r="B41" s="152" t="s">
        <v>63</v>
      </c>
      <c r="C41" s="150"/>
      <c r="D41" s="151"/>
      <c r="E41" s="198" t="s">
        <v>73</v>
      </c>
      <c r="F41" s="213"/>
      <c r="G41" s="173">
        <v>180</v>
      </c>
      <c r="H41" s="173" t="s">
        <v>75</v>
      </c>
      <c r="I41" s="174">
        <v>450</v>
      </c>
      <c r="J41" s="8">
        <f>G41*I41</f>
        <v>81000</v>
      </c>
      <c r="K41" s="13"/>
      <c r="L41" s="21"/>
    </row>
    <row r="42" spans="2:12" s="3" customFormat="1" ht="18">
      <c r="B42" s="145"/>
      <c r="C42" s="142"/>
      <c r="D42" s="143"/>
      <c r="E42" s="214"/>
      <c r="F42" s="207"/>
      <c r="G42" s="175"/>
      <c r="H42" s="175"/>
      <c r="I42" s="176"/>
      <c r="J42" s="8"/>
      <c r="K42" s="13"/>
      <c r="L42" s="21"/>
    </row>
    <row r="43" spans="2:12" s="3" customFormat="1" ht="18">
      <c r="B43" s="145" t="s">
        <v>64</v>
      </c>
      <c r="C43" s="146"/>
      <c r="D43" s="143"/>
      <c r="E43" s="214"/>
      <c r="F43" s="207"/>
      <c r="G43" s="175"/>
      <c r="H43" s="175"/>
      <c r="I43" s="176"/>
      <c r="J43" s="8"/>
      <c r="K43" s="13"/>
      <c r="L43" s="21"/>
    </row>
    <row r="44" spans="2:12" s="3" customFormat="1" ht="18">
      <c r="B44" s="144" t="s">
        <v>85</v>
      </c>
      <c r="C44" s="142"/>
      <c r="D44" s="143"/>
      <c r="E44" s="199" t="s">
        <v>72</v>
      </c>
      <c r="F44" s="207"/>
      <c r="G44" s="175">
        <v>375</v>
      </c>
      <c r="H44" s="184" t="s">
        <v>82</v>
      </c>
      <c r="I44" s="176">
        <v>25</v>
      </c>
      <c r="J44" s="8">
        <f>G44*I44</f>
        <v>9375</v>
      </c>
      <c r="K44" s="13"/>
      <c r="L44" s="21"/>
    </row>
    <row r="45" spans="2:12" s="3" customFormat="1" ht="18">
      <c r="B45" s="144"/>
      <c r="C45" s="142"/>
      <c r="D45" s="143"/>
      <c r="E45" s="214"/>
      <c r="F45" s="207"/>
      <c r="G45" s="175"/>
      <c r="H45" s="184"/>
      <c r="I45" s="176"/>
      <c r="J45" s="8"/>
      <c r="K45" s="13"/>
      <c r="L45" s="21"/>
    </row>
    <row r="46" spans="2:12" s="3" customFormat="1" ht="18">
      <c r="B46" s="144" t="s">
        <v>80</v>
      </c>
      <c r="C46" s="142"/>
      <c r="D46" s="143"/>
      <c r="E46" s="214"/>
      <c r="F46" s="207"/>
      <c r="G46" s="175"/>
      <c r="H46" s="175"/>
      <c r="I46" s="176"/>
      <c r="J46" s="8"/>
      <c r="K46" s="13"/>
      <c r="L46" s="21"/>
    </row>
    <row r="47" spans="2:12" s="3" customFormat="1" ht="18">
      <c r="B47" s="144" t="s">
        <v>84</v>
      </c>
      <c r="C47" s="142"/>
      <c r="D47" s="143"/>
      <c r="E47" s="199" t="s">
        <v>72</v>
      </c>
      <c r="F47" s="207"/>
      <c r="G47" s="177">
        <v>2</v>
      </c>
      <c r="H47" s="178" t="s">
        <v>76</v>
      </c>
      <c r="I47" s="176">
        <v>11200</v>
      </c>
      <c r="J47" s="8">
        <f>G47*I47</f>
        <v>22400</v>
      </c>
      <c r="K47" s="13"/>
      <c r="L47" s="21"/>
    </row>
    <row r="48" spans="2:12" s="3" customFormat="1" ht="18">
      <c r="B48" s="279" t="s">
        <v>141</v>
      </c>
      <c r="C48" s="277"/>
      <c r="D48" s="189"/>
      <c r="E48" s="199" t="s">
        <v>72</v>
      </c>
      <c r="F48" s="207"/>
      <c r="G48" s="177">
        <v>1</v>
      </c>
      <c r="H48" s="280" t="s">
        <v>142</v>
      </c>
      <c r="I48" s="281">
        <v>1200</v>
      </c>
      <c r="J48" s="282">
        <f>G48*I48</f>
        <v>1200</v>
      </c>
      <c r="K48" s="13"/>
      <c r="L48" s="21"/>
    </row>
    <row r="49" spans="2:12" s="3" customFormat="1" ht="18">
      <c r="B49" s="279"/>
      <c r="C49" s="277"/>
      <c r="D49" s="189"/>
      <c r="E49" s="214"/>
      <c r="F49" s="207"/>
      <c r="G49" s="177"/>
      <c r="H49" s="280"/>
      <c r="I49" s="281"/>
      <c r="J49" s="282"/>
      <c r="K49" s="13"/>
      <c r="L49" s="21"/>
    </row>
    <row r="50" spans="2:12" s="3" customFormat="1" ht="18">
      <c r="B50" s="145" t="s">
        <v>54</v>
      </c>
      <c r="C50" s="146"/>
      <c r="D50" s="147"/>
      <c r="E50" s="214"/>
      <c r="F50" s="207"/>
      <c r="G50" s="177"/>
      <c r="H50" s="178"/>
      <c r="I50" s="176"/>
      <c r="J50" s="8"/>
      <c r="K50" s="13"/>
      <c r="L50" s="21"/>
    </row>
    <row r="51" spans="2:12" s="3" customFormat="1" ht="18">
      <c r="B51" s="144" t="s">
        <v>119</v>
      </c>
      <c r="C51" s="142"/>
      <c r="D51" s="143"/>
      <c r="E51" s="199" t="s">
        <v>109</v>
      </c>
      <c r="F51" s="207"/>
      <c r="G51" s="175">
        <v>200</v>
      </c>
      <c r="H51" s="175" t="s">
        <v>122</v>
      </c>
      <c r="I51" s="176">
        <v>710</v>
      </c>
      <c r="J51" s="8">
        <f>G51*I51</f>
        <v>142000</v>
      </c>
      <c r="K51" s="13"/>
      <c r="L51" s="21"/>
    </row>
    <row r="52" spans="2:12" s="3" customFormat="1" ht="18">
      <c r="B52" s="144" t="s">
        <v>117</v>
      </c>
      <c r="C52" s="142"/>
      <c r="D52" s="143"/>
      <c r="E52" s="199" t="s">
        <v>113</v>
      </c>
      <c r="F52" s="207"/>
      <c r="G52" s="175">
        <v>100</v>
      </c>
      <c r="H52" s="175" t="s">
        <v>75</v>
      </c>
      <c r="I52" s="176">
        <v>692</v>
      </c>
      <c r="J52" s="8">
        <f>G52*I52</f>
        <v>69200</v>
      </c>
      <c r="K52" s="13"/>
      <c r="L52" s="21"/>
    </row>
    <row r="53" spans="2:12" s="3" customFormat="1" ht="18">
      <c r="B53" s="144" t="s">
        <v>134</v>
      </c>
      <c r="C53" s="142"/>
      <c r="D53" s="143"/>
      <c r="E53" s="199" t="s">
        <v>113</v>
      </c>
      <c r="F53" s="207"/>
      <c r="G53" s="175">
        <v>100</v>
      </c>
      <c r="H53" s="175" t="s">
        <v>75</v>
      </c>
      <c r="I53" s="176">
        <v>730</v>
      </c>
      <c r="J53" s="8">
        <f>G53*I53</f>
        <v>73000</v>
      </c>
      <c r="K53" s="13"/>
      <c r="L53" s="21"/>
    </row>
    <row r="54" spans="2:12" s="3" customFormat="1" ht="18">
      <c r="B54" s="144"/>
      <c r="C54" s="142"/>
      <c r="D54" s="143"/>
      <c r="E54" s="199"/>
      <c r="F54" s="207"/>
      <c r="G54" s="175"/>
      <c r="H54" s="175"/>
      <c r="I54" s="176"/>
      <c r="J54" s="8"/>
      <c r="K54" s="13"/>
      <c r="L54" s="21"/>
    </row>
    <row r="55" spans="2:12" s="3" customFormat="1" ht="18">
      <c r="B55" s="145" t="s">
        <v>24</v>
      </c>
      <c r="C55" s="146"/>
      <c r="D55" s="147"/>
      <c r="E55" s="199"/>
      <c r="F55" s="207"/>
      <c r="G55" s="175"/>
      <c r="H55" s="165"/>
      <c r="I55" s="176"/>
      <c r="J55" s="8"/>
      <c r="K55" s="13"/>
      <c r="L55" s="21"/>
    </row>
    <row r="56" spans="2:12" s="3" customFormat="1" ht="18">
      <c r="B56" s="144" t="s">
        <v>60</v>
      </c>
      <c r="C56" s="142"/>
      <c r="D56" s="143"/>
      <c r="E56" s="199" t="s">
        <v>114</v>
      </c>
      <c r="F56" s="207"/>
      <c r="G56" s="175">
        <v>0.5</v>
      </c>
      <c r="H56" s="175" t="s">
        <v>76</v>
      </c>
      <c r="I56" s="176">
        <v>21200</v>
      </c>
      <c r="J56" s="8">
        <f>G56*I56</f>
        <v>10600</v>
      </c>
      <c r="K56" s="13"/>
      <c r="L56" s="21"/>
    </row>
    <row r="57" spans="2:12" s="3" customFormat="1" ht="18">
      <c r="B57" s="144"/>
      <c r="C57" s="142"/>
      <c r="D57" s="143"/>
      <c r="E57" s="214"/>
      <c r="F57" s="207"/>
      <c r="G57" s="175"/>
      <c r="H57" s="175"/>
      <c r="I57" s="176"/>
      <c r="J57" s="8"/>
      <c r="K57" s="13"/>
      <c r="L57" s="21"/>
    </row>
    <row r="58" spans="2:12" s="3" customFormat="1" ht="18">
      <c r="B58" s="145" t="s">
        <v>53</v>
      </c>
      <c r="C58" s="142"/>
      <c r="D58" s="143"/>
      <c r="E58" s="214"/>
      <c r="F58" s="207"/>
      <c r="G58" s="177"/>
      <c r="H58" s="178"/>
      <c r="I58" s="176"/>
      <c r="J58" s="8"/>
      <c r="K58" s="13"/>
      <c r="L58" s="21"/>
    </row>
    <row r="59" spans="2:12" s="3" customFormat="1" ht="18">
      <c r="B59" s="144" t="s">
        <v>83</v>
      </c>
      <c r="C59" s="142"/>
      <c r="D59" s="143"/>
      <c r="E59" s="199" t="s">
        <v>115</v>
      </c>
      <c r="F59" s="207"/>
      <c r="G59" s="177">
        <v>1</v>
      </c>
      <c r="H59" s="178" t="s">
        <v>76</v>
      </c>
      <c r="I59" s="176">
        <v>15290</v>
      </c>
      <c r="J59" s="8">
        <f>G59*I59</f>
        <v>15290</v>
      </c>
      <c r="K59" s="13"/>
      <c r="L59" s="21"/>
    </row>
    <row r="60" spans="2:12" s="3" customFormat="1" ht="18">
      <c r="B60" s="144"/>
      <c r="C60" s="142"/>
      <c r="D60" s="143"/>
      <c r="E60" s="199"/>
      <c r="F60" s="207"/>
      <c r="G60" s="177"/>
      <c r="H60" s="178"/>
      <c r="I60" s="176"/>
      <c r="J60" s="8"/>
      <c r="K60" s="13"/>
      <c r="L60" s="21"/>
    </row>
    <row r="61" spans="2:12" s="3" customFormat="1" ht="18">
      <c r="B61" s="145" t="s">
        <v>61</v>
      </c>
      <c r="C61" s="142"/>
      <c r="D61" s="143"/>
      <c r="E61" s="199"/>
      <c r="F61" s="207"/>
      <c r="G61" s="177"/>
      <c r="H61" s="178"/>
      <c r="I61" s="176"/>
      <c r="J61" s="8"/>
      <c r="K61" s="13"/>
      <c r="L61" s="21"/>
    </row>
    <row r="62" spans="2:12" s="3" customFormat="1" ht="18">
      <c r="B62" s="144" t="s">
        <v>129</v>
      </c>
      <c r="C62" s="142"/>
      <c r="D62" s="143"/>
      <c r="E62" s="199" t="s">
        <v>135</v>
      </c>
      <c r="F62" s="207"/>
      <c r="G62" s="177">
        <v>1</v>
      </c>
      <c r="H62" s="178" t="s">
        <v>71</v>
      </c>
      <c r="I62" s="176">
        <v>130000</v>
      </c>
      <c r="J62" s="8">
        <f>G62*I62</f>
        <v>130000</v>
      </c>
      <c r="K62" s="13"/>
      <c r="L62" s="21"/>
    </row>
    <row r="63" spans="2:12" s="3" customFormat="1" ht="18" customHeight="1">
      <c r="B63" s="278" t="s">
        <v>106</v>
      </c>
      <c r="C63" s="148"/>
      <c r="D63" s="149"/>
      <c r="E63" s="200" t="s">
        <v>74</v>
      </c>
      <c r="F63" s="208"/>
      <c r="G63" s="177">
        <v>1</v>
      </c>
      <c r="H63" s="178" t="s">
        <v>77</v>
      </c>
      <c r="I63" s="179">
        <v>25000</v>
      </c>
      <c r="J63" s="8">
        <f>G63*I63</f>
        <v>25000</v>
      </c>
      <c r="K63" s="13"/>
      <c r="L63" s="21"/>
    </row>
    <row r="64" spans="2:14" ht="18">
      <c r="B64" s="215" t="s">
        <v>11</v>
      </c>
      <c r="C64" s="216"/>
      <c r="D64" s="216"/>
      <c r="E64" s="216"/>
      <c r="F64" s="216"/>
      <c r="G64" s="216"/>
      <c r="H64" s="216"/>
      <c r="I64" s="216"/>
      <c r="J64" s="96">
        <f>SUM(J41:J63)</f>
        <v>579065</v>
      </c>
      <c r="K64" s="13"/>
      <c r="M64" s="13"/>
      <c r="N64" s="13"/>
    </row>
    <row r="65" spans="2:14" s="3" customFormat="1" ht="18">
      <c r="B65" s="26"/>
      <c r="C65" s="26"/>
      <c r="D65" s="26"/>
      <c r="E65" s="26"/>
      <c r="F65" s="26"/>
      <c r="G65" s="27"/>
      <c r="H65" s="26"/>
      <c r="I65" s="26"/>
      <c r="J65" s="28"/>
      <c r="K65" s="13"/>
      <c r="M65" s="13"/>
      <c r="N65" s="13"/>
    </row>
    <row r="66" spans="2:14" s="3" customFormat="1" ht="18.75">
      <c r="B66" s="211" t="s">
        <v>86</v>
      </c>
      <c r="C66" s="212"/>
      <c r="D66" s="212"/>
      <c r="E66" s="196"/>
      <c r="F66" s="196"/>
      <c r="G66" s="158" t="s">
        <v>5</v>
      </c>
      <c r="H66" s="159" t="s">
        <v>6</v>
      </c>
      <c r="I66" s="160"/>
      <c r="J66" s="161" t="s">
        <v>1</v>
      </c>
      <c r="K66" s="13"/>
      <c r="M66" s="13"/>
      <c r="N66" s="13"/>
    </row>
    <row r="67" spans="2:14" s="3" customFormat="1" ht="18">
      <c r="B67" s="250" t="s">
        <v>87</v>
      </c>
      <c r="C67" s="251"/>
      <c r="D67" s="252"/>
      <c r="E67" s="253"/>
      <c r="F67" s="254"/>
      <c r="G67" s="255">
        <v>0.05</v>
      </c>
      <c r="H67" s="256" t="s">
        <v>78</v>
      </c>
      <c r="I67" s="257"/>
      <c r="J67" s="258">
        <f>G67*(total_insumos+total_maquinaria+total_mano_obra)</f>
        <v>54193.25</v>
      </c>
      <c r="K67" s="13"/>
      <c r="M67" s="13"/>
      <c r="N67" s="13"/>
    </row>
    <row r="68" spans="2:14" s="3" customFormat="1" ht="18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6" ht="18">
      <c r="B69" s="217" t="s">
        <v>92</v>
      </c>
      <c r="C69" s="218"/>
      <c r="D69" s="218"/>
      <c r="E69" s="218"/>
      <c r="F69" s="218"/>
      <c r="G69" s="218"/>
      <c r="H69" s="218"/>
      <c r="I69" s="218"/>
      <c r="J69" s="80">
        <f>total_mano_obra+total_maquinaria+total_insumos+J67</f>
        <v>1138058.25</v>
      </c>
      <c r="K69" s="13"/>
      <c r="M69" s="13"/>
      <c r="N69" s="13"/>
      <c r="O69" s="7"/>
      <c r="P69" s="7"/>
    </row>
    <row r="70" spans="2:14" s="3" customFormat="1" ht="18">
      <c r="B70" s="74"/>
      <c r="C70" s="74"/>
      <c r="D70" s="74"/>
      <c r="E70" s="74"/>
      <c r="F70" s="74"/>
      <c r="G70" s="29"/>
      <c r="H70" s="74"/>
      <c r="I70" s="74"/>
      <c r="J70" s="24"/>
      <c r="K70" s="13"/>
      <c r="M70" s="13"/>
      <c r="N70" s="13"/>
    </row>
    <row r="71" spans="2:14" s="3" customFormat="1" ht="19.5">
      <c r="B71" s="94" t="s">
        <v>91</v>
      </c>
      <c r="C71" s="93"/>
      <c r="D71" s="93"/>
      <c r="E71" s="17"/>
      <c r="F71" s="17"/>
      <c r="G71" s="18"/>
      <c r="H71" s="19"/>
      <c r="I71" s="20"/>
      <c r="J71" s="20"/>
      <c r="K71" s="13"/>
      <c r="M71" s="13"/>
      <c r="N71" s="13"/>
    </row>
    <row r="72" spans="2:14" s="3" customFormat="1" ht="18.75">
      <c r="B72" s="219" t="s">
        <v>31</v>
      </c>
      <c r="C72" s="196"/>
      <c r="D72" s="196"/>
      <c r="E72" s="316"/>
      <c r="F72" s="316"/>
      <c r="G72" s="158" t="s">
        <v>5</v>
      </c>
      <c r="H72" s="159" t="s">
        <v>6</v>
      </c>
      <c r="I72" s="88"/>
      <c r="J72" s="89" t="s">
        <v>1</v>
      </c>
      <c r="K72" s="13"/>
      <c r="M72" s="13"/>
      <c r="N72" s="13"/>
    </row>
    <row r="73" spans="2:15" s="3" customFormat="1" ht="18" customHeight="1">
      <c r="B73" s="220" t="s">
        <v>107</v>
      </c>
      <c r="C73" s="221"/>
      <c r="D73" s="221"/>
      <c r="E73" s="299"/>
      <c r="F73" s="300"/>
      <c r="G73" s="261">
        <f>E16</f>
        <v>0.015</v>
      </c>
      <c r="H73" s="262" t="s">
        <v>78</v>
      </c>
      <c r="I73" s="263"/>
      <c r="J73" s="264">
        <f>total_costos_directos*tasa_interes_mensual*meses_financiamiento*0.5</f>
        <v>68283.495</v>
      </c>
      <c r="K73" s="13"/>
      <c r="L73" s="298"/>
      <c r="M73" s="298"/>
      <c r="N73" s="298"/>
      <c r="O73" s="298"/>
    </row>
    <row r="74" spans="2:15" s="3" customFormat="1" ht="18" customHeight="1">
      <c r="B74" s="260" t="s">
        <v>88</v>
      </c>
      <c r="C74" s="259"/>
      <c r="D74" s="259"/>
      <c r="E74" s="272"/>
      <c r="F74" s="273"/>
      <c r="G74" s="265"/>
      <c r="H74" s="266"/>
      <c r="I74" s="267"/>
      <c r="J74" s="268"/>
      <c r="K74" s="13"/>
      <c r="L74" s="191"/>
      <c r="M74" s="191"/>
      <c r="N74" s="191"/>
      <c r="O74" s="191"/>
    </row>
    <row r="75" spans="2:15" s="3" customFormat="1" ht="18" customHeight="1">
      <c r="B75" s="260" t="s">
        <v>89</v>
      </c>
      <c r="C75" s="259"/>
      <c r="D75" s="259"/>
      <c r="E75" s="272"/>
      <c r="F75" s="273"/>
      <c r="G75" s="265"/>
      <c r="H75" s="266"/>
      <c r="I75" s="267"/>
      <c r="J75" s="268"/>
      <c r="K75" s="13"/>
      <c r="L75" s="191"/>
      <c r="M75" s="191"/>
      <c r="N75" s="191"/>
      <c r="O75" s="191"/>
    </row>
    <row r="76" spans="2:15" s="3" customFormat="1" ht="18" customHeight="1">
      <c r="B76" s="260" t="s">
        <v>90</v>
      </c>
      <c r="C76" s="259"/>
      <c r="D76" s="259"/>
      <c r="E76" s="272"/>
      <c r="F76" s="273"/>
      <c r="G76" s="265"/>
      <c r="H76" s="266"/>
      <c r="I76" s="267"/>
      <c r="J76" s="268"/>
      <c r="K76" s="13"/>
      <c r="L76" s="191"/>
      <c r="M76" s="191"/>
      <c r="N76" s="191"/>
      <c r="O76" s="191"/>
    </row>
    <row r="77" spans="2:14" ht="18">
      <c r="B77" s="181" t="s">
        <v>28</v>
      </c>
      <c r="C77" s="182"/>
      <c r="D77" s="182"/>
      <c r="E77" s="182"/>
      <c r="F77" s="182"/>
      <c r="G77" s="182"/>
      <c r="H77" s="182"/>
      <c r="I77" s="182"/>
      <c r="J77" s="80">
        <f>SUM(J73:J76)</f>
        <v>68283.495</v>
      </c>
      <c r="K77" s="13"/>
      <c r="M77" s="13"/>
      <c r="N77" s="13"/>
    </row>
    <row r="78" spans="2:12" s="3" customFormat="1" ht="18" customHeight="1">
      <c r="B78" s="73"/>
      <c r="C78" s="73"/>
      <c r="D78" s="73"/>
      <c r="E78" s="73"/>
      <c r="F78" s="73"/>
      <c r="G78" s="22"/>
      <c r="H78" s="73"/>
      <c r="I78" s="73"/>
      <c r="J78" s="24"/>
      <c r="K78" s="13"/>
      <c r="L78" s="13"/>
    </row>
    <row r="79" spans="2:12" ht="18" customHeight="1">
      <c r="B79" s="181" t="s">
        <v>13</v>
      </c>
      <c r="C79" s="182"/>
      <c r="D79" s="182"/>
      <c r="E79" s="182"/>
      <c r="F79" s="182"/>
      <c r="G79" s="182"/>
      <c r="H79" s="182"/>
      <c r="I79" s="182"/>
      <c r="J79" s="183">
        <f>total_costos_indirectos+total_costos_directos</f>
        <v>1206341.745</v>
      </c>
      <c r="K79" s="13"/>
      <c r="L79" s="13"/>
    </row>
    <row r="80" spans="2:12" s="3" customFormat="1" ht="18" customHeight="1">
      <c r="B80" s="26"/>
      <c r="C80" s="26"/>
      <c r="D80" s="26"/>
      <c r="E80" s="26"/>
      <c r="F80" s="26"/>
      <c r="G80" s="27"/>
      <c r="H80" s="26"/>
      <c r="I80" s="26"/>
      <c r="J80" s="28"/>
      <c r="K80" s="13"/>
      <c r="L80" s="13"/>
    </row>
    <row r="81" spans="2:12" s="3" customFormat="1" ht="18" customHeight="1">
      <c r="B81" s="73"/>
      <c r="C81" s="73"/>
      <c r="D81" s="73"/>
      <c r="E81" s="73"/>
      <c r="F81" s="73"/>
      <c r="G81" s="22"/>
      <c r="H81" s="73"/>
      <c r="I81" s="73"/>
      <c r="J81" s="24"/>
      <c r="K81" s="13"/>
      <c r="L81" s="13"/>
    </row>
    <row r="82" spans="2:12" ht="18" customHeight="1">
      <c r="B82" s="304" t="s">
        <v>108</v>
      </c>
      <c r="C82" s="305"/>
      <c r="D82" s="305"/>
      <c r="E82" s="305"/>
      <c r="F82" s="305"/>
      <c r="G82" s="305"/>
      <c r="H82" s="305"/>
      <c r="I82" s="305"/>
      <c r="J82" s="306"/>
      <c r="K82" s="13"/>
      <c r="L82" s="21"/>
    </row>
    <row r="83" spans="2:12" ht="18" customHeight="1">
      <c r="B83" s="307" t="s">
        <v>79</v>
      </c>
      <c r="C83" s="308"/>
      <c r="D83" s="308"/>
      <c r="E83" s="308"/>
      <c r="F83" s="308"/>
      <c r="G83" s="308"/>
      <c r="H83" s="308"/>
      <c r="I83" s="308"/>
      <c r="J83" s="309"/>
      <c r="K83" s="13"/>
      <c r="L83" s="21"/>
    </row>
    <row r="84" spans="2:12" s="3" customFormat="1" ht="42" customHeight="1">
      <c r="B84" s="313" t="s">
        <v>125</v>
      </c>
      <c r="C84" s="314"/>
      <c r="D84" s="315"/>
      <c r="E84" s="310" t="s">
        <v>124</v>
      </c>
      <c r="F84" s="311"/>
      <c r="G84" s="311"/>
      <c r="H84" s="311"/>
      <c r="I84" s="311"/>
      <c r="J84" s="312"/>
      <c r="K84" s="13"/>
      <c r="L84" s="21"/>
    </row>
    <row r="85" spans="2:12" s="3" customFormat="1" ht="18" customHeight="1">
      <c r="B85" s="222"/>
      <c r="C85" s="223"/>
      <c r="D85" s="224"/>
      <c r="E85" s="225">
        <f>G85*0.9</f>
        <v>2970</v>
      </c>
      <c r="F85" s="227"/>
      <c r="G85" s="228">
        <f>precio_de_venta</f>
        <v>3300</v>
      </c>
      <c r="H85" s="229"/>
      <c r="I85" s="225">
        <f>G85*1.1</f>
        <v>3630.0000000000005</v>
      </c>
      <c r="J85" s="227"/>
      <c r="K85" s="13"/>
      <c r="L85" s="21"/>
    </row>
    <row r="86" spans="2:12" s="3" customFormat="1" ht="18" customHeight="1">
      <c r="B86" s="226"/>
      <c r="C86" s="230">
        <f>rendimiento*0.9</f>
        <v>333</v>
      </c>
      <c r="D86" s="227"/>
      <c r="E86" s="232">
        <f>E$85*$C$86-total_costos</f>
        <v>-217331.7450000001</v>
      </c>
      <c r="F86" s="231"/>
      <c r="G86" s="232">
        <f>G$85*$C$86-total_costos</f>
        <v>-107441.74500000011</v>
      </c>
      <c r="H86" s="231"/>
      <c r="I86" s="232">
        <f>I$85*$C$86-total_costos</f>
        <v>2448.255000000121</v>
      </c>
      <c r="J86" s="231"/>
      <c r="K86" s="13"/>
      <c r="L86" s="21"/>
    </row>
    <row r="87" spans="2:12" s="3" customFormat="1" ht="18" customHeight="1">
      <c r="B87" s="226"/>
      <c r="C87" s="230">
        <f>rendimiento</f>
        <v>370</v>
      </c>
      <c r="D87" s="227"/>
      <c r="E87" s="232">
        <f>E$85*$C$87-total_costos</f>
        <v>-107441.74500000011</v>
      </c>
      <c r="F87" s="231"/>
      <c r="G87" s="232">
        <f>G$85*$C$87-total_costos</f>
        <v>14658.254999999888</v>
      </c>
      <c r="H87" s="231"/>
      <c r="I87" s="232">
        <f>I$85*$C$87-total_costos</f>
        <v>136758.25500000012</v>
      </c>
      <c r="J87" s="231"/>
      <c r="K87" s="13"/>
      <c r="L87" s="21"/>
    </row>
    <row r="88" spans="2:12" s="3" customFormat="1" ht="18" customHeight="1">
      <c r="B88" s="226"/>
      <c r="C88" s="230">
        <f>rendimiento*1.1</f>
        <v>407.00000000000006</v>
      </c>
      <c r="D88" s="227"/>
      <c r="E88" s="232">
        <f>E$85*$C$88-total_costos</f>
        <v>2448.255000000121</v>
      </c>
      <c r="F88" s="231"/>
      <c r="G88" s="232">
        <f>G$85*$C$88-total_costos</f>
        <v>136758.25500000012</v>
      </c>
      <c r="H88" s="231"/>
      <c r="I88" s="232">
        <f>I$85*$C$88-total_costos</f>
        <v>271068.25500000035</v>
      </c>
      <c r="J88" s="231"/>
      <c r="K88" s="13"/>
      <c r="L88" s="21"/>
    </row>
    <row r="89" spans="2:12" s="3" customFormat="1" ht="18" customHeight="1">
      <c r="B89" s="30"/>
      <c r="C89" s="30"/>
      <c r="D89" s="31"/>
      <c r="E89" s="31"/>
      <c r="F89" s="31"/>
      <c r="G89" s="32"/>
      <c r="H89" s="9"/>
      <c r="I89" s="12"/>
      <c r="J89" s="12"/>
      <c r="K89" s="13"/>
      <c r="L89" s="21"/>
    </row>
    <row r="90" spans="2:12" s="3" customFormat="1" ht="18" customHeight="1">
      <c r="B90" s="301" t="s">
        <v>138</v>
      </c>
      <c r="C90" s="302"/>
      <c r="D90" s="302"/>
      <c r="E90" s="302"/>
      <c r="F90" s="302"/>
      <c r="G90" s="302"/>
      <c r="H90" s="302"/>
      <c r="I90" s="302"/>
      <c r="J90" s="303"/>
      <c r="K90" s="13"/>
      <c r="L90" s="21"/>
    </row>
    <row r="91" spans="2:12" s="3" customFormat="1" ht="18" customHeight="1">
      <c r="B91" s="247"/>
      <c r="C91" s="248"/>
      <c r="D91" s="248"/>
      <c r="E91" s="248"/>
      <c r="F91" s="248"/>
      <c r="G91" s="248"/>
      <c r="H91" s="248"/>
      <c r="I91" s="248"/>
      <c r="J91" s="249"/>
      <c r="K91" s="13"/>
      <c r="L91" s="21"/>
    </row>
    <row r="92" spans="2:12" s="3" customFormat="1" ht="18" customHeight="1">
      <c r="B92" s="233" t="s">
        <v>125</v>
      </c>
      <c r="C92" s="234"/>
      <c r="D92" s="234"/>
      <c r="E92" s="234">
        <f>C86</f>
        <v>333</v>
      </c>
      <c r="F92" s="234"/>
      <c r="G92" s="234">
        <f>C87</f>
        <v>370</v>
      </c>
      <c r="H92" s="234"/>
      <c r="I92" s="234">
        <f>C88</f>
        <v>407.00000000000006</v>
      </c>
      <c r="J92" s="245"/>
      <c r="K92" s="13"/>
      <c r="L92" s="21"/>
    </row>
    <row r="93" spans="2:12" ht="18" customHeight="1">
      <c r="B93" s="235"/>
      <c r="C93" s="236"/>
      <c r="D93" s="236"/>
      <c r="E93" s="236"/>
      <c r="F93" s="236"/>
      <c r="G93" s="236"/>
      <c r="H93" s="236"/>
      <c r="I93" s="236"/>
      <c r="J93" s="246"/>
      <c r="K93" s="13"/>
      <c r="L93" s="21"/>
    </row>
    <row r="94" spans="2:12" ht="18" customHeight="1">
      <c r="B94" s="237" t="s">
        <v>139</v>
      </c>
      <c r="C94" s="238"/>
      <c r="D94" s="238"/>
      <c r="E94" s="241">
        <f>total_costos/E92</f>
        <v>3622.647882882883</v>
      </c>
      <c r="F94" s="241"/>
      <c r="G94" s="241">
        <f>total_costos/$G$92</f>
        <v>3260.3830945945947</v>
      </c>
      <c r="H94" s="241"/>
      <c r="I94" s="241">
        <f>total_costos/I92</f>
        <v>2963.9846314496313</v>
      </c>
      <c r="J94" s="243"/>
      <c r="K94" s="13"/>
      <c r="L94" s="21"/>
    </row>
    <row r="95" spans="2:12" ht="18" customHeight="1">
      <c r="B95" s="239"/>
      <c r="C95" s="240"/>
      <c r="D95" s="240"/>
      <c r="E95" s="242"/>
      <c r="F95" s="242"/>
      <c r="G95" s="242"/>
      <c r="H95" s="242"/>
      <c r="I95" s="242"/>
      <c r="J95" s="244"/>
      <c r="K95" s="13"/>
      <c r="L95" s="21"/>
    </row>
    <row r="96" spans="2:12" ht="18" customHeight="1">
      <c r="B96" s="38"/>
      <c r="C96" s="1"/>
      <c r="D96" s="3"/>
      <c r="E96" s="3"/>
      <c r="F96" s="82"/>
      <c r="G96" s="82"/>
      <c r="H96" s="82"/>
      <c r="I96" s="12"/>
      <c r="J96" s="12"/>
      <c r="K96" s="13"/>
      <c r="L96" s="21"/>
    </row>
    <row r="97" spans="2:11" s="3" customFormat="1" ht="18" customHeight="1">
      <c r="B97" s="288" t="s">
        <v>15</v>
      </c>
      <c r="C97" s="289"/>
      <c r="D97" s="289"/>
      <c r="E97" s="289"/>
      <c r="F97" s="289"/>
      <c r="G97" s="289"/>
      <c r="H97" s="289"/>
      <c r="I97" s="289"/>
      <c r="J97" s="290"/>
      <c r="K97" s="71"/>
    </row>
    <row r="98" spans="2:11" s="3" customFormat="1" ht="18" customHeight="1">
      <c r="B98" s="276" t="s">
        <v>98</v>
      </c>
      <c r="C98" s="274"/>
      <c r="D98" s="274"/>
      <c r="E98" s="274"/>
      <c r="F98" s="274"/>
      <c r="G98" s="274"/>
      <c r="H98" s="274"/>
      <c r="I98" s="274"/>
      <c r="J98" s="275"/>
      <c r="K98" s="71"/>
    </row>
    <row r="99" spans="2:14" s="3" customFormat="1" ht="18">
      <c r="B99" s="295" t="s">
        <v>136</v>
      </c>
      <c r="C99" s="296"/>
      <c r="D99" s="296"/>
      <c r="E99" s="296"/>
      <c r="F99" s="296"/>
      <c r="G99" s="296"/>
      <c r="H99" s="296"/>
      <c r="I99" s="296"/>
      <c r="J99" s="297"/>
      <c r="K99" s="71"/>
      <c r="N99" s="83"/>
    </row>
    <row r="100" spans="2:14" s="3" customFormat="1" ht="18">
      <c r="B100" s="295" t="s">
        <v>99</v>
      </c>
      <c r="C100" s="296"/>
      <c r="D100" s="296"/>
      <c r="E100" s="296"/>
      <c r="F100" s="296"/>
      <c r="G100" s="296"/>
      <c r="H100" s="296"/>
      <c r="I100" s="296"/>
      <c r="J100" s="297"/>
      <c r="K100" s="71"/>
      <c r="N100" s="83"/>
    </row>
    <row r="101" spans="2:11" s="3" customFormat="1" ht="51" customHeight="1">
      <c r="B101" s="295" t="s">
        <v>100</v>
      </c>
      <c r="C101" s="296"/>
      <c r="D101" s="296"/>
      <c r="E101" s="296"/>
      <c r="F101" s="296"/>
      <c r="G101" s="296"/>
      <c r="H101" s="296"/>
      <c r="I101" s="296"/>
      <c r="J101" s="297"/>
      <c r="K101" s="72"/>
    </row>
    <row r="102" spans="2:11" s="3" customFormat="1" ht="18">
      <c r="B102" s="295" t="s">
        <v>101</v>
      </c>
      <c r="C102" s="296"/>
      <c r="D102" s="296"/>
      <c r="E102" s="296"/>
      <c r="F102" s="296"/>
      <c r="G102" s="296"/>
      <c r="H102" s="296"/>
      <c r="I102" s="296"/>
      <c r="J102" s="297"/>
      <c r="K102" s="71"/>
    </row>
    <row r="103" spans="2:11" s="3" customFormat="1" ht="18">
      <c r="B103" s="295" t="s">
        <v>143</v>
      </c>
      <c r="C103" s="296"/>
      <c r="D103" s="296"/>
      <c r="E103" s="296"/>
      <c r="F103" s="296"/>
      <c r="G103" s="296"/>
      <c r="H103" s="296"/>
      <c r="I103" s="296"/>
      <c r="J103" s="297"/>
      <c r="K103" s="71"/>
    </row>
    <row r="104" spans="2:11" s="3" customFormat="1" ht="18">
      <c r="B104" s="291" t="s">
        <v>102</v>
      </c>
      <c r="C104" s="292"/>
      <c r="D104" s="292"/>
      <c r="E104" s="292"/>
      <c r="F104" s="292"/>
      <c r="G104" s="292"/>
      <c r="H104" s="292"/>
      <c r="I104" s="292"/>
      <c r="J104" s="293"/>
      <c r="K104" s="71"/>
    </row>
    <row r="105" spans="2:11" s="3" customFormat="1" ht="18">
      <c r="B105" s="285" t="s">
        <v>103</v>
      </c>
      <c r="C105" s="286"/>
      <c r="D105" s="286"/>
      <c r="E105" s="286"/>
      <c r="F105" s="286"/>
      <c r="G105" s="286"/>
      <c r="H105" s="286"/>
      <c r="I105" s="286"/>
      <c r="J105" s="287"/>
      <c r="K105" s="71"/>
    </row>
    <row r="106" spans="2:11" s="3" customFormat="1" ht="18">
      <c r="B106" s="180"/>
      <c r="C106" s="180"/>
      <c r="D106" s="180"/>
      <c r="E106" s="180"/>
      <c r="F106" s="180"/>
      <c r="G106" s="180"/>
      <c r="H106" s="180"/>
      <c r="I106" s="180"/>
      <c r="J106" s="180"/>
      <c r="K106" s="71"/>
    </row>
    <row r="107" spans="2:11" s="3" customFormat="1" ht="15">
      <c r="B107" s="4"/>
      <c r="C107" s="4"/>
      <c r="D107" s="4"/>
      <c r="E107" s="4"/>
      <c r="F107" s="4"/>
      <c r="G107" s="5"/>
      <c r="H107" s="4"/>
      <c r="I107" s="4"/>
      <c r="J107" s="4"/>
      <c r="K107" s="7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7"/>
    </row>
    <row r="109" spans="2:12" s="3" customFormat="1" ht="15">
      <c r="B109" s="58"/>
      <c r="C109" s="58"/>
      <c r="D109" s="58"/>
      <c r="E109" s="58"/>
      <c r="F109" s="58"/>
      <c r="G109" s="59"/>
      <c r="H109" s="58"/>
      <c r="I109" s="58"/>
      <c r="J109" s="58"/>
      <c r="K109" s="60"/>
      <c r="L109" s="58"/>
    </row>
    <row r="110" spans="2:12" s="3" customFormat="1" ht="15">
      <c r="B110" s="58"/>
      <c r="C110" s="58"/>
      <c r="D110" s="58"/>
      <c r="E110" s="58"/>
      <c r="F110" s="58"/>
      <c r="G110" s="59"/>
      <c r="H110" s="58"/>
      <c r="I110" s="58"/>
      <c r="J110" s="58"/>
      <c r="K110" s="60"/>
      <c r="L110" s="58"/>
    </row>
    <row r="111" spans="2:12" s="3" customFormat="1" ht="15">
      <c r="B111" s="58"/>
      <c r="C111" s="58"/>
      <c r="D111" s="58"/>
      <c r="E111" s="58"/>
      <c r="F111" s="58"/>
      <c r="G111" s="59"/>
      <c r="H111" s="58"/>
      <c r="I111" s="58"/>
      <c r="J111" s="58"/>
      <c r="K111" s="60"/>
      <c r="L111" s="58"/>
    </row>
    <row r="112" spans="2:12" s="3" customFormat="1" ht="15">
      <c r="B112" s="58"/>
      <c r="C112" s="58"/>
      <c r="D112" s="58"/>
      <c r="E112" s="58"/>
      <c r="F112" s="58"/>
      <c r="G112" s="59"/>
      <c r="H112" s="58"/>
      <c r="I112" s="58"/>
      <c r="J112" s="58"/>
      <c r="K112" s="60"/>
      <c r="L112" s="58"/>
    </row>
    <row r="113" spans="2:12" ht="18">
      <c r="B113" s="47"/>
      <c r="C113" s="47"/>
      <c r="D113" s="48"/>
      <c r="E113" s="48"/>
      <c r="F113" s="49"/>
      <c r="G113" s="49"/>
      <c r="H113" s="49"/>
      <c r="I113" s="58"/>
      <c r="J113" s="58"/>
      <c r="K113" s="60"/>
      <c r="L113" s="58"/>
    </row>
    <row r="114" spans="2:12" ht="18">
      <c r="B114" s="47"/>
      <c r="C114" s="50"/>
      <c r="D114" s="50"/>
      <c r="E114" s="51"/>
      <c r="F114" s="50"/>
      <c r="G114" s="52"/>
      <c r="H114" s="53"/>
      <c r="I114" s="58"/>
      <c r="J114" s="58"/>
      <c r="K114" s="60"/>
      <c r="L114" s="58"/>
    </row>
    <row r="115" spans="2:12" ht="18">
      <c r="B115" s="48"/>
      <c r="C115" s="48"/>
      <c r="D115" s="48"/>
      <c r="E115" s="48"/>
      <c r="F115" s="48"/>
      <c r="G115" s="48"/>
      <c r="H115" s="48"/>
      <c r="I115" s="58"/>
      <c r="J115" s="58"/>
      <c r="K115" s="60"/>
      <c r="L115" s="58"/>
    </row>
    <row r="116" spans="2:12" ht="18">
      <c r="B116" s="47"/>
      <c r="C116" s="48"/>
      <c r="D116" s="48"/>
      <c r="E116" s="48"/>
      <c r="F116" s="48"/>
      <c r="G116" s="48"/>
      <c r="H116" s="48"/>
      <c r="I116" s="58"/>
      <c r="J116" s="58"/>
      <c r="K116" s="60"/>
      <c r="L116" s="58"/>
    </row>
    <row r="117" spans="2:12" ht="18">
      <c r="B117" s="61"/>
      <c r="C117" s="62"/>
      <c r="D117" s="62"/>
      <c r="E117" s="54"/>
      <c r="F117" s="54"/>
      <c r="G117" s="54"/>
      <c r="H117" s="54"/>
      <c r="I117" s="58"/>
      <c r="J117" s="60"/>
      <c r="K117" s="60"/>
      <c r="L117" s="58"/>
    </row>
    <row r="118" spans="2:12" ht="18">
      <c r="B118" s="61"/>
      <c r="C118" s="62"/>
      <c r="D118" s="62"/>
      <c r="E118" s="54"/>
      <c r="F118" s="54"/>
      <c r="G118" s="54"/>
      <c r="H118" s="54"/>
      <c r="I118" s="58"/>
      <c r="J118" s="60"/>
      <c r="K118" s="60"/>
      <c r="L118" s="58"/>
    </row>
    <row r="119" spans="2:12" ht="18">
      <c r="B119" s="55"/>
      <c r="C119" s="56"/>
      <c r="D119" s="56"/>
      <c r="E119" s="55"/>
      <c r="F119" s="55"/>
      <c r="G119" s="55"/>
      <c r="H119" s="57"/>
      <c r="I119" s="58"/>
      <c r="J119" s="58"/>
      <c r="K119" s="60"/>
      <c r="L119" s="58"/>
    </row>
    <row r="120" spans="2:12" ht="18">
      <c r="B120" s="48"/>
      <c r="C120" s="48"/>
      <c r="D120" s="48"/>
      <c r="E120" s="48"/>
      <c r="F120" s="48"/>
      <c r="G120" s="48"/>
      <c r="H120" s="48"/>
      <c r="I120" s="58"/>
      <c r="J120" s="58"/>
      <c r="K120" s="60"/>
      <c r="L120" s="58"/>
    </row>
    <row r="121" spans="2:12" ht="18">
      <c r="B121" s="47"/>
      <c r="C121" s="48"/>
      <c r="D121" s="48"/>
      <c r="E121" s="48"/>
      <c r="F121" s="48"/>
      <c r="G121" s="48"/>
      <c r="H121" s="48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294"/>
      <c r="C124" s="29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8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8">
      <c r="B133" s="63"/>
      <c r="C133" s="64"/>
      <c r="D133" s="65"/>
      <c r="E133" s="66"/>
      <c r="F133" s="65"/>
      <c r="G133" s="67"/>
      <c r="H133" s="67"/>
      <c r="I133" s="58"/>
      <c r="J133" s="58"/>
      <c r="K133" s="60"/>
      <c r="L133" s="58"/>
    </row>
    <row r="134" spans="2:12" ht="18">
      <c r="B134" s="63"/>
      <c r="C134" s="64"/>
      <c r="D134" s="65"/>
      <c r="E134" s="66"/>
      <c r="F134" s="65"/>
      <c r="G134" s="67"/>
      <c r="H134" s="67"/>
      <c r="I134" s="58"/>
      <c r="J134" s="58"/>
      <c r="K134" s="60"/>
      <c r="L134" s="58"/>
    </row>
    <row r="135" spans="2:12" ht="18">
      <c r="B135" s="55"/>
      <c r="C135" s="56"/>
      <c r="D135" s="56"/>
      <c r="E135" s="55"/>
      <c r="F135" s="55"/>
      <c r="G135" s="55"/>
      <c r="H135" s="57"/>
      <c r="I135" s="58"/>
      <c r="J135" s="58"/>
      <c r="K135" s="60"/>
      <c r="L135" s="58"/>
    </row>
    <row r="136" spans="2:12" ht="18">
      <c r="B136" s="48"/>
      <c r="C136" s="48"/>
      <c r="D136" s="48"/>
      <c r="E136" s="48"/>
      <c r="F136" s="48"/>
      <c r="G136" s="48"/>
      <c r="H136" s="48"/>
      <c r="I136" s="58"/>
      <c r="J136" s="58"/>
      <c r="K136" s="60"/>
      <c r="L136" s="58"/>
    </row>
    <row r="137" spans="2:12" ht="18">
      <c r="B137" s="55"/>
      <c r="C137" s="56"/>
      <c r="D137" s="56"/>
      <c r="E137" s="55"/>
      <c r="F137" s="55"/>
      <c r="G137" s="55"/>
      <c r="H137" s="57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68"/>
      <c r="C148" s="68"/>
      <c r="D148" s="68"/>
      <c r="E148" s="68"/>
      <c r="F148" s="6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58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60"/>
      <c r="D151" s="60"/>
      <c r="E151" s="60"/>
      <c r="F151" s="60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60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60"/>
      <c r="D158" s="60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9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60"/>
      <c r="C171" s="60"/>
      <c r="D171" s="60"/>
      <c r="E171" s="60"/>
      <c r="F171" s="60"/>
      <c r="G171" s="60"/>
      <c r="H171" s="60"/>
      <c r="I171" s="60"/>
      <c r="J171" s="58"/>
      <c r="K171" s="60"/>
      <c r="L171" s="58"/>
    </row>
    <row r="172" spans="2:12" s="3" customFormat="1" ht="15">
      <c r="B172" s="60"/>
      <c r="C172" s="60"/>
      <c r="D172" s="60"/>
      <c r="E172" s="60"/>
      <c r="F172" s="60"/>
      <c r="G172" s="69"/>
      <c r="H172" s="60"/>
      <c r="I172" s="60"/>
      <c r="J172" s="58"/>
      <c r="K172" s="60"/>
      <c r="L172" s="69"/>
    </row>
    <row r="173" spans="2:12" s="3" customFormat="1" ht="15">
      <c r="B173" s="60"/>
      <c r="C173" s="60"/>
      <c r="D173" s="60"/>
      <c r="E173" s="60"/>
      <c r="F173" s="60"/>
      <c r="G173" s="60"/>
      <c r="H173" s="60"/>
      <c r="I173" s="70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60"/>
      <c r="I180" s="60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60"/>
      <c r="I181" s="60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60"/>
      <c r="I182" s="60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60"/>
      <c r="I189" s="60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60"/>
      <c r="I190" s="60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60"/>
      <c r="I191" s="60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s="3" customFormat="1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s="3" customFormat="1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  <row r="315" spans="2:12" ht="15">
      <c r="B315" s="58"/>
      <c r="C315" s="58"/>
      <c r="D315" s="58"/>
      <c r="E315" s="58"/>
      <c r="F315" s="58"/>
      <c r="G315" s="59"/>
      <c r="H315" s="58"/>
      <c r="I315" s="58"/>
      <c r="J315" s="58"/>
      <c r="K315" s="60"/>
      <c r="L315" s="58"/>
    </row>
    <row r="316" spans="2:12" ht="15">
      <c r="B316" s="58"/>
      <c r="C316" s="58"/>
      <c r="D316" s="58"/>
      <c r="E316" s="58"/>
      <c r="F316" s="58"/>
      <c r="G316" s="59"/>
      <c r="H316" s="58"/>
      <c r="I316" s="58"/>
      <c r="J316" s="58"/>
      <c r="K316" s="60"/>
      <c r="L316" s="58"/>
    </row>
  </sheetData>
  <sheetProtection/>
  <mergeCells count="25">
    <mergeCell ref="E72:F72"/>
    <mergeCell ref="B12:E12"/>
    <mergeCell ref="G12:J12"/>
    <mergeCell ref="B21:D21"/>
    <mergeCell ref="D6:J6"/>
    <mergeCell ref="D2:J2"/>
    <mergeCell ref="E20:F20"/>
    <mergeCell ref="D3:J3"/>
    <mergeCell ref="D4:J4"/>
    <mergeCell ref="L73:O73"/>
    <mergeCell ref="E73:F73"/>
    <mergeCell ref="B99:J99"/>
    <mergeCell ref="B90:J90"/>
    <mergeCell ref="B82:J82"/>
    <mergeCell ref="B83:J83"/>
    <mergeCell ref="E84:J84"/>
    <mergeCell ref="B84:D84"/>
    <mergeCell ref="B105:J105"/>
    <mergeCell ref="B97:J97"/>
    <mergeCell ref="B104:J104"/>
    <mergeCell ref="B124:C124"/>
    <mergeCell ref="B101:J101"/>
    <mergeCell ref="B103:J103"/>
    <mergeCell ref="B102:J102"/>
    <mergeCell ref="B100:J10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/>
  <rowBreaks count="1" manualBreakCount="1">
    <brk id="80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57421875" defaultRowHeight="15"/>
  <cols>
    <col min="1" max="1" width="20.0039062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6">
        <f>((rendimiento-$C$1)/$C$1)+1</f>
        <v>0.013214285714285734</v>
      </c>
    </row>
    <row r="3" ht="18">
      <c r="B3" s="10"/>
    </row>
    <row r="4" spans="2:12" ht="18">
      <c r="B4" s="331" t="s">
        <v>18</v>
      </c>
      <c r="C4" s="331"/>
      <c r="E4" s="3" t="s">
        <v>47</v>
      </c>
      <c r="K4" s="118"/>
      <c r="L4" s="7"/>
    </row>
    <row r="5" spans="1:5" ht="18">
      <c r="A5" s="119" t="s">
        <v>35</v>
      </c>
      <c r="B5" s="120" t="s">
        <v>38</v>
      </c>
      <c r="C5" s="121"/>
      <c r="D5" s="121"/>
      <c r="E5" s="122">
        <v>2</v>
      </c>
    </row>
    <row r="6" spans="1:5" ht="18">
      <c r="A6" s="119" t="s">
        <v>35</v>
      </c>
      <c r="B6" s="120" t="s">
        <v>41</v>
      </c>
      <c r="C6" s="123"/>
      <c r="D6" s="123"/>
      <c r="E6" s="122">
        <v>2</v>
      </c>
    </row>
    <row r="7" spans="1:5" ht="18">
      <c r="A7" s="119" t="s">
        <v>35</v>
      </c>
      <c r="B7" s="120" t="s">
        <v>42</v>
      </c>
      <c r="C7" s="123"/>
      <c r="D7" s="123"/>
      <c r="E7" s="122">
        <v>2</v>
      </c>
    </row>
    <row r="8" spans="1:5" ht="18">
      <c r="A8" s="124" t="s">
        <v>36</v>
      </c>
      <c r="B8" s="125" t="s">
        <v>39</v>
      </c>
      <c r="C8" s="128"/>
      <c r="D8" s="128"/>
      <c r="E8" s="127">
        <v>3</v>
      </c>
    </row>
    <row r="9" spans="1:5" ht="18">
      <c r="A9" s="124" t="s">
        <v>36</v>
      </c>
      <c r="B9" s="125" t="s">
        <v>43</v>
      </c>
      <c r="C9" s="128"/>
      <c r="D9" s="128"/>
      <c r="E9" s="127">
        <v>3</v>
      </c>
    </row>
    <row r="10" spans="1:5" ht="18">
      <c r="A10" s="124" t="s">
        <v>36</v>
      </c>
      <c r="B10" s="125" t="s">
        <v>44</v>
      </c>
      <c r="C10" s="126"/>
      <c r="D10" s="126"/>
      <c r="E10" s="127">
        <v>3</v>
      </c>
    </row>
    <row r="11" spans="1:5" ht="18">
      <c r="A11" s="119" t="s">
        <v>37</v>
      </c>
      <c r="B11" s="120" t="s">
        <v>40</v>
      </c>
      <c r="C11" s="121"/>
      <c r="D11" s="121"/>
      <c r="E11" s="122">
        <v>4</v>
      </c>
    </row>
    <row r="12" spans="1:5" ht="18">
      <c r="A12" s="119" t="s">
        <v>37</v>
      </c>
      <c r="B12" s="120" t="s">
        <v>45</v>
      </c>
      <c r="C12" s="121"/>
      <c r="D12" s="121"/>
      <c r="E12" s="122">
        <v>4</v>
      </c>
    </row>
    <row r="13" spans="1:5" ht="18">
      <c r="A13" s="119" t="s">
        <v>37</v>
      </c>
      <c r="B13" s="120" t="s">
        <v>46</v>
      </c>
      <c r="C13" s="129"/>
      <c r="D13" s="129"/>
      <c r="E13" s="122">
        <v>4</v>
      </c>
    </row>
    <row r="18" spans="2:4" ht="15">
      <c r="B18" s="332" t="s">
        <v>14</v>
      </c>
      <c r="C18" s="332"/>
      <c r="D18" s="332"/>
    </row>
    <row r="20" spans="2:4" ht="18">
      <c r="B20" s="41" t="s">
        <v>16</v>
      </c>
      <c r="C20" s="40">
        <f>'avena .arauc.fardo-riego2021_22'!C86</f>
        <v>333</v>
      </c>
      <c r="D20" s="40">
        <f>'avena .arauc.fardo-riego2021_22'!C88</f>
        <v>407.00000000000006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SUM('avena .arauc.fardo-riego2021_22'!J22:J27)-_xlfn.IFERROR(INDEX('avena .arauc.fardo-riego2021_22'!$J$22:$J$27,MATCH(B5,'avena .arauc.fardo-riego2021_22'!$B$22:$B$27,0)),"0")-_xlfn.IFERROR(INDEX('avena .arauc.fardo-riego2021_22'!$J$22:$J$27,MATCH(B6,'avena .arauc.fardo-riego2021_22'!$B$22:$B$27,0)),"0")-_xlfn.IFERROR(INDEX('avena .arauc.fardo-riego2021_22'!$J$22:$J$27,MATCH(B7,'avena .arauc.fardo-riego2021_22'!$B$22:$B$27,0)),"0")</f>
        <v>54000</v>
      </c>
      <c r="D25" s="7">
        <f>SUM('avena .arauc.fardo-riego2021_22'!J22:J27)-_xlfn.IFERROR(INDEX('avena .arauc.fardo-riego2021_22'!$J$22:$J$27,MATCH(B5,'avena .arauc.fardo-riego2021_22'!$B$22:$B$27,0)),"0")-_xlfn.IFERROR(INDEX('avena .arauc.fardo-riego2021_22'!$J$22:$J$27,MATCH(B6,'avena .arauc.fardo-riego2021_22'!$B$22:$B$27,0)),"0")-_xlfn.IFERROR(INDEX('avena .arauc.fardo-riego2021_22'!$J$22:$J$27,MATCH(B7,'avena .arauc.fardo-riego2021_22'!$B$22:$B$27,0)),"0")</f>
        <v>54000</v>
      </c>
      <c r="E25" s="7"/>
    </row>
    <row r="26" spans="2:4" ht="18">
      <c r="B26" s="43" t="s">
        <v>20</v>
      </c>
      <c r="C26" s="117">
        <f>C22*(_xlfn.IFERROR(INDEX('avena .arauc.fardo-riego2021_22'!$J$22:$J$27,MATCH(B5,'avena .arauc.fardo-riego2021_22'!$B$22:$B$27,0)),"0")+_xlfn.IFERROR(INDEX('avena .arauc.fardo-riego2021_22'!$J$22:$J$27,MATCH(B6,'avena .arauc.fardo-riego2021_22'!$B$22:$B$27,0)),"0")+_xlfn.IFERROR(INDEX('avena .arauc.fardo-riego2021_22'!$J$22:$J$27,MATCH(B7,'avena .arauc.fardo-riego2021_22'!$B$22:$B$27,0)),"0"))</f>
        <v>0</v>
      </c>
      <c r="D26" s="117">
        <f>D22*(_xlfn.IFERROR(INDEX('avena .arauc.fardo-riego2021_22'!$J$22:$J$27,MATCH(B5,'avena .arauc.fardo-riego2021_22'!$B$22:$B$27,0)),"0")+_xlfn.IFERROR(INDEX('avena .arauc.fardo-riego2021_22'!$J$22:$J$27,MATCH(B6,'avena .arauc.fardo-riego2021_22'!$B$22:$B$27,0)),"0")+_xlfn.IFERROR(INDEX('avena .arauc.fardo-riego2021_22'!$J$22:$J$27,MATCH(B7,'avena .arauc.fardo-riego2021_22'!$B$22:$B$27,0)),"0"))</f>
        <v>0</v>
      </c>
    </row>
    <row r="27" spans="2:4" ht="18">
      <c r="B27" s="14" t="s">
        <v>21</v>
      </c>
      <c r="C27" s="7">
        <f>SUM(C25:C26)</f>
        <v>54000</v>
      </c>
      <c r="D27" s="7">
        <f>SUM(D25:D26)</f>
        <v>54000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SUM('avena .arauc.fardo-riego2021_22'!J31:J37)-_xlfn.IFERROR(INDEX('avena .arauc.fardo-riego2021_22'!$J$31:$J$37,MATCH(B8,'avena .arauc.fardo-riego2021_22'!$B$31:$B$37,0)),"0")-_xlfn.IFERROR(INDEX('avena .arauc.fardo-riego2021_22'!$J$31:$J$37,MATCH(B9,'avena .arauc.fardo-riego2021_22'!$B$31:$B$37,0)),"0")-_xlfn.IFERROR(INDEX('avena .arauc.fardo-riego2021_22'!$J$31:$J$37,MATCH(B10,'avena .arauc.fardo-riego2021_22'!$B$31:$B$37,0)),"0")</f>
        <v>450800</v>
      </c>
      <c r="D30" s="7">
        <f>SUM('avena .arauc.fardo-riego2021_22'!J31:J37)-_xlfn.IFERROR(INDEX('avena .arauc.fardo-riego2021_22'!$J$31:$J$37,MATCH(B8,'avena .arauc.fardo-riego2021_22'!$B$31:$B$37,0)),"0")-_xlfn.IFERROR(INDEX('avena .arauc.fardo-riego2021_22'!$J$31:$J$37,MATCH(B9,'avena .arauc.fardo-riego2021_22'!$B$31:$B$37,0)),"0")-_xlfn.IFERROR(INDEX('avena .arauc.fardo-riego2021_22'!$J$31:$J$37,MATCH(B10,'avena .arauc.fardo-riego2021_22'!$B$31:$B$37,0)),"0")</f>
        <v>450800</v>
      </c>
    </row>
    <row r="31" spans="2:4" ht="18">
      <c r="B31" s="43" t="s">
        <v>20</v>
      </c>
      <c r="C31" s="117">
        <f>C22*(_xlfn.IFERROR(INDEX('avena .arauc.fardo-riego2021_22'!$J$31:$J$37,MATCH(B8,'avena .arauc.fardo-riego2021_22'!$B$31:$B$37,0)),"0")+_xlfn.IFERROR(INDEX('avena .arauc.fardo-riego2021_22'!$J$31:$J$37,MATCH(B9,'avena .arauc.fardo-riego2021_22'!$B$31:$B$37,0)),"0")+_xlfn.IFERROR(INDEX('avena .arauc.fardo-riego2021_22'!$J$31:$J$37,MATCH(B10,'avena .arauc.fardo-riego2021_22'!$B$31:$B$37,0)),"0"))</f>
        <v>0</v>
      </c>
      <c r="D31" s="117">
        <f>D22*(_xlfn.IFERROR(INDEX('avena .arauc.fardo-riego2021_22'!$J$31:$J$37,MATCH(B8,'avena .arauc.fardo-riego2021_22'!$B$31:$B$37,0)),"0")+_xlfn.IFERROR(INDEX('avena .arauc.fardo-riego2021_22'!$J$31:$J$37,MATCH(B9,'avena .arauc.fardo-riego2021_22'!$B$31:$B$37,0)),"0")+_xlfn.IFERROR(INDEX('avena .arauc.fardo-riego2021_22'!$J$31:$J$37,MATCH(B10,'avena .arauc.fardo-riego2021_22'!$B$31:$B$37,0)),"0"))</f>
        <v>0</v>
      </c>
    </row>
    <row r="32" spans="2:4" ht="18">
      <c r="B32" s="14" t="s">
        <v>21</v>
      </c>
      <c r="C32" s="7">
        <f>SUM(C30:C31)</f>
        <v>450800</v>
      </c>
      <c r="D32" s="7">
        <f>SUM(D30:D31)</f>
        <v>450800</v>
      </c>
    </row>
    <row r="34" ht="18">
      <c r="B34" s="41" t="s">
        <v>22</v>
      </c>
    </row>
    <row r="35" spans="2:4" ht="18">
      <c r="B35" s="14" t="s">
        <v>19</v>
      </c>
      <c r="C35" s="7">
        <f>SUM('avena .arauc.fardo-riego2021_22'!J41:J63)-_xlfn.IFERROR(INDEX('avena .arauc.fardo-riego2021_22'!$J$41:$J$63,MATCH(B11,'avena .arauc.fardo-riego2021_22'!$B$41:$B$63,0)),"0")-_xlfn.IFERROR(INDEX('avena .arauc.fardo-riego2021_22'!$J$41:$J$63,MATCH(B12,'avena .arauc.fardo-riego2021_22'!$B$41:$B$63,0)),"0")-_xlfn.IFERROR(INDEX('avena .arauc.fardo-riego2021_22'!$J$41:$J$63,MATCH(B13,'avena .arauc.fardo-riego2021_22'!$B$41:$B$63,0)),"0")</f>
        <v>579065</v>
      </c>
      <c r="D35" s="7">
        <f>SUM('avena .arauc.fardo-riego2021_22'!J41:J63)-_xlfn.IFERROR(INDEX('avena .arauc.fardo-riego2021_22'!$J$41:$J$63,MATCH(B11,'avena .arauc.fardo-riego2021_22'!$B$41:$B$63,0)),"0")-_xlfn.IFERROR(INDEX('avena .arauc.fardo-riego2021_22'!$J$41:$J$63,MATCH(B12,'avena .arauc.fardo-riego2021_22'!$B$41:$B$63,0)),"0")-_xlfn.IFERROR(INDEX('avena .arauc.fardo-riego2021_22'!$J$41:$J$63,MATCH(B13,'avena .arauc.fardo-riego2021_22'!$B$41:$B$63,0)),"0")</f>
        <v>579065</v>
      </c>
    </row>
    <row r="36" spans="2:4" ht="18">
      <c r="B36" s="43" t="s">
        <v>20</v>
      </c>
      <c r="C36" s="117">
        <f>C22*(_xlfn.IFERROR(INDEX('avena .arauc.fardo-riego2021_22'!$J$41:$J$63,MATCH(B11,'avena .arauc.fardo-riego2021_22'!$B$41:$B$63,0)),"0")+_xlfn.IFERROR(INDEX('avena .arauc.fardo-riego2021_22'!$J$41:$J$63,MATCH(B12,'avena .arauc.fardo-riego2021_22'!$B$41:$B$63,0)),"0")+_xlfn.IFERROR(INDEX('avena .arauc.fardo-riego2021_22'!$J$41:$J$63,MATCH(B13,'avena .arauc.fardo-riego2021_22'!$B$41:$B$63,0)),"0"))</f>
        <v>0</v>
      </c>
      <c r="D36" s="117">
        <f>D22*(_xlfn.IFERROR(INDEX('avena .arauc.fardo-riego2021_22'!$J$41:$J$63,MATCH(B11,'avena .arauc.fardo-riego2021_22'!$B$41:$B$63,0)),"0")+_xlfn.IFERROR(INDEX('avena .arauc.fardo-riego2021_22'!$J$41:$J$63,MATCH(B12,'avena .arauc.fardo-riego2021_22'!$B$41:$B$63,0)),"0")+_xlfn.IFERROR(INDEX('avena .arauc.fardo-riego2021_22'!$J$41:$J$63,MATCH(B13,'avena .arauc.fardo-riego2021_22'!$B$41:$B$63,0)),"0"))</f>
        <v>0</v>
      </c>
    </row>
    <row r="37" spans="2:4" ht="18">
      <c r="B37" s="14" t="s">
        <v>21</v>
      </c>
      <c r="C37" s="7">
        <f>SUM(C35:C36)</f>
        <v>579065</v>
      </c>
      <c r="D37" s="7">
        <f>SUM(D35:D36)</f>
        <v>579065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1083865</v>
      </c>
      <c r="D39" s="46">
        <f>D27+D32+D37</f>
        <v>1083865</v>
      </c>
    </row>
    <row r="40" ht="15">
      <c r="B40" s="21"/>
    </row>
    <row r="41" spans="2:4" ht="18">
      <c r="B41" s="44" t="s">
        <v>0</v>
      </c>
      <c r="C41" s="7" t="e">
        <f>C39*'avena .arauc.fardo-riego2021_22'!#REF!</f>
        <v>#REF!</v>
      </c>
      <c r="D41" s="7" t="e">
        <f>D39*'avena .arauc.fardo-riego2021_22'!#REF!</f>
        <v>#REF!</v>
      </c>
    </row>
    <row r="42" spans="2:4" ht="18">
      <c r="B42" s="44" t="s">
        <v>12</v>
      </c>
      <c r="C42" s="7">
        <f>C39*tasa_interes_mensual*meses_financiamiento*0.5</f>
        <v>65031.899999999994</v>
      </c>
      <c r="D42" s="7">
        <f>D39*tasa_interes_mensual*meses_financiamiento*0.5</f>
        <v>65031.899999999994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Usuario de Microsoft Office</cp:lastModifiedBy>
  <cp:lastPrinted>2023-03-31T17:40:01Z</cp:lastPrinted>
  <dcterms:created xsi:type="dcterms:W3CDTF">2012-07-09T18:51:50Z</dcterms:created>
  <dcterms:modified xsi:type="dcterms:W3CDTF">2023-03-31T17:40:05Z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