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'Ficha'!$A$1:$K$95</definedName>
  </definedNames>
  <calcPr fullCalcOnLoad="1"/>
</workbook>
</file>

<file path=xl/sharedStrings.xml><?xml version="1.0" encoding="utf-8"?>
<sst xmlns="http://schemas.openxmlformats.org/spreadsheetml/2006/main" count="155" uniqueCount="113">
  <si>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</si>
  <si>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</si>
  <si>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</si>
  <si>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</si>
  <si>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</si>
  <si>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</si>
  <si>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</si>
  <si>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</si>
  <si>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</si>
  <si>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</si>
  <si>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</si>
  <si>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</si>
  <si>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</si>
  <si>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Endeudamiento sobre costos directos (%):</t>
  </si>
  <si>
    <t>Ficha técnico-económica</t>
  </si>
  <si>
    <t>Costo jornada hombre ($/JH)</t>
  </si>
  <si>
    <t>Resumen contable:</t>
  </si>
  <si>
    <t>Época</t>
  </si>
  <si>
    <t>Cantidad</t>
  </si>
  <si>
    <t>Unidad</t>
  </si>
  <si>
    <t>Precio($/un)</t>
  </si>
  <si>
    <t>Mano de obra (a)</t>
  </si>
  <si>
    <t>Labor/insumo</t>
  </si>
  <si>
    <t>Total insumos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</si>
  <si>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</si>
  <si>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</si>
  <si>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</si>
  <si>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</si>
  <si>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</si>
  <si>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</si>
  <si>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</si>
  <si>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 xml:space="preserve">        </t>
  </si>
  <si>
    <t>Parámetros generales:</t>
  </si>
  <si>
    <t>ha</t>
  </si>
  <si>
    <t>Siembra</t>
  </si>
  <si>
    <t>Rendimiento (qqm/ha)</t>
  </si>
  <si>
    <t>Precio ($/qqm)</t>
  </si>
  <si>
    <t>Precio de venta mercado interno ($/qqm): (1)</t>
  </si>
  <si>
    <t xml:space="preserve">  Análisis de suelo (fertilidad completa)</t>
  </si>
  <si>
    <t>análisis</t>
  </si>
  <si>
    <t>Rendimiento( qqm/ha):</t>
  </si>
  <si>
    <t>gr</t>
  </si>
  <si>
    <t>Tracción animal(b)</t>
  </si>
  <si>
    <t>Total tracción animal</t>
  </si>
  <si>
    <t>Fertilización</t>
  </si>
  <si>
    <t>Translado de la cosecha, predio a galpón</t>
  </si>
  <si>
    <t>Maquinaria(c)</t>
  </si>
  <si>
    <t>Total costos directos (a+b+c +d)</t>
  </si>
  <si>
    <t>Otros costos (e)</t>
  </si>
  <si>
    <t>Costos directos por hectárea (a+b+c +d)</t>
  </si>
  <si>
    <t>Costos totales por hectárea (a+b+c+d+e)</t>
  </si>
  <si>
    <t>Limpia terreno</t>
  </si>
  <si>
    <t>Garbanzos</t>
  </si>
  <si>
    <t>Octubre</t>
  </si>
  <si>
    <t>Septiembre</t>
  </si>
  <si>
    <t xml:space="preserve">Tapado semilla </t>
  </si>
  <si>
    <t>Rastraje con ramas o tablón.</t>
  </si>
  <si>
    <t>Noviembre</t>
  </si>
  <si>
    <t>Enero</t>
  </si>
  <si>
    <t>Febrero</t>
  </si>
  <si>
    <t>Régimen hídrico: Secano</t>
  </si>
  <si>
    <t>Tipo de producción: consumo grano seco</t>
  </si>
  <si>
    <t xml:space="preserve"> </t>
  </si>
  <si>
    <t>Fecha de siembra: Septiembre</t>
  </si>
  <si>
    <t>Fecha cosecha: Enero - febrero</t>
  </si>
  <si>
    <t>qqm</t>
  </si>
  <si>
    <t>Aradura</t>
  </si>
  <si>
    <t>Agosto</t>
  </si>
  <si>
    <t>Rastra de clavos</t>
  </si>
  <si>
    <t>Arrancar planta de garbanzo y gavilla (trato)</t>
  </si>
  <si>
    <t>Surcadura</t>
  </si>
  <si>
    <t>1 ha noviembre 2012</t>
  </si>
  <si>
    <t xml:space="preserve"> (1) El precio del  garbanzo es utilizado en el análisis de sensibilidad, corresponde al promedio de la región durante el periodo de cosecha en la temporada 2011/12 .</t>
  </si>
  <si>
    <t>Ayudante trilla, aventar y ensacado</t>
  </si>
  <si>
    <t>Total mano de obra</t>
  </si>
  <si>
    <t>Total maquinaria</t>
  </si>
  <si>
    <t>Control de malezas, con azadón pequeño</t>
  </si>
  <si>
    <t>Densidad (plantas/ha): 250.000</t>
  </si>
  <si>
    <t>Región O'Higgins costa</t>
  </si>
  <si>
    <t>Julio-agosto</t>
  </si>
  <si>
    <t>Agosto-octubre</t>
  </si>
  <si>
    <t>Cosecha: Limpia de la producción</t>
  </si>
  <si>
    <t>Margen bruto por hectárea (e - (a+b+c+d))</t>
  </si>
  <si>
    <t>Margen neto por hectárea (e - (a+b+c+d+e))</t>
  </si>
  <si>
    <t>Maquina estacionaría con tractor (trilla)</t>
  </si>
  <si>
    <t xml:space="preserve">  SPT</t>
  </si>
  <si>
    <t>Fungicidas:</t>
  </si>
  <si>
    <t>Otros:</t>
  </si>
  <si>
    <t xml:space="preserve">  Hilo para coser sacos</t>
  </si>
  <si>
    <t xml:space="preserve">  Anagran Plus(semilla)</t>
  </si>
  <si>
    <t xml:space="preserve">  Envase plástico con capacidad de 50 kg</t>
  </si>
  <si>
    <t>Semilla corriente</t>
  </si>
  <si>
    <t>Variedad: Corriente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</si>
  <si>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</si>
  <si>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</si>
  <si>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</si>
  <si>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</si>
  <si>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</si>
  <si>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</si>
  <si>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Maquinaria (b)</t>
  </si>
  <si>
    <t>Insumos ©</t>
  </si>
  <si>
    <t>Total a+b+c</t>
  </si>
  <si>
    <t>Maquina estacionaria con tractor (trilla) (2)</t>
  </si>
  <si>
    <t>Insumos (3) (d )</t>
  </si>
  <si>
    <t>Fertilizantes(4):</t>
  </si>
  <si>
    <t>Margen neto ($/ha) (5)</t>
  </si>
  <si>
    <t>Punto de equilibrio (6)</t>
  </si>
  <si>
    <t xml:space="preserve"> (3)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</si>
  <si>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Las dosis de fertilizantes recomendados son sólo referenciales y deben definirse según un análisis especifico del terreno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</si>
  <si>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</si>
  <si>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</si>
  <si>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(2) El costo de la trilla equivale a 6 kg por cada 100 kg cosechados.</t>
  </si>
  <si>
    <t>Tecnología: Baja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</si>
</sst>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40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7" fillId="35" borderId="16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7" xfId="69" applyFont="1" applyFill="1" applyBorder="1" applyAlignment="1">
      <alignment vertical="center"/>
    </xf>
    <xf numFmtId="3" fontId="7" fillId="34" borderId="17" xfId="56" applyNumberFormat="1" applyFont="1" applyFill="1" applyBorder="1" applyAlignment="1" applyProtection="1">
      <alignment horizontal="right"/>
      <protection/>
    </xf>
    <xf numFmtId="10" fontId="7" fillId="34" borderId="17" xfId="56" applyNumberFormat="1" applyFont="1" applyFill="1" applyBorder="1" applyAlignment="1">
      <alignment horizontal="right"/>
      <protection/>
    </xf>
    <xf numFmtId="3" fontId="7" fillId="34" borderId="17" xfId="56" applyNumberFormat="1" applyFont="1" applyFill="1" applyBorder="1" applyAlignment="1">
      <alignment horizontal="right"/>
      <protection/>
    </xf>
    <xf numFmtId="3" fontId="47" fillId="36" borderId="16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176" fontId="9" fillId="34" borderId="17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3" fontId="9" fillId="34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0" fontId="9" fillId="0" borderId="0" xfId="56" applyFont="1" applyFill="1" applyAlignment="1">
      <alignment horizontal="left" vertical="top" wrapText="1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3" fontId="7" fillId="35" borderId="23" xfId="0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172" fontId="7" fillId="34" borderId="0" xfId="67" applyFont="1" applyFill="1" applyAlignment="1" applyProtection="1">
      <alignment vertical="center"/>
      <protection/>
    </xf>
    <xf numFmtId="2" fontId="9" fillId="34" borderId="0" xfId="67" applyNumberFormat="1" applyFont="1" applyFill="1" applyAlignment="1">
      <alignment/>
      <protection/>
    </xf>
    <xf numFmtId="0" fontId="45" fillId="34" borderId="0" xfId="0" applyFont="1" applyFill="1" applyBorder="1" applyAlignment="1">
      <alignment/>
    </xf>
    <xf numFmtId="0" fontId="7" fillId="34" borderId="15" xfId="55" applyFont="1" applyFill="1" applyBorder="1">
      <alignment/>
      <protection/>
    </xf>
    <xf numFmtId="0" fontId="48" fillId="34" borderId="0" xfId="0" applyFont="1" applyFill="1" applyAlignment="1">
      <alignment/>
    </xf>
    <xf numFmtId="0" fontId="7" fillId="34" borderId="0" xfId="56" applyFont="1" applyFill="1" applyBorder="1" applyAlignment="1" applyProtection="1">
      <alignment vertical="center"/>
      <protection/>
    </xf>
    <xf numFmtId="4" fontId="7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>
      <alignment horizontal="center"/>
      <protection/>
    </xf>
    <xf numFmtId="0" fontId="7" fillId="35" borderId="26" xfId="56" applyFont="1" applyFill="1" applyBorder="1" applyAlignment="1" applyProtection="1">
      <alignment horizontal="left" vertical="center"/>
      <protection/>
    </xf>
    <xf numFmtId="0" fontId="7" fillId="35" borderId="27" xfId="56" applyFont="1" applyFill="1" applyBorder="1" applyAlignment="1" applyProtection="1">
      <alignment horizontal="left" vertical="center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0" fontId="7" fillId="34" borderId="26" xfId="56" applyFont="1" applyFill="1" applyBorder="1" applyAlignment="1" applyProtection="1">
      <alignment horizontal="left" vertical="center"/>
      <protection/>
    </xf>
    <xf numFmtId="0" fontId="7" fillId="34" borderId="27" xfId="56" applyFont="1" applyFill="1" applyBorder="1" applyAlignment="1" applyProtection="1">
      <alignment horizontal="left" vertical="center"/>
      <protection/>
    </xf>
    <xf numFmtId="3" fontId="7" fillId="34" borderId="22" xfId="56" applyNumberFormat="1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0" borderId="26" xfId="56" applyFont="1" applyFill="1" applyBorder="1" applyAlignment="1" applyProtection="1">
      <alignment horizontal="left"/>
      <protection/>
    </xf>
    <xf numFmtId="0" fontId="9" fillId="0" borderId="27" xfId="56" applyFont="1" applyFill="1" applyBorder="1" applyAlignment="1" applyProtection="1">
      <alignment horizontal="lef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0" fontId="9" fillId="34" borderId="22" xfId="56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/>
      <protection/>
    </xf>
    <xf numFmtId="172" fontId="9" fillId="34" borderId="21" xfId="67" applyFont="1" applyFill="1" applyBorder="1" applyAlignment="1">
      <alignment horizontal="right" vertical="center"/>
      <protection/>
    </xf>
    <xf numFmtId="0" fontId="9" fillId="34" borderId="23" xfId="56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 vertical="center"/>
      <protection/>
    </xf>
    <xf numFmtId="0" fontId="9" fillId="0" borderId="22" xfId="56" applyFont="1" applyFill="1" applyBorder="1" applyAlignment="1" applyProtection="1">
      <alignment horizontal="lef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23" xfId="56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2" fontId="9" fillId="34" borderId="23" xfId="56" applyNumberFormat="1" applyFont="1" applyFill="1" applyBorder="1" applyAlignment="1" applyProtection="1">
      <alignment horizontal="right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0" fontId="9" fillId="34" borderId="28" xfId="67" applyNumberFormat="1" applyFont="1" applyFill="1" applyBorder="1" applyAlignment="1" applyProtection="1">
      <alignment horizontal="left" vertical="center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40" fillId="37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0" fontId="29" fillId="23" borderId="17" xfId="39" applyBorder="1" applyAlignment="1">
      <alignment/>
    </xf>
    <xf numFmtId="3" fontId="29" fillId="23" borderId="17" xfId="39" applyNumberFormat="1" applyBorder="1" applyAlignment="1">
      <alignment/>
    </xf>
    <xf numFmtId="3" fontId="9" fillId="0" borderId="28" xfId="53" applyNumberFormat="1" applyFont="1" applyFill="1" applyBorder="1" applyAlignment="1">
      <alignment horizontal="left" vertical="top"/>
      <protection/>
    </xf>
    <xf numFmtId="0" fontId="45" fillId="0" borderId="0" xfId="0" applyFont="1" applyFill="1" applyAlignment="1">
      <alignment/>
    </xf>
    <xf numFmtId="0" fontId="9" fillId="34" borderId="28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8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1" xfId="67" applyNumberFormat="1" applyFont="1" applyFill="1" applyBorder="1" applyAlignment="1" applyProtection="1">
      <alignment horizontal="left" vertical="center" wrapText="1"/>
      <protection/>
    </xf>
    <xf numFmtId="0" fontId="9" fillId="34" borderId="26" xfId="67" applyNumberFormat="1" applyFont="1" applyFill="1" applyBorder="1" applyAlignment="1" applyProtection="1">
      <alignment horizontal="left"/>
      <protection/>
    </xf>
    <xf numFmtId="0" fontId="9" fillId="34" borderId="27" xfId="67" applyNumberFormat="1" applyFont="1" applyFill="1" applyBorder="1" applyAlignment="1" applyProtection="1">
      <alignment horizontal="left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28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6" xfId="53" applyNumberFormat="1" applyFont="1" applyFill="1" applyBorder="1" applyAlignment="1">
      <alignment horizontal="left" vertical="top" wrapText="1"/>
      <protection/>
    </xf>
    <xf numFmtId="3" fontId="9" fillId="0" borderId="27" xfId="53" applyNumberFormat="1" applyFont="1" applyFill="1" applyBorder="1" applyAlignment="1">
      <alignment horizontal="left" vertical="top" wrapText="1"/>
      <protection/>
    </xf>
    <xf numFmtId="3" fontId="9" fillId="0" borderId="22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6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7" fillId="36" borderId="29" xfId="56" applyFont="1" applyFill="1" applyBorder="1" applyAlignment="1" applyProtection="1">
      <alignment horizontal="left" vertical="center"/>
      <protection/>
    </xf>
    <xf numFmtId="0" fontId="47" fillId="36" borderId="30" xfId="56" applyFont="1" applyFill="1" applyBorder="1" applyAlignment="1" applyProtection="1">
      <alignment horizontal="left" vertical="center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 applyProtection="1">
      <alignment horizontal="left" vertical="center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>
      <alignment horizontal="center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9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47" fillId="36" borderId="34" xfId="56" applyFont="1" applyFill="1" applyBorder="1" applyAlignment="1" applyProtection="1">
      <alignment horizontal="center" vertical="center"/>
      <protection/>
    </xf>
    <xf numFmtId="0" fontId="47" fillId="36" borderId="35" xfId="56" applyFont="1" applyFill="1" applyBorder="1" applyAlignment="1" applyProtection="1">
      <alignment horizontal="center" vertical="center"/>
      <protection/>
    </xf>
    <xf numFmtId="0" fontId="47" fillId="36" borderId="13" xfId="56" applyFont="1" applyFill="1" applyBorder="1" applyAlignment="1" applyProtection="1">
      <alignment horizontal="center" vertical="center"/>
      <protection/>
    </xf>
    <xf numFmtId="0" fontId="47" fillId="36" borderId="14" xfId="56" applyFont="1" applyFill="1" applyBorder="1" applyAlignment="1" applyProtection="1">
      <alignment horizontal="center" vertical="center"/>
      <protection/>
    </xf>
    <xf numFmtId="0" fontId="47" fillId="36" borderId="31" xfId="55" applyFont="1" applyFill="1" applyBorder="1" applyAlignment="1">
      <alignment horizontal="center"/>
      <protection/>
    </xf>
    <xf numFmtId="0" fontId="47" fillId="36" borderId="32" xfId="55" applyFont="1" applyFill="1" applyBorder="1" applyAlignment="1">
      <alignment horizontal="center"/>
      <protection/>
    </xf>
    <xf numFmtId="0" fontId="47" fillId="36" borderId="33" xfId="55" applyFont="1" applyFill="1" applyBorder="1" applyAlignment="1">
      <alignment horizontal="center"/>
      <protection/>
    </xf>
    <xf numFmtId="4" fontId="47" fillId="36" borderId="35" xfId="56" applyNumberFormat="1" applyFont="1" applyFill="1" applyBorder="1" applyAlignment="1" applyProtection="1">
      <alignment horizontal="center" vertical="center" wrapText="1"/>
      <protection/>
    </xf>
    <xf numFmtId="4" fontId="47" fillId="36" borderId="14" xfId="56" applyNumberFormat="1" applyFont="1" applyFill="1" applyBorder="1" applyAlignment="1" applyProtection="1">
      <alignment horizontal="center" vertical="center" wrapText="1"/>
      <protection/>
    </xf>
    <xf numFmtId="0" fontId="47" fillId="36" borderId="35" xfId="56" applyFont="1" applyFill="1" applyBorder="1" applyAlignment="1" applyProtection="1">
      <alignment horizontal="center" vertical="center" wrapText="1"/>
      <protection/>
    </xf>
    <xf numFmtId="0" fontId="47" fillId="36" borderId="14" xfId="56" applyFont="1" applyFill="1" applyBorder="1" applyAlignment="1" applyProtection="1">
      <alignment horizontal="center" vertical="center" wrapText="1"/>
      <protection/>
    </xf>
    <xf numFmtId="3" fontId="47" fillId="36" borderId="35" xfId="56" applyNumberFormat="1" applyFont="1" applyFill="1" applyBorder="1" applyAlignment="1" applyProtection="1">
      <alignment horizontal="center" vertical="center" wrapText="1"/>
      <protection/>
    </xf>
    <xf numFmtId="3" fontId="47" fillId="36" borderId="14" xfId="56" applyNumberFormat="1" applyFont="1" applyFill="1" applyBorder="1" applyAlignment="1" applyProtection="1">
      <alignment horizontal="center" vertical="center" wrapText="1"/>
      <protection/>
    </xf>
    <xf numFmtId="3" fontId="47" fillId="36" borderId="36" xfId="56" applyNumberFormat="1" applyFont="1" applyFill="1" applyBorder="1" applyAlignment="1" applyProtection="1">
      <alignment horizontal="center" vertical="center"/>
      <protection/>
    </xf>
    <xf numFmtId="3" fontId="47" fillId="36" borderId="15" xfId="56" applyNumberFormat="1" applyFont="1" applyFill="1" applyBorder="1" applyAlignment="1" applyProtection="1">
      <alignment horizontal="center" vertical="center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7" fillId="35" borderId="24" xfId="56" applyFont="1" applyFill="1" applyBorder="1" applyAlignment="1" applyProtection="1">
      <alignment horizontal="left" vertical="center"/>
      <protection/>
    </xf>
    <xf numFmtId="0" fontId="7" fillId="35" borderId="25" xfId="56" applyFont="1" applyFill="1" applyBorder="1" applyAlignment="1" applyProtection="1">
      <alignment horizontal="left" vertical="center"/>
      <protection/>
    </xf>
    <xf numFmtId="3" fontId="9" fillId="0" borderId="28" xfId="53" applyNumberFormat="1" applyFont="1" applyFill="1" applyBorder="1" applyAlignment="1">
      <alignment horizontal="left" vertical="top"/>
      <protection/>
    </xf>
    <xf numFmtId="3" fontId="9" fillId="0" borderId="0" xfId="53" applyNumberFormat="1" applyFont="1" applyFill="1" applyBorder="1" applyAlignment="1">
      <alignment horizontal="left" vertical="top"/>
      <protection/>
    </xf>
    <xf numFmtId="3" fontId="9" fillId="0" borderId="21" xfId="53" applyNumberFormat="1" applyFont="1" applyFill="1" applyBorder="1" applyAlignment="1">
      <alignment horizontal="left" vertical="top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619125</xdr:colOff>
      <xdr:row>94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25171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3" width="18.7109375" style="0" customWidth="1"/>
    <col min="4" max="4" width="21.140625" style="0" customWidth="1"/>
    <col min="5" max="9" width="18.7109375" style="0" customWidth="1"/>
    <col min="10" max="10" width="20.140625" style="0" customWidth="1"/>
    <col min="11" max="11" width="9.421875" style="0" customWidth="1"/>
  </cols>
  <sheetData>
    <row r="1" spans="2:10" ht="23.25">
      <c r="B1" s="209" t="s">
        <v>14</v>
      </c>
      <c r="C1" s="209"/>
      <c r="D1" s="209"/>
      <c r="E1" s="209"/>
      <c r="F1" s="209"/>
      <c r="G1" s="209"/>
      <c r="H1" s="209"/>
      <c r="I1" s="209"/>
      <c r="J1" s="209"/>
    </row>
    <row r="2" spans="1:12" ht="19.5">
      <c r="A2" s="7"/>
      <c r="B2" s="7"/>
      <c r="C2" s="84"/>
      <c r="D2" s="4"/>
      <c r="E2" s="211" t="s">
        <v>52</v>
      </c>
      <c r="F2" s="211"/>
      <c r="G2" s="211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210" t="s">
        <v>78</v>
      </c>
      <c r="F3" s="210"/>
      <c r="G3" s="210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9"/>
      <c r="H4" s="9"/>
      <c r="I4" s="5" t="s">
        <v>62</v>
      </c>
      <c r="J4" s="10"/>
      <c r="K4" s="11"/>
    </row>
    <row r="5" spans="1:11" ht="18.75">
      <c r="A5" s="7"/>
      <c r="B5" s="5"/>
      <c r="C5" s="5"/>
      <c r="D5" s="12" t="s">
        <v>71</v>
      </c>
      <c r="E5" s="5"/>
      <c r="F5" s="5"/>
      <c r="G5" s="85" t="s">
        <v>92</v>
      </c>
      <c r="H5" s="83"/>
      <c r="I5" s="13"/>
      <c r="J5" s="13"/>
      <c r="K5" s="11"/>
    </row>
    <row r="6" spans="1:11" ht="18.75">
      <c r="A6" s="7"/>
      <c r="B6" s="5"/>
      <c r="C6" s="5"/>
      <c r="D6" s="12" t="s">
        <v>60</v>
      </c>
      <c r="E6" s="12"/>
      <c r="F6" s="12"/>
      <c r="G6" s="12" t="s">
        <v>61</v>
      </c>
      <c r="H6" s="7"/>
      <c r="I6" s="14"/>
      <c r="J6" s="14"/>
      <c r="K6" s="11"/>
    </row>
    <row r="7" spans="1:11" ht="18.75">
      <c r="A7" s="7"/>
      <c r="B7" s="5"/>
      <c r="C7" s="5"/>
      <c r="D7" s="12" t="s">
        <v>77</v>
      </c>
      <c r="E7" s="12"/>
      <c r="F7" s="12"/>
      <c r="G7" s="12" t="s">
        <v>112</v>
      </c>
      <c r="H7" s="7"/>
      <c r="I7" s="14"/>
      <c r="J7" s="14"/>
      <c r="K7" s="15"/>
    </row>
    <row r="8" spans="1:13" ht="18.75">
      <c r="A8" s="7"/>
      <c r="B8" s="16"/>
      <c r="C8" s="17"/>
      <c r="D8" s="5" t="s">
        <v>63</v>
      </c>
      <c r="E8" s="18"/>
      <c r="F8" s="18"/>
      <c r="G8" s="5" t="s">
        <v>64</v>
      </c>
      <c r="I8" s="20"/>
      <c r="J8" s="21"/>
      <c r="K8" s="22"/>
      <c r="M8" t="s">
        <v>31</v>
      </c>
    </row>
    <row r="9" spans="1:11" ht="19.5" thickBot="1">
      <c r="A9" s="7"/>
      <c r="B9" s="16"/>
      <c r="C9" s="17"/>
      <c r="D9" s="5"/>
      <c r="E9" s="18"/>
      <c r="F9" s="18"/>
      <c r="G9" s="5"/>
      <c r="I9" s="20"/>
      <c r="J9" s="21"/>
      <c r="K9" s="22"/>
    </row>
    <row r="10" spans="1:11" ht="19.5" thickBot="1">
      <c r="A10" s="7"/>
      <c r="B10" s="221" t="s">
        <v>32</v>
      </c>
      <c r="C10" s="222"/>
      <c r="D10" s="222"/>
      <c r="E10" s="223"/>
      <c r="F10" s="23"/>
      <c r="G10" s="221" t="s">
        <v>16</v>
      </c>
      <c r="H10" s="222"/>
      <c r="I10" s="222"/>
      <c r="J10" s="223"/>
      <c r="K10" s="24"/>
    </row>
    <row r="11" spans="1:11" ht="18.75">
      <c r="A11" s="7"/>
      <c r="B11" s="25" t="s">
        <v>40</v>
      </c>
      <c r="C11" s="26"/>
      <c r="D11" s="27"/>
      <c r="E11" s="28">
        <v>13</v>
      </c>
      <c r="F11" s="86"/>
      <c r="G11" s="29" t="s">
        <v>49</v>
      </c>
      <c r="H11" s="27"/>
      <c r="I11" s="27"/>
      <c r="J11" s="30">
        <f>J59</f>
        <v>646520</v>
      </c>
      <c r="K11" s="24"/>
    </row>
    <row r="12" spans="1:11" ht="18.75">
      <c r="A12" s="7"/>
      <c r="B12" s="31" t="s">
        <v>37</v>
      </c>
      <c r="C12" s="26"/>
      <c r="D12" s="27"/>
      <c r="E12" s="28">
        <v>60000</v>
      </c>
      <c r="F12" s="86"/>
      <c r="G12" s="29" t="s">
        <v>50</v>
      </c>
      <c r="H12" s="32"/>
      <c r="I12" s="27"/>
      <c r="J12" s="30">
        <f>J69</f>
        <v>704706.8</v>
      </c>
      <c r="K12" s="24"/>
    </row>
    <row r="13" spans="1:11" ht="18.75">
      <c r="A13" s="7"/>
      <c r="B13" s="31" t="s">
        <v>15</v>
      </c>
      <c r="C13" s="26"/>
      <c r="D13" s="27"/>
      <c r="E13" s="28">
        <v>10000</v>
      </c>
      <c r="F13" s="86"/>
      <c r="G13" s="33" t="s">
        <v>12</v>
      </c>
      <c r="H13" s="34"/>
      <c r="I13" s="34"/>
      <c r="J13" s="35">
        <f>E11*E12</f>
        <v>780000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86"/>
      <c r="G14" s="29" t="s">
        <v>82</v>
      </c>
      <c r="H14" s="27"/>
      <c r="I14" s="27"/>
      <c r="J14" s="30">
        <f>J13-J11</f>
        <v>133480</v>
      </c>
      <c r="K14" s="24"/>
    </row>
    <row r="15" spans="1:11" ht="18.75">
      <c r="A15" s="7"/>
      <c r="B15" s="31" t="s">
        <v>13</v>
      </c>
      <c r="C15" s="36"/>
      <c r="D15" s="27"/>
      <c r="E15" s="38">
        <v>0.5</v>
      </c>
      <c r="F15" s="86"/>
      <c r="G15" s="29" t="s">
        <v>83</v>
      </c>
      <c r="H15" s="27"/>
      <c r="I15" s="27"/>
      <c r="J15" s="30">
        <f>J13-J12</f>
        <v>75293.19999999995</v>
      </c>
      <c r="K15" s="24"/>
    </row>
    <row r="16" spans="1:11" ht="19.5" thickBot="1">
      <c r="A16" s="7"/>
      <c r="B16" s="39" t="s">
        <v>9</v>
      </c>
      <c r="C16" s="40"/>
      <c r="D16" s="41"/>
      <c r="E16" s="87">
        <v>8</v>
      </c>
      <c r="F16" s="88"/>
      <c r="G16" s="42"/>
      <c r="H16" s="41"/>
      <c r="I16" s="43"/>
      <c r="J16" s="4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.75">
      <c r="A18" s="7"/>
      <c r="B18" s="217" t="s">
        <v>22</v>
      </c>
      <c r="C18" s="218"/>
      <c r="D18" s="218"/>
      <c r="E18" s="218" t="s">
        <v>17</v>
      </c>
      <c r="F18" s="218"/>
      <c r="G18" s="224" t="s">
        <v>18</v>
      </c>
      <c r="H18" s="226" t="s">
        <v>19</v>
      </c>
      <c r="I18" s="228" t="s">
        <v>20</v>
      </c>
      <c r="J18" s="230" t="s">
        <v>6</v>
      </c>
      <c r="K18" s="24"/>
      <c r="L18" s="1"/>
    </row>
    <row r="19" spans="1:12" ht="19.5" thickBot="1">
      <c r="A19" s="7"/>
      <c r="B19" s="219"/>
      <c r="C19" s="220"/>
      <c r="D19" s="220"/>
      <c r="E19" s="220"/>
      <c r="F19" s="220"/>
      <c r="G19" s="225"/>
      <c r="H19" s="227"/>
      <c r="I19" s="229"/>
      <c r="J19" s="231"/>
      <c r="K19" s="24"/>
      <c r="L19" s="1"/>
    </row>
    <row r="20" spans="1:12" ht="18.75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.75">
      <c r="A21" s="7"/>
      <c r="B21" s="46" t="s">
        <v>21</v>
      </c>
      <c r="C21" s="46"/>
      <c r="D21" s="46"/>
      <c r="E21" s="46"/>
      <c r="F21" s="46"/>
      <c r="G21" s="47"/>
      <c r="H21" s="48"/>
      <c r="I21" s="49"/>
      <c r="J21" s="49"/>
      <c r="K21" s="24"/>
      <c r="L21" s="1"/>
    </row>
    <row r="22" spans="1:13" ht="18.75">
      <c r="A22" s="7"/>
      <c r="B22" s="212" t="s">
        <v>51</v>
      </c>
      <c r="C22" s="213"/>
      <c r="D22" s="214"/>
      <c r="E22" s="215" t="s">
        <v>79</v>
      </c>
      <c r="F22" s="216"/>
      <c r="G22" s="78">
        <v>2</v>
      </c>
      <c r="H22" s="78" t="s">
        <v>10</v>
      </c>
      <c r="I22" s="124">
        <v>10000</v>
      </c>
      <c r="J22" s="124">
        <f>G22*I22</f>
        <v>20000</v>
      </c>
      <c r="K22" s="24"/>
      <c r="L22" s="1"/>
      <c r="M22" s="72"/>
    </row>
    <row r="23" spans="1:13" ht="18.75">
      <c r="A23" s="7"/>
      <c r="B23" s="232" t="s">
        <v>44</v>
      </c>
      <c r="C23" s="233"/>
      <c r="D23" s="234"/>
      <c r="E23" s="202" t="s">
        <v>80</v>
      </c>
      <c r="F23" s="203"/>
      <c r="G23" s="80">
        <v>1</v>
      </c>
      <c r="H23" s="80" t="s">
        <v>10</v>
      </c>
      <c r="I23" s="73">
        <v>10000</v>
      </c>
      <c r="J23" s="73">
        <f aca="true" t="shared" si="0" ref="J23:J28">G23*I23</f>
        <v>10000</v>
      </c>
      <c r="K23" s="24"/>
      <c r="L23" s="1"/>
      <c r="M23" s="72"/>
    </row>
    <row r="24" spans="1:13" ht="18.75">
      <c r="A24" s="7"/>
      <c r="B24" s="232" t="s">
        <v>34</v>
      </c>
      <c r="C24" s="233"/>
      <c r="D24" s="234"/>
      <c r="E24" s="202" t="s">
        <v>80</v>
      </c>
      <c r="F24" s="203"/>
      <c r="G24" s="80">
        <v>2</v>
      </c>
      <c r="H24" s="80" t="s">
        <v>10</v>
      </c>
      <c r="I24" s="73">
        <v>10000</v>
      </c>
      <c r="J24" s="73">
        <f t="shared" si="0"/>
        <v>20000</v>
      </c>
      <c r="K24" s="24"/>
      <c r="L24" s="1"/>
      <c r="M24" s="72"/>
    </row>
    <row r="25" spans="1:13" ht="18.75">
      <c r="A25" s="7"/>
      <c r="B25" s="105" t="s">
        <v>76</v>
      </c>
      <c r="C25" s="106"/>
      <c r="D25" s="107"/>
      <c r="E25" s="202" t="s">
        <v>57</v>
      </c>
      <c r="F25" s="203"/>
      <c r="G25" s="80">
        <v>5</v>
      </c>
      <c r="H25" s="80" t="s">
        <v>10</v>
      </c>
      <c r="I25" s="73">
        <v>10000</v>
      </c>
      <c r="J25" s="73">
        <f t="shared" si="0"/>
        <v>50000</v>
      </c>
      <c r="K25" s="24"/>
      <c r="L25" s="1"/>
      <c r="M25" s="72"/>
    </row>
    <row r="26" spans="1:12" ht="18.75">
      <c r="A26" s="83"/>
      <c r="B26" s="105" t="s">
        <v>69</v>
      </c>
      <c r="C26" s="106"/>
      <c r="D26" s="107"/>
      <c r="E26" s="202" t="s">
        <v>58</v>
      </c>
      <c r="F26" s="203"/>
      <c r="G26" s="80">
        <v>1</v>
      </c>
      <c r="H26" s="80" t="s">
        <v>33</v>
      </c>
      <c r="I26" s="73">
        <v>80000</v>
      </c>
      <c r="J26" s="73">
        <f t="shared" si="0"/>
        <v>80000</v>
      </c>
      <c r="K26" s="24"/>
      <c r="L26" s="1"/>
    </row>
    <row r="27" spans="1:12" ht="18.75">
      <c r="A27" s="83"/>
      <c r="B27" s="105" t="s">
        <v>73</v>
      </c>
      <c r="C27" s="106"/>
      <c r="D27" s="107"/>
      <c r="E27" s="202" t="s">
        <v>58</v>
      </c>
      <c r="F27" s="203"/>
      <c r="G27" s="80">
        <v>5</v>
      </c>
      <c r="H27" s="80" t="s">
        <v>10</v>
      </c>
      <c r="I27" s="73">
        <v>10000</v>
      </c>
      <c r="J27" s="73">
        <f t="shared" si="0"/>
        <v>50000</v>
      </c>
      <c r="K27" s="24"/>
      <c r="L27" s="1"/>
    </row>
    <row r="28" spans="1:12" ht="18.75">
      <c r="A28" s="83"/>
      <c r="B28" s="206" t="s">
        <v>81</v>
      </c>
      <c r="C28" s="207"/>
      <c r="D28" s="208"/>
      <c r="E28" s="200" t="s">
        <v>59</v>
      </c>
      <c r="F28" s="201"/>
      <c r="G28" s="113">
        <f>Hoja1!C5*Hoja1!C2</f>
        <v>13</v>
      </c>
      <c r="H28" s="113" t="s">
        <v>65</v>
      </c>
      <c r="I28" s="121">
        <v>4000</v>
      </c>
      <c r="J28" s="121">
        <f t="shared" si="0"/>
        <v>52000</v>
      </c>
      <c r="K28" s="24"/>
      <c r="L28" s="1"/>
    </row>
    <row r="29" spans="1:12" ht="18.75">
      <c r="A29" s="7"/>
      <c r="B29" s="235" t="s">
        <v>74</v>
      </c>
      <c r="C29" s="236"/>
      <c r="D29" s="236"/>
      <c r="E29" s="236"/>
      <c r="F29" s="236"/>
      <c r="G29" s="236"/>
      <c r="H29" s="236"/>
      <c r="I29" s="236"/>
      <c r="J29" s="123">
        <f>SUM(J22:J28)</f>
        <v>282000</v>
      </c>
      <c r="K29" s="24"/>
      <c r="L29" s="1"/>
    </row>
    <row r="30" spans="1:12" ht="18.75">
      <c r="A30" s="7"/>
      <c r="B30" s="91"/>
      <c r="C30" s="91"/>
      <c r="D30" s="91"/>
      <c r="E30" s="91"/>
      <c r="F30" s="91"/>
      <c r="G30" s="91"/>
      <c r="H30" s="91"/>
      <c r="I30" s="91"/>
      <c r="J30" s="96"/>
      <c r="K30" s="24"/>
      <c r="L30" s="1"/>
    </row>
    <row r="31" spans="1:12" s="2" customFormat="1" ht="18.75">
      <c r="A31" s="51"/>
      <c r="B31" s="46" t="s">
        <v>42</v>
      </c>
      <c r="C31" s="89"/>
      <c r="D31" s="89"/>
      <c r="E31" s="89"/>
      <c r="F31" s="89"/>
      <c r="G31" s="90"/>
      <c r="H31" s="91"/>
      <c r="I31" s="92"/>
      <c r="J31" s="92"/>
      <c r="K31" s="24"/>
      <c r="L31" s="1"/>
    </row>
    <row r="32" spans="1:12" s="2" customFormat="1" ht="18.75">
      <c r="A32" s="51"/>
      <c r="B32" s="212" t="s">
        <v>66</v>
      </c>
      <c r="C32" s="213"/>
      <c r="D32" s="214"/>
      <c r="E32" s="215" t="s">
        <v>67</v>
      </c>
      <c r="F32" s="216"/>
      <c r="G32" s="78">
        <v>2</v>
      </c>
      <c r="H32" s="78" t="s">
        <v>33</v>
      </c>
      <c r="I32" s="124">
        <v>20000</v>
      </c>
      <c r="J32" s="124">
        <f aca="true" t="shared" si="1" ref="J32:J37">G32*I32</f>
        <v>40000</v>
      </c>
      <c r="K32" s="24"/>
      <c r="L32" s="1"/>
    </row>
    <row r="33" spans="1:12" s="2" customFormat="1" ht="18.75">
      <c r="A33" s="51"/>
      <c r="B33" s="105" t="s">
        <v>68</v>
      </c>
      <c r="C33" s="106"/>
      <c r="D33" s="107"/>
      <c r="E33" s="202" t="s">
        <v>67</v>
      </c>
      <c r="F33" s="203"/>
      <c r="G33" s="80">
        <v>1</v>
      </c>
      <c r="H33" s="80" t="s">
        <v>33</v>
      </c>
      <c r="I33" s="73">
        <v>20000</v>
      </c>
      <c r="J33" s="73">
        <f t="shared" si="1"/>
        <v>20000</v>
      </c>
      <c r="K33" s="24"/>
      <c r="L33" s="1"/>
    </row>
    <row r="34" spans="1:12" s="2" customFormat="1" ht="18.75">
      <c r="A34" s="51"/>
      <c r="B34" s="105" t="s">
        <v>70</v>
      </c>
      <c r="C34" s="106"/>
      <c r="D34" s="107"/>
      <c r="E34" s="202" t="s">
        <v>53</v>
      </c>
      <c r="F34" s="203"/>
      <c r="G34" s="80">
        <v>1</v>
      </c>
      <c r="H34" s="80" t="s">
        <v>33</v>
      </c>
      <c r="I34" s="73">
        <v>20000</v>
      </c>
      <c r="J34" s="73">
        <f t="shared" si="1"/>
        <v>20000</v>
      </c>
      <c r="K34" s="24"/>
      <c r="L34" s="1"/>
    </row>
    <row r="35" spans="1:12" s="2" customFormat="1" ht="18.75">
      <c r="A35" s="51"/>
      <c r="B35" s="105" t="s">
        <v>55</v>
      </c>
      <c r="C35" s="106"/>
      <c r="D35" s="107"/>
      <c r="E35" s="202" t="s">
        <v>53</v>
      </c>
      <c r="F35" s="203"/>
      <c r="G35" s="80">
        <v>1</v>
      </c>
      <c r="H35" s="80" t="s">
        <v>33</v>
      </c>
      <c r="I35" s="73">
        <v>20000</v>
      </c>
      <c r="J35" s="73">
        <f t="shared" si="1"/>
        <v>20000</v>
      </c>
      <c r="K35" s="24"/>
      <c r="L35" s="1"/>
    </row>
    <row r="36" spans="1:12" s="2" customFormat="1" ht="18.75">
      <c r="A36" s="51"/>
      <c r="B36" s="105" t="s">
        <v>56</v>
      </c>
      <c r="C36" s="106"/>
      <c r="D36" s="107"/>
      <c r="E36" s="202" t="s">
        <v>53</v>
      </c>
      <c r="F36" s="203"/>
      <c r="G36" s="80">
        <v>1</v>
      </c>
      <c r="H36" s="80" t="s">
        <v>33</v>
      </c>
      <c r="I36" s="73">
        <v>10000</v>
      </c>
      <c r="J36" s="73">
        <f t="shared" si="1"/>
        <v>10000</v>
      </c>
      <c r="K36" s="24"/>
      <c r="L36" s="1"/>
    </row>
    <row r="37" spans="1:12" s="2" customFormat="1" ht="18.75">
      <c r="A37" s="51"/>
      <c r="B37" s="206" t="s">
        <v>45</v>
      </c>
      <c r="C37" s="207"/>
      <c r="D37" s="208"/>
      <c r="E37" s="200" t="s">
        <v>59</v>
      </c>
      <c r="F37" s="201"/>
      <c r="G37" s="125">
        <f>Hoja1!C6*Hoja1!C2</f>
        <v>1</v>
      </c>
      <c r="H37" s="113" t="s">
        <v>33</v>
      </c>
      <c r="I37" s="121">
        <v>20000</v>
      </c>
      <c r="J37" s="121">
        <f t="shared" si="1"/>
        <v>20000</v>
      </c>
      <c r="K37" s="24"/>
      <c r="L37" s="1"/>
    </row>
    <row r="38" spans="1:12" s="3" customFormat="1" ht="18.75">
      <c r="A38" s="53"/>
      <c r="B38" s="235" t="s">
        <v>43</v>
      </c>
      <c r="C38" s="236"/>
      <c r="D38" s="236"/>
      <c r="E38" s="236"/>
      <c r="F38" s="236"/>
      <c r="G38" s="236"/>
      <c r="H38" s="236"/>
      <c r="I38" s="236"/>
      <c r="J38" s="123">
        <f>SUM(J32:J37)</f>
        <v>130000</v>
      </c>
      <c r="K38" s="24"/>
      <c r="L38" s="1"/>
    </row>
    <row r="39" spans="1:12" s="3" customFormat="1" ht="18.75">
      <c r="A39" s="53"/>
      <c r="B39" s="101"/>
      <c r="C39" s="102"/>
      <c r="D39" s="102"/>
      <c r="E39" s="102"/>
      <c r="F39" s="102"/>
      <c r="G39" s="102"/>
      <c r="H39" s="102"/>
      <c r="I39" s="102"/>
      <c r="J39" s="103"/>
      <c r="K39" s="24"/>
      <c r="L39" s="1"/>
    </row>
    <row r="40" spans="1:12" s="3" customFormat="1" ht="18.75">
      <c r="A40" s="53"/>
      <c r="B40" s="98" t="s">
        <v>46</v>
      </c>
      <c r="C40" s="99"/>
      <c r="D40" s="99"/>
      <c r="E40" s="99"/>
      <c r="F40" s="99"/>
      <c r="G40" s="99"/>
      <c r="H40" s="99"/>
      <c r="I40" s="99"/>
      <c r="J40" s="100"/>
      <c r="K40" s="24"/>
      <c r="L40" s="1"/>
    </row>
    <row r="41" spans="1:12" ht="18.75">
      <c r="A41" s="7"/>
      <c r="B41" s="108" t="s">
        <v>102</v>
      </c>
      <c r="C41" s="109"/>
      <c r="D41" s="120"/>
      <c r="E41" s="204" t="s">
        <v>58</v>
      </c>
      <c r="F41" s="205"/>
      <c r="G41" s="126">
        <f>Hoja1!C7*Hoja1!C2</f>
        <v>78</v>
      </c>
      <c r="H41" s="127" t="s">
        <v>11</v>
      </c>
      <c r="I41" s="122">
        <v>600</v>
      </c>
      <c r="J41" s="128">
        <f>G41*I41</f>
        <v>46800</v>
      </c>
      <c r="K41" s="24"/>
      <c r="L41" s="1"/>
    </row>
    <row r="42" spans="1:12" ht="18.75">
      <c r="A42" s="7"/>
      <c r="B42" s="168" t="s">
        <v>75</v>
      </c>
      <c r="C42" s="169"/>
      <c r="D42" s="169"/>
      <c r="E42" s="169"/>
      <c r="F42" s="169"/>
      <c r="G42" s="169"/>
      <c r="H42" s="169"/>
      <c r="I42" s="169"/>
      <c r="J42" s="50">
        <f>SUM(J41:J41)</f>
        <v>46800</v>
      </c>
      <c r="K42" s="24"/>
      <c r="L42" s="1"/>
    </row>
    <row r="43" spans="1:12" s="2" customFormat="1" ht="18.75">
      <c r="A43" s="51"/>
      <c r="B43" s="46"/>
      <c r="C43" s="46"/>
      <c r="D43" s="46"/>
      <c r="E43" s="46"/>
      <c r="F43" s="46"/>
      <c r="G43" s="47"/>
      <c r="H43" s="48"/>
      <c r="I43" s="49"/>
      <c r="J43" s="49"/>
      <c r="K43" s="24"/>
      <c r="L43" s="1"/>
    </row>
    <row r="44" spans="1:12" ht="18.75">
      <c r="A44" s="7"/>
      <c r="B44" s="89" t="s">
        <v>103</v>
      </c>
      <c r="C44" s="89"/>
      <c r="D44" s="89"/>
      <c r="E44" s="89"/>
      <c r="F44" s="89"/>
      <c r="G44" s="90"/>
      <c r="H44" s="91"/>
      <c r="I44" s="92"/>
      <c r="J44" s="92"/>
      <c r="K44" s="24"/>
      <c r="L44" s="1"/>
    </row>
    <row r="45" spans="1:12" ht="18.75">
      <c r="A45" s="7"/>
      <c r="B45" s="150" t="s">
        <v>91</v>
      </c>
      <c r="C45" s="151"/>
      <c r="D45" s="152"/>
      <c r="E45" s="215" t="s">
        <v>54</v>
      </c>
      <c r="F45" s="216"/>
      <c r="G45" s="78">
        <v>120</v>
      </c>
      <c r="H45" s="114" t="s">
        <v>11</v>
      </c>
      <c r="I45" s="110">
        <v>1000</v>
      </c>
      <c r="J45" s="110">
        <f>G45*I45</f>
        <v>120000</v>
      </c>
      <c r="K45" s="24"/>
      <c r="L45" s="1"/>
    </row>
    <row r="46" spans="1:12" ht="18.75">
      <c r="A46" s="7"/>
      <c r="B46" s="144"/>
      <c r="C46" s="145"/>
      <c r="D46" s="146"/>
      <c r="E46" s="97"/>
      <c r="F46" s="104"/>
      <c r="G46" s="80"/>
      <c r="H46" s="115"/>
      <c r="I46" s="111"/>
      <c r="J46" s="111"/>
      <c r="K46" s="24"/>
      <c r="L46" s="1"/>
    </row>
    <row r="47" spans="1:12" ht="18.75">
      <c r="A47" s="7"/>
      <c r="B47" s="144" t="s">
        <v>104</v>
      </c>
      <c r="C47" s="145"/>
      <c r="D47" s="146"/>
      <c r="E47" s="202"/>
      <c r="F47" s="203"/>
      <c r="G47" s="79"/>
      <c r="H47" s="116"/>
      <c r="I47" s="111"/>
      <c r="J47" s="111"/>
      <c r="K47" s="24"/>
      <c r="L47" s="1"/>
    </row>
    <row r="48" spans="1:12" ht="18.75">
      <c r="A48" s="7"/>
      <c r="B48" s="144" t="s">
        <v>85</v>
      </c>
      <c r="C48" s="145"/>
      <c r="D48" s="146"/>
      <c r="E48" s="202" t="s">
        <v>53</v>
      </c>
      <c r="F48" s="203"/>
      <c r="G48" s="80">
        <v>100</v>
      </c>
      <c r="H48" s="115" t="s">
        <v>11</v>
      </c>
      <c r="I48" s="111">
        <v>361</v>
      </c>
      <c r="J48" s="111">
        <f aca="true" t="shared" si="2" ref="J48:J56">G48*I48</f>
        <v>36100</v>
      </c>
      <c r="K48" s="24"/>
      <c r="L48" s="1"/>
    </row>
    <row r="49" spans="1:12" ht="18.75">
      <c r="A49" s="7"/>
      <c r="B49" s="144"/>
      <c r="C49" s="145"/>
      <c r="D49" s="146"/>
      <c r="E49" s="202"/>
      <c r="F49" s="203"/>
      <c r="G49" s="80"/>
      <c r="H49" s="115"/>
      <c r="I49" s="111"/>
      <c r="J49" s="111"/>
      <c r="K49" s="24"/>
      <c r="L49" s="1"/>
    </row>
    <row r="50" spans="1:12" ht="18.75">
      <c r="A50" s="7"/>
      <c r="B50" s="147" t="s">
        <v>86</v>
      </c>
      <c r="C50" s="148"/>
      <c r="D50" s="149"/>
      <c r="E50" s="202"/>
      <c r="F50" s="203"/>
      <c r="G50" s="81"/>
      <c r="H50" s="117"/>
      <c r="I50" s="119"/>
      <c r="J50" s="111"/>
      <c r="K50" s="24"/>
      <c r="L50" s="1"/>
    </row>
    <row r="51" spans="1:12" ht="18.75">
      <c r="A51" s="7"/>
      <c r="B51" s="129" t="s">
        <v>89</v>
      </c>
      <c r="C51" s="148"/>
      <c r="D51" s="149"/>
      <c r="E51" s="202" t="s">
        <v>53</v>
      </c>
      <c r="F51" s="203"/>
      <c r="G51" s="81">
        <v>150</v>
      </c>
      <c r="H51" s="117" t="s">
        <v>41</v>
      </c>
      <c r="I51" s="119">
        <v>10</v>
      </c>
      <c r="J51" s="111">
        <f t="shared" si="2"/>
        <v>1500</v>
      </c>
      <c r="K51" s="24"/>
      <c r="L51" s="1"/>
    </row>
    <row r="52" spans="1:12" ht="18.75">
      <c r="A52" s="7"/>
      <c r="B52" s="153"/>
      <c r="C52" s="154"/>
      <c r="D52" s="155"/>
      <c r="E52" s="97"/>
      <c r="F52" s="104"/>
      <c r="G52" s="80"/>
      <c r="H52" s="115"/>
      <c r="I52" s="111"/>
      <c r="J52" s="111"/>
      <c r="K52" s="24"/>
      <c r="L52" s="1"/>
    </row>
    <row r="53" spans="1:12" ht="18.75">
      <c r="A53" s="7"/>
      <c r="B53" s="153" t="s">
        <v>87</v>
      </c>
      <c r="C53" s="154"/>
      <c r="D53" s="155"/>
      <c r="E53" s="202"/>
      <c r="F53" s="203"/>
      <c r="G53" s="80"/>
      <c r="H53" s="115"/>
      <c r="I53" s="111"/>
      <c r="J53" s="111"/>
      <c r="K53" s="24"/>
      <c r="L53" s="1"/>
    </row>
    <row r="54" spans="1:12" ht="18.75">
      <c r="A54" s="7"/>
      <c r="B54" s="153" t="s">
        <v>88</v>
      </c>
      <c r="C54" s="154"/>
      <c r="D54" s="155"/>
      <c r="E54" s="202" t="s">
        <v>58</v>
      </c>
      <c r="F54" s="203"/>
      <c r="G54" s="80">
        <v>2</v>
      </c>
      <c r="H54" s="115" t="s">
        <v>19</v>
      </c>
      <c r="I54" s="111">
        <v>1000</v>
      </c>
      <c r="J54" s="111">
        <f t="shared" si="2"/>
        <v>2000</v>
      </c>
      <c r="K54" s="24"/>
      <c r="L54" s="1"/>
    </row>
    <row r="55" spans="1:12" ht="18.75">
      <c r="A55" s="7"/>
      <c r="B55" s="153" t="s">
        <v>90</v>
      </c>
      <c r="C55" s="154"/>
      <c r="D55" s="155"/>
      <c r="E55" s="202" t="s">
        <v>58</v>
      </c>
      <c r="F55" s="203"/>
      <c r="G55" s="80">
        <v>26</v>
      </c>
      <c r="H55" s="115" t="s">
        <v>19</v>
      </c>
      <c r="I55" s="111">
        <v>120</v>
      </c>
      <c r="J55" s="111">
        <f t="shared" si="2"/>
        <v>3120</v>
      </c>
      <c r="K55" s="24"/>
      <c r="L55" s="1"/>
    </row>
    <row r="56" spans="1:12" ht="18.75">
      <c r="A56" s="7"/>
      <c r="B56" s="93" t="s">
        <v>38</v>
      </c>
      <c r="C56" s="94"/>
      <c r="D56" s="95"/>
      <c r="E56" s="200" t="s">
        <v>79</v>
      </c>
      <c r="F56" s="201"/>
      <c r="G56" s="113">
        <v>1</v>
      </c>
      <c r="H56" s="118" t="s">
        <v>39</v>
      </c>
      <c r="I56" s="112">
        <v>25000</v>
      </c>
      <c r="J56" s="112">
        <f t="shared" si="2"/>
        <v>25000</v>
      </c>
      <c r="K56" s="24"/>
      <c r="L56" s="1"/>
    </row>
    <row r="57" spans="1:12" ht="18.75">
      <c r="A57" s="7"/>
      <c r="B57" s="198" t="s">
        <v>23</v>
      </c>
      <c r="C57" s="199"/>
      <c r="D57" s="199"/>
      <c r="E57" s="199"/>
      <c r="F57" s="199"/>
      <c r="G57" s="199"/>
      <c r="H57" s="199"/>
      <c r="I57" s="199"/>
      <c r="J57" s="82">
        <f>SUM(J45:J56)</f>
        <v>187720</v>
      </c>
      <c r="K57" s="24"/>
      <c r="L57" s="1"/>
    </row>
    <row r="58" spans="1:12" s="2" customFormat="1" ht="18.75">
      <c r="A58" s="51"/>
      <c r="B58" s="54"/>
      <c r="C58" s="54"/>
      <c r="D58" s="54"/>
      <c r="E58" s="54"/>
      <c r="F58" s="54"/>
      <c r="G58" s="54"/>
      <c r="H58" s="54"/>
      <c r="I58" s="54"/>
      <c r="J58" s="55"/>
      <c r="K58" s="24"/>
      <c r="L58" s="1"/>
    </row>
    <row r="59" spans="1:12" ht="18.75">
      <c r="A59" s="7"/>
      <c r="B59" s="196" t="s">
        <v>47</v>
      </c>
      <c r="C59" s="197"/>
      <c r="D59" s="197"/>
      <c r="E59" s="197"/>
      <c r="F59" s="197"/>
      <c r="G59" s="197"/>
      <c r="H59" s="197"/>
      <c r="I59" s="197"/>
      <c r="J59" s="50">
        <f>J29+J42+J57+J38</f>
        <v>646520</v>
      </c>
      <c r="K59" s="24"/>
      <c r="L59" s="1"/>
    </row>
    <row r="60" spans="1:12" s="2" customFormat="1" ht="18.75">
      <c r="A60" s="51"/>
      <c r="B60" s="46"/>
      <c r="C60" s="46"/>
      <c r="D60" s="46"/>
      <c r="E60" s="46"/>
      <c r="F60" s="47"/>
      <c r="G60" s="48"/>
      <c r="H60" s="49"/>
      <c r="I60" s="49"/>
      <c r="J60" s="46"/>
      <c r="K60" s="24"/>
      <c r="L60" s="1"/>
    </row>
    <row r="61" spans="1:12" ht="18.75">
      <c r="A61" s="7"/>
      <c r="B61" s="46" t="s">
        <v>48</v>
      </c>
      <c r="C61" s="46"/>
      <c r="D61" s="46"/>
      <c r="E61" s="75" t="s">
        <v>2</v>
      </c>
      <c r="F61" s="75"/>
      <c r="G61" s="76"/>
      <c r="H61" s="75"/>
      <c r="I61" s="74" t="s">
        <v>1</v>
      </c>
      <c r="J61" s="74" t="s">
        <v>6</v>
      </c>
      <c r="K61" s="24"/>
      <c r="L61" s="1"/>
    </row>
    <row r="62" spans="1:12" ht="18.75">
      <c r="A62" s="7"/>
      <c r="B62" s="194" t="s">
        <v>0</v>
      </c>
      <c r="C62" s="194"/>
      <c r="D62" s="194"/>
      <c r="E62" s="194" t="s">
        <v>3</v>
      </c>
      <c r="F62" s="194"/>
      <c r="G62" s="194"/>
      <c r="H62" s="194"/>
      <c r="I62" s="56">
        <v>0.05</v>
      </c>
      <c r="J62" s="57">
        <f>J59*I62</f>
        <v>32326</v>
      </c>
      <c r="K62" s="24"/>
      <c r="L62" s="1"/>
    </row>
    <row r="63" spans="1:12" ht="18.75">
      <c r="A63" s="7"/>
      <c r="B63" s="194" t="s">
        <v>24</v>
      </c>
      <c r="C63" s="194"/>
      <c r="D63" s="194"/>
      <c r="E63" s="194" t="s">
        <v>7</v>
      </c>
      <c r="F63" s="194"/>
      <c r="G63" s="194"/>
      <c r="H63" s="194"/>
      <c r="I63" s="58">
        <f>E14</f>
        <v>0.01</v>
      </c>
      <c r="J63" s="57">
        <f>E14*E15*E16*J59</f>
        <v>25860.8</v>
      </c>
      <c r="K63" s="24"/>
      <c r="L63" s="1"/>
    </row>
    <row r="64" spans="1:12" ht="18.75">
      <c r="A64" s="7"/>
      <c r="B64" s="194" t="s">
        <v>25</v>
      </c>
      <c r="C64" s="194"/>
      <c r="D64" s="194"/>
      <c r="E64" s="195" t="s">
        <v>5</v>
      </c>
      <c r="F64" s="195"/>
      <c r="G64" s="195"/>
      <c r="H64" s="195"/>
      <c r="I64" s="195"/>
      <c r="J64" s="59"/>
      <c r="K64" s="24"/>
      <c r="L64" s="1"/>
    </row>
    <row r="65" spans="1:12" ht="18.75">
      <c r="A65" s="7"/>
      <c r="B65" s="194" t="s">
        <v>4</v>
      </c>
      <c r="C65" s="194"/>
      <c r="D65" s="194"/>
      <c r="E65" s="195"/>
      <c r="F65" s="195"/>
      <c r="G65" s="195"/>
      <c r="H65" s="195"/>
      <c r="I65" s="195"/>
      <c r="J65" s="59"/>
      <c r="K65" s="24"/>
      <c r="L65" s="1"/>
    </row>
    <row r="66" spans="1:12" ht="18.75">
      <c r="A66" s="7"/>
      <c r="B66" s="194" t="s">
        <v>26</v>
      </c>
      <c r="C66" s="194"/>
      <c r="D66" s="194"/>
      <c r="E66" s="195"/>
      <c r="F66" s="195"/>
      <c r="G66" s="195"/>
      <c r="H66" s="195"/>
      <c r="I66" s="195"/>
      <c r="J66" s="59"/>
      <c r="K66" s="24"/>
      <c r="L66" s="1"/>
    </row>
    <row r="67" spans="1:12" ht="18.75">
      <c r="A67" s="7"/>
      <c r="B67" s="168" t="s">
        <v>27</v>
      </c>
      <c r="C67" s="169"/>
      <c r="D67" s="169"/>
      <c r="E67" s="169"/>
      <c r="F67" s="169"/>
      <c r="G67" s="169"/>
      <c r="H67" s="169"/>
      <c r="I67" s="169"/>
      <c r="J67" s="50">
        <f>SUM(J62:J66)</f>
        <v>58186.8</v>
      </c>
      <c r="K67" s="24"/>
      <c r="L67" s="1"/>
    </row>
    <row r="68" spans="1:12" s="2" customFormat="1" ht="18.75">
      <c r="A68" s="51"/>
      <c r="B68" s="48"/>
      <c r="C68" s="48"/>
      <c r="D68" s="48"/>
      <c r="E68" s="48"/>
      <c r="F68" s="48"/>
      <c r="G68" s="48"/>
      <c r="H68" s="48"/>
      <c r="I68" s="48"/>
      <c r="J68" s="52"/>
      <c r="K68" s="24"/>
      <c r="L68" s="1"/>
    </row>
    <row r="69" spans="1:12" ht="18.75">
      <c r="A69" s="7"/>
      <c r="B69" s="192" t="s">
        <v>28</v>
      </c>
      <c r="C69" s="193"/>
      <c r="D69" s="193"/>
      <c r="E69" s="193"/>
      <c r="F69" s="193"/>
      <c r="G69" s="193"/>
      <c r="H69" s="193"/>
      <c r="I69" s="193"/>
      <c r="J69" s="60">
        <f>J59+J67</f>
        <v>704706.8</v>
      </c>
      <c r="K69" s="24"/>
      <c r="L69" s="1"/>
    </row>
    <row r="70" spans="1:12" s="2" customFormat="1" ht="18.75">
      <c r="A70" s="51"/>
      <c r="B70" s="48"/>
      <c r="C70" s="48"/>
      <c r="D70" s="48"/>
      <c r="E70" s="48"/>
      <c r="F70" s="48"/>
      <c r="G70" s="48"/>
      <c r="H70" s="48"/>
      <c r="I70" s="48"/>
      <c r="J70" s="52"/>
      <c r="K70" s="24"/>
      <c r="L70" s="1"/>
    </row>
    <row r="71" spans="1:12" s="2" customFormat="1" ht="19.5" thickBot="1">
      <c r="A71" s="51"/>
      <c r="B71" s="48"/>
      <c r="C71" s="48"/>
      <c r="D71" s="48"/>
      <c r="E71" s="48"/>
      <c r="F71" s="48"/>
      <c r="G71" s="48"/>
      <c r="H71" s="48"/>
      <c r="I71" s="48"/>
      <c r="J71" s="52"/>
      <c r="K71" s="24"/>
      <c r="L71" s="1"/>
    </row>
    <row r="72" spans="1:12" ht="19.5" thickBot="1">
      <c r="A72" s="7"/>
      <c r="B72" s="189" t="s">
        <v>29</v>
      </c>
      <c r="C72" s="190"/>
      <c r="D72" s="190"/>
      <c r="E72" s="190"/>
      <c r="F72" s="190"/>
      <c r="G72" s="190"/>
      <c r="H72" s="190"/>
      <c r="I72" s="190"/>
      <c r="J72" s="191"/>
      <c r="K72" s="24"/>
      <c r="L72" s="1"/>
    </row>
    <row r="73" spans="1:12" s="2" customFormat="1" ht="18.75">
      <c r="A73" s="51"/>
      <c r="B73" s="61"/>
      <c r="C73" s="61"/>
      <c r="D73" s="61"/>
      <c r="E73" s="61"/>
      <c r="F73" s="61"/>
      <c r="G73" s="61"/>
      <c r="H73" s="61"/>
      <c r="I73" s="61"/>
      <c r="J73" s="61"/>
      <c r="K73" s="24"/>
      <c r="L73" s="1"/>
    </row>
    <row r="74" spans="1:12" ht="18.75">
      <c r="A74" s="7"/>
      <c r="B74" s="51"/>
      <c r="C74" s="51"/>
      <c r="D74" s="177" t="s">
        <v>105</v>
      </c>
      <c r="E74" s="178"/>
      <c r="F74" s="178"/>
      <c r="G74" s="178"/>
      <c r="H74" s="179"/>
      <c r="I74" s="7"/>
      <c r="J74" s="7"/>
      <c r="K74" s="24"/>
      <c r="L74" s="1"/>
    </row>
    <row r="75" spans="1:12" ht="18.75">
      <c r="A75" s="7"/>
      <c r="B75" s="51"/>
      <c r="C75" s="51"/>
      <c r="D75" s="171" t="s">
        <v>35</v>
      </c>
      <c r="E75" s="172"/>
      <c r="F75" s="177" t="s">
        <v>36</v>
      </c>
      <c r="G75" s="178"/>
      <c r="H75" s="179"/>
      <c r="I75" s="7"/>
      <c r="J75" s="7"/>
      <c r="K75" s="24"/>
      <c r="L75" s="1"/>
    </row>
    <row r="76" spans="1:12" ht="18.75">
      <c r="A76" s="7"/>
      <c r="B76" s="51"/>
      <c r="C76" s="51"/>
      <c r="D76" s="175"/>
      <c r="E76" s="176"/>
      <c r="F76" s="62">
        <f>+G76*0.95</f>
        <v>57000</v>
      </c>
      <c r="G76" s="63">
        <v>60000</v>
      </c>
      <c r="H76" s="62">
        <f>+G76*1.05</f>
        <v>63000</v>
      </c>
      <c r="I76" s="7"/>
      <c r="J76" s="7"/>
      <c r="K76" s="24"/>
      <c r="L76" s="1"/>
    </row>
    <row r="77" spans="1:12" ht="18.75">
      <c r="A77" s="7"/>
      <c r="B77" s="51"/>
      <c r="C77" s="51"/>
      <c r="D77" s="185">
        <f>D78*0.9</f>
        <v>11.700000000000001</v>
      </c>
      <c r="E77" s="186"/>
      <c r="F77" s="64">
        <f>F$76*$D$77-Hoja1!$C$40</f>
        <v>-24857.59999999986</v>
      </c>
      <c r="G77" s="64">
        <f>G$76*$D$77-Hoja1!$C$40</f>
        <v>10242.40000000014</v>
      </c>
      <c r="H77" s="64">
        <f>H$76*$D$77-Hoja1!$C$40</f>
        <v>45342.40000000014</v>
      </c>
      <c r="I77" s="51"/>
      <c r="J77" s="51"/>
      <c r="K77" s="24"/>
      <c r="L77" s="1"/>
    </row>
    <row r="78" spans="1:12" s="2" customFormat="1" ht="18.75">
      <c r="A78" s="51"/>
      <c r="B78" s="51"/>
      <c r="C78" s="51"/>
      <c r="D78" s="187">
        <f>E11</f>
        <v>13</v>
      </c>
      <c r="E78" s="188"/>
      <c r="F78" s="65">
        <f>(F$76*$D78)-J69</f>
        <v>36293.19999999995</v>
      </c>
      <c r="G78" s="65">
        <f>(G$76*$D78)-J69</f>
        <v>75293.19999999995</v>
      </c>
      <c r="H78" s="65">
        <f>(H$76*$D78)-J69</f>
        <v>114293.19999999995</v>
      </c>
      <c r="I78" s="51"/>
      <c r="J78" s="51"/>
      <c r="K78" s="24"/>
      <c r="L78" s="1"/>
    </row>
    <row r="79" spans="1:12" ht="18.75">
      <c r="A79" s="7"/>
      <c r="B79" s="51"/>
      <c r="C79" s="51"/>
      <c r="D79" s="183">
        <f>D78*1.1</f>
        <v>14.3</v>
      </c>
      <c r="E79" s="184"/>
      <c r="F79" s="66">
        <f>F$76*$D$79-Hoja1!$D$40</f>
        <v>97444</v>
      </c>
      <c r="G79" s="66">
        <f>G$76*$D$79-Hoja1!$D$40</f>
        <v>140344</v>
      </c>
      <c r="H79" s="66">
        <f>H$76*$D$79-Hoja1!$D$40</f>
        <v>183244</v>
      </c>
      <c r="I79" s="143"/>
      <c r="J79" s="143"/>
      <c r="K79" s="24"/>
      <c r="L79" s="1"/>
    </row>
    <row r="80" spans="1:12" ht="18.75">
      <c r="A80" s="7"/>
      <c r="B80" s="67"/>
      <c r="C80" s="67"/>
      <c r="D80" s="68"/>
      <c r="E80" s="68"/>
      <c r="F80" s="68"/>
      <c r="G80" s="7"/>
      <c r="H80" s="7"/>
      <c r="I80" s="5"/>
      <c r="J80" s="5"/>
      <c r="K80" s="24"/>
      <c r="L80" s="1"/>
    </row>
    <row r="81" spans="1:12" ht="18.75">
      <c r="A81" s="7"/>
      <c r="B81" s="67"/>
      <c r="C81" s="67"/>
      <c r="D81" s="171" t="s">
        <v>106</v>
      </c>
      <c r="E81" s="172"/>
      <c r="F81" s="180" t="s">
        <v>35</v>
      </c>
      <c r="G81" s="181"/>
      <c r="H81" s="182"/>
      <c r="I81" s="5"/>
      <c r="J81" s="5"/>
      <c r="K81" s="24"/>
      <c r="L81" s="1"/>
    </row>
    <row r="82" spans="1:12" ht="18.75">
      <c r="A82" s="7"/>
      <c r="B82" s="51"/>
      <c r="C82" s="51"/>
      <c r="D82" s="173"/>
      <c r="E82" s="174"/>
      <c r="F82" s="69">
        <f>D77</f>
        <v>11.700000000000001</v>
      </c>
      <c r="G82" s="69">
        <f>E11</f>
        <v>13</v>
      </c>
      <c r="H82" s="69">
        <f>D79</f>
        <v>14.3</v>
      </c>
      <c r="I82" s="5"/>
      <c r="J82" s="5"/>
      <c r="K82" s="24"/>
      <c r="L82" s="1"/>
    </row>
    <row r="83" spans="1:12" ht="18.75">
      <c r="A83" s="7"/>
      <c r="B83" s="7"/>
      <c r="C83" s="7"/>
      <c r="D83" s="175"/>
      <c r="E83" s="176"/>
      <c r="F83" s="70">
        <f>Hoja1!C40/Ficha!F82</f>
        <v>59124.58119658119</v>
      </c>
      <c r="G83" s="70">
        <f>J69/G82</f>
        <v>54208.21538461539</v>
      </c>
      <c r="H83" s="70">
        <f>Hoja1!D40/Ficha!H82</f>
        <v>50185.73426573426</v>
      </c>
      <c r="I83" s="5"/>
      <c r="J83" s="5"/>
      <c r="K83" s="24"/>
      <c r="L83" s="1"/>
    </row>
    <row r="84" spans="1:11" ht="18.75">
      <c r="A84" s="7"/>
      <c r="B84" s="170" t="s">
        <v>30</v>
      </c>
      <c r="C84" s="170"/>
      <c r="D84" s="170"/>
      <c r="E84" s="170"/>
      <c r="F84" s="170"/>
      <c r="G84" s="170"/>
      <c r="H84" s="170"/>
      <c r="I84" s="170"/>
      <c r="J84" s="170"/>
      <c r="K84" s="71"/>
    </row>
    <row r="85" spans="1:11" ht="18.75">
      <c r="A85" s="7"/>
      <c r="B85" s="162" t="s">
        <v>72</v>
      </c>
      <c r="C85" s="163"/>
      <c r="D85" s="163"/>
      <c r="E85" s="163"/>
      <c r="F85" s="163"/>
      <c r="G85" s="163"/>
      <c r="H85" s="163"/>
      <c r="I85" s="163"/>
      <c r="J85" s="164"/>
      <c r="K85" s="71"/>
    </row>
    <row r="86" spans="1:11" ht="18.75">
      <c r="A86" s="7"/>
      <c r="B86" s="165"/>
      <c r="C86" s="166"/>
      <c r="D86" s="166"/>
      <c r="E86" s="166"/>
      <c r="F86" s="166"/>
      <c r="G86" s="166"/>
      <c r="H86" s="166"/>
      <c r="I86" s="166"/>
      <c r="J86" s="167"/>
      <c r="K86" s="71"/>
    </row>
    <row r="87" spans="1:11" ht="18.75">
      <c r="A87" s="7"/>
      <c r="B87" s="142" t="s">
        <v>111</v>
      </c>
      <c r="C87" s="130"/>
      <c r="D87" s="130"/>
      <c r="E87" s="130"/>
      <c r="F87" s="130"/>
      <c r="G87" s="130"/>
      <c r="H87" s="130"/>
      <c r="I87" s="130"/>
      <c r="J87" s="131"/>
      <c r="K87" s="71"/>
    </row>
    <row r="88" spans="1:11" ht="18.75">
      <c r="A88" s="7"/>
      <c r="B88" s="165" t="s">
        <v>107</v>
      </c>
      <c r="C88" s="166"/>
      <c r="D88" s="166"/>
      <c r="E88" s="166"/>
      <c r="F88" s="166"/>
      <c r="G88" s="166"/>
      <c r="H88" s="166"/>
      <c r="I88" s="166"/>
      <c r="J88" s="167"/>
      <c r="K88" s="71"/>
    </row>
    <row r="89" spans="1:11" ht="18.75">
      <c r="A89" s="7"/>
      <c r="B89" s="165"/>
      <c r="C89" s="166"/>
      <c r="D89" s="166"/>
      <c r="E89" s="166"/>
      <c r="F89" s="166"/>
      <c r="G89" s="166"/>
      <c r="H89" s="166"/>
      <c r="I89" s="166"/>
      <c r="J89" s="167"/>
      <c r="K89" s="71"/>
    </row>
    <row r="90" spans="1:11" ht="18.75">
      <c r="A90" s="7"/>
      <c r="B90" s="165"/>
      <c r="C90" s="166"/>
      <c r="D90" s="166"/>
      <c r="E90" s="166"/>
      <c r="F90" s="166"/>
      <c r="G90" s="166"/>
      <c r="H90" s="166"/>
      <c r="I90" s="166"/>
      <c r="J90" s="167"/>
      <c r="K90" s="7"/>
    </row>
    <row r="91" spans="1:11" ht="18.75">
      <c r="A91" s="7"/>
      <c r="B91" s="237" t="s">
        <v>108</v>
      </c>
      <c r="C91" s="238"/>
      <c r="D91" s="238"/>
      <c r="E91" s="238"/>
      <c r="F91" s="238"/>
      <c r="G91" s="238"/>
      <c r="H91" s="238"/>
      <c r="I91" s="238"/>
      <c r="J91" s="239"/>
      <c r="K91" s="7"/>
    </row>
    <row r="92" spans="1:11" ht="18.75">
      <c r="A92" s="7"/>
      <c r="B92" s="159" t="s">
        <v>109</v>
      </c>
      <c r="C92" s="160"/>
      <c r="D92" s="160"/>
      <c r="E92" s="160"/>
      <c r="F92" s="160"/>
      <c r="G92" s="160"/>
      <c r="H92" s="160"/>
      <c r="I92" s="160"/>
      <c r="J92" s="161"/>
      <c r="K92" s="7"/>
    </row>
    <row r="93" spans="1:11" ht="18.75">
      <c r="A93" s="7"/>
      <c r="B93" s="156" t="s">
        <v>110</v>
      </c>
      <c r="C93" s="157"/>
      <c r="D93" s="157"/>
      <c r="E93" s="157"/>
      <c r="F93" s="157"/>
      <c r="G93" s="157"/>
      <c r="H93" s="157"/>
      <c r="I93" s="157"/>
      <c r="J93" s="158"/>
      <c r="K93" s="7"/>
    </row>
    <row r="94" spans="1:11" ht="18.75">
      <c r="A94" s="7"/>
      <c r="B94" s="77"/>
      <c r="C94" s="77"/>
      <c r="D94" s="77"/>
      <c r="E94" s="77"/>
      <c r="F94" s="77"/>
      <c r="G94" s="77"/>
      <c r="H94" s="77"/>
      <c r="I94" s="77"/>
      <c r="J94" s="77"/>
      <c r="K94" s="7"/>
    </row>
  </sheetData>
  <sheetProtection/>
  <mergeCells count="71">
    <mergeCell ref="E49:F49"/>
    <mergeCell ref="B42:I42"/>
    <mergeCell ref="E55:F55"/>
    <mergeCell ref="E56:F56"/>
    <mergeCell ref="E45:F45"/>
    <mergeCell ref="E47:F47"/>
    <mergeCell ref="E53:F53"/>
    <mergeCell ref="E54:F54"/>
    <mergeCell ref="E51:F51"/>
    <mergeCell ref="E34:F34"/>
    <mergeCell ref="E35:F35"/>
    <mergeCell ref="E36:F36"/>
    <mergeCell ref="B24:D24"/>
    <mergeCell ref="E24:F24"/>
    <mergeCell ref="B91:J91"/>
    <mergeCell ref="E25:F25"/>
    <mergeCell ref="E26:F26"/>
    <mergeCell ref="E27:F27"/>
    <mergeCell ref="E33:F33"/>
    <mergeCell ref="H18:H19"/>
    <mergeCell ref="I18:I19"/>
    <mergeCell ref="J18:J19"/>
    <mergeCell ref="B23:D23"/>
    <mergeCell ref="B29:I29"/>
    <mergeCell ref="B32:D32"/>
    <mergeCell ref="E32:F32"/>
    <mergeCell ref="E23:F23"/>
    <mergeCell ref="B1:J1"/>
    <mergeCell ref="E3:G3"/>
    <mergeCell ref="E2:G2"/>
    <mergeCell ref="B22:D22"/>
    <mergeCell ref="E22:F22"/>
    <mergeCell ref="B18:D19"/>
    <mergeCell ref="E18:F19"/>
    <mergeCell ref="G10:J10"/>
    <mergeCell ref="B10:E10"/>
    <mergeCell ref="G18:G19"/>
    <mergeCell ref="B59:I59"/>
    <mergeCell ref="B57:I57"/>
    <mergeCell ref="E28:F28"/>
    <mergeCell ref="E50:F50"/>
    <mergeCell ref="E41:F41"/>
    <mergeCell ref="E48:F48"/>
    <mergeCell ref="B28:D28"/>
    <mergeCell ref="B38:I38"/>
    <mergeCell ref="B37:D37"/>
    <mergeCell ref="E37:F37"/>
    <mergeCell ref="B65:D65"/>
    <mergeCell ref="B62:D62"/>
    <mergeCell ref="B63:D63"/>
    <mergeCell ref="E64:I66"/>
    <mergeCell ref="E62:H62"/>
    <mergeCell ref="B64:D64"/>
    <mergeCell ref="B66:D66"/>
    <mergeCell ref="E63:H63"/>
    <mergeCell ref="F75:H75"/>
    <mergeCell ref="D79:E79"/>
    <mergeCell ref="D77:E77"/>
    <mergeCell ref="D78:E78"/>
    <mergeCell ref="B72:J72"/>
    <mergeCell ref="B69:I69"/>
    <mergeCell ref="B93:J93"/>
    <mergeCell ref="B92:J92"/>
    <mergeCell ref="B85:J86"/>
    <mergeCell ref="B67:I67"/>
    <mergeCell ref="B84:J84"/>
    <mergeCell ref="B88:J90"/>
    <mergeCell ref="D81:E83"/>
    <mergeCell ref="D75:E76"/>
    <mergeCell ref="D74:H74"/>
    <mergeCell ref="F81:H81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3" r:id="rId2"/>
  <rowBreaks count="2" manualBreakCount="2">
    <brk id="70" max="10" man="1"/>
    <brk id="10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5">
      <selection activeCell="B46" sqref="B46"/>
    </sheetView>
  </sheetViews>
  <sheetFormatPr defaultColWidth="11.421875" defaultRowHeight="15"/>
  <cols>
    <col min="2" max="2" width="37.140625" style="0" bestFit="1" customWidth="1"/>
  </cols>
  <sheetData>
    <row r="2" spans="2:3" ht="15">
      <c r="B2" s="132" t="s">
        <v>93</v>
      </c>
      <c r="C2" s="133">
        <f>((Ficha!E11-13)/13)+1</f>
        <v>1</v>
      </c>
    </row>
    <row r="4" ht="15">
      <c r="B4" s="134" t="s">
        <v>94</v>
      </c>
    </row>
    <row r="5" spans="2:3" ht="15">
      <c r="B5" t="s">
        <v>81</v>
      </c>
      <c r="C5">
        <v>13</v>
      </c>
    </row>
    <row r="6" spans="2:3" ht="15">
      <c r="B6" t="s">
        <v>45</v>
      </c>
      <c r="C6">
        <v>1</v>
      </c>
    </row>
    <row r="7" spans="2:3" ht="15">
      <c r="B7" t="s">
        <v>84</v>
      </c>
      <c r="C7">
        <v>78</v>
      </c>
    </row>
    <row r="14" ht="15">
      <c r="B14" s="134" t="s">
        <v>29</v>
      </c>
    </row>
    <row r="16" spans="2:4" ht="15">
      <c r="B16" s="132" t="s">
        <v>95</v>
      </c>
      <c r="C16" s="135">
        <f>Ficha!D77</f>
        <v>11.700000000000001</v>
      </c>
      <c r="D16" s="135">
        <f>Ficha!D79</f>
        <v>14.3</v>
      </c>
    </row>
    <row r="18" spans="2:4" ht="15">
      <c r="B18" s="132" t="s">
        <v>93</v>
      </c>
      <c r="C18" s="133">
        <v>0.9</v>
      </c>
      <c r="D18" s="133">
        <v>1.1</v>
      </c>
    </row>
    <row r="20" ht="15">
      <c r="B20" t="s">
        <v>21</v>
      </c>
    </row>
    <row r="21" spans="2:4" ht="15">
      <c r="B21" t="s">
        <v>96</v>
      </c>
      <c r="C21" s="136">
        <f>SUM(Ficha!J22:J27)</f>
        <v>230000</v>
      </c>
      <c r="D21" s="136">
        <f>SUM(Ficha!J22:J27)</f>
        <v>230000</v>
      </c>
    </row>
    <row r="22" spans="2:4" ht="15">
      <c r="B22" s="137" t="s">
        <v>97</v>
      </c>
      <c r="C22" s="138">
        <f>C18*Ficha!G28*Ficha!I28</f>
        <v>46800.00000000001</v>
      </c>
      <c r="D22" s="138">
        <f>D18*Ficha!G28*Ficha!I28</f>
        <v>57200</v>
      </c>
    </row>
    <row r="23" spans="2:4" ht="15">
      <c r="B23" t="s">
        <v>98</v>
      </c>
      <c r="C23" s="136">
        <f>SUM(C21:C22)</f>
        <v>276800</v>
      </c>
      <c r="D23" s="136">
        <f>SUM(D21:D22)</f>
        <v>287200</v>
      </c>
    </row>
    <row r="25" ht="15">
      <c r="B25" t="s">
        <v>99</v>
      </c>
    </row>
    <row r="26" spans="2:4" ht="15">
      <c r="B26" t="s">
        <v>96</v>
      </c>
      <c r="C26" s="136">
        <f>SUM(Ficha!J32:J36)</f>
        <v>110000</v>
      </c>
      <c r="D26" s="136">
        <f>SUM(Ficha!J32:J36)</f>
        <v>110000</v>
      </c>
    </row>
    <row r="27" spans="2:4" ht="15">
      <c r="B27" s="137" t="s">
        <v>97</v>
      </c>
      <c r="C27" s="138">
        <f>C18*Ficha!G37*Ficha!I37+Hoja1!C18*Ficha!G41*Ficha!I41</f>
        <v>60120</v>
      </c>
      <c r="D27" s="138">
        <f>D18*Ficha!G37*Ficha!I37+Hoja1!D18*Ficha!G41*Ficha!I41</f>
        <v>73480</v>
      </c>
    </row>
    <row r="28" spans="2:4" ht="15">
      <c r="B28" t="s">
        <v>98</v>
      </c>
      <c r="C28" s="136">
        <f>SUM(C26:C27)</f>
        <v>170120</v>
      </c>
      <c r="D28" s="136">
        <f>SUM(D26:D27)</f>
        <v>183480</v>
      </c>
    </row>
    <row r="30" ht="15">
      <c r="B30" t="s">
        <v>100</v>
      </c>
    </row>
    <row r="31" spans="2:4" ht="15">
      <c r="B31" t="s">
        <v>96</v>
      </c>
      <c r="C31" s="136">
        <f>SUM(Ficha!J45:J56)</f>
        <v>187720</v>
      </c>
      <c r="D31" s="136">
        <f>SUM(Ficha!J45:J56)</f>
        <v>187720</v>
      </c>
    </row>
    <row r="32" spans="2:4" ht="15">
      <c r="B32" s="137" t="s">
        <v>97</v>
      </c>
      <c r="C32" s="137">
        <v>0</v>
      </c>
      <c r="D32" s="137">
        <v>0</v>
      </c>
    </row>
    <row r="33" spans="2:4" ht="15">
      <c r="B33" t="s">
        <v>98</v>
      </c>
      <c r="C33" s="136">
        <f>SUM(C31:C32)</f>
        <v>187720</v>
      </c>
      <c r="D33" s="136">
        <f>SUM(D31:D32)</f>
        <v>187720</v>
      </c>
    </row>
    <row r="35" spans="2:4" ht="15">
      <c r="B35" s="134" t="s">
        <v>101</v>
      </c>
      <c r="C35" s="136">
        <f>C23+C28+C33</f>
        <v>634640</v>
      </c>
      <c r="D35" s="136">
        <f>D23+D28+D33</f>
        <v>658400</v>
      </c>
    </row>
    <row r="37" spans="2:4" ht="15">
      <c r="B37" t="s">
        <v>0</v>
      </c>
      <c r="C37" s="139">
        <f>C35*Ficha!$I$62</f>
        <v>31732</v>
      </c>
      <c r="D37" s="139">
        <f>D35*Ficha!$I$62</f>
        <v>32920</v>
      </c>
    </row>
    <row r="38" spans="2:4" ht="15">
      <c r="B38" t="s">
        <v>24</v>
      </c>
      <c r="C38" s="139">
        <f>C35*Ficha!$E$14*Ficha!$E$15*Ficha!$E$16</f>
        <v>25385.600000000002</v>
      </c>
      <c r="D38" s="139">
        <f>D35*Ficha!$E$14*Ficha!$E$15*Ficha!$E$16</f>
        <v>26336</v>
      </c>
    </row>
    <row r="40" spans="2:4" ht="15">
      <c r="B40" s="140" t="s">
        <v>28</v>
      </c>
      <c r="C40" s="141">
        <f>C35+C37+C38</f>
        <v>691757.6</v>
      </c>
      <c r="D40" s="141">
        <f>D35+D37+D38</f>
        <v>717656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2012-12-17T18:31:28Z</cp:lastPrinted>
  <dcterms:created xsi:type="dcterms:W3CDTF">2012-07-09T18:51:50Z</dcterms:created>
  <dcterms:modified xsi:type="dcterms:W3CDTF">2017-10-06T20:01:01Z</dcterms:modified>
  <cp:category/>
  <cp:version/>
  <cp:contentType/>
  <cp:contentStatus/>
</cp:coreProperties>
</file>