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papa_ guarda_ riego_araucania" sheetId="1" r:id="rId1"/>
    <sheet name="Hoja1" sheetId="2" state="hidden" r:id="rId2"/>
  </sheets>
  <definedNames>
    <definedName name="_xlnm.Print_Area" localSheetId="0">'papa_ guarda_ riego_araucania'!$A$1:$K$111</definedName>
  </definedNames>
  <calcPr fullCalcOnLoad="1"/>
</workbook>
</file>

<file path=xl/sharedStrings.xml><?xml version="1.0" encoding="utf-8"?>
<sst xmlns="http://schemas.openxmlformats.org/spreadsheetml/2006/main" count="203" uniqueCount="134">
  <si>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</si>
  <si>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</si>
  <si>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</si>
  <si>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</si>
  <si>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</si>
  <si>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</si>
  <si>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</si>
  <si>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</si>
  <si>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</si>
  <si>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</si>
  <si>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</si>
  <si>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</si>
  <si>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</si>
  <si>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</si>
  <si>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</si>
  <si>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</si>
  <si>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</si>
  <si>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</si>
  <si>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</si>
  <si>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</si>
  <si>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</si>
  <si>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</si>
  <si>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</si>
  <si>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</si>
  <si>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</si>
  <si>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</si>
  <si>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</si>
  <si>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</si>
  <si>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</si>
  <si>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</si>
  <si>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</si>
  <si>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</si>
  <si>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</si>
  <si>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</si>
  <si>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Cosecha: cortado, seleccionado y embalado</t>
  </si>
  <si>
    <t>Riego</t>
  </si>
  <si>
    <t>Terrasorb foliar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</si>
  <si>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</si>
  <si>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</si>
  <si>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</si>
  <si>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</si>
  <si>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</si>
  <si>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</si>
  <si>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</si>
  <si>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</si>
  <si>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</si>
  <si>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</si>
  <si>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</si>
  <si>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</si>
  <si>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</si>
  <si>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</si>
  <si>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</si>
  <si>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</si>
  <si>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</si>
  <si>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</si>
  <si>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</si>
  <si>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</si>
  <si>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</si>
  <si>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</si>
  <si>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Región de La Araucanía</t>
  </si>
  <si>
    <t>Destino de producción: consumo fresco</t>
  </si>
  <si>
    <t>Tecnología: media</t>
  </si>
  <si>
    <t>Siembra</t>
  </si>
  <si>
    <t>septiembre - octubre</t>
  </si>
  <si>
    <t>septiembre - enero</t>
  </si>
  <si>
    <t>septiembre - noviembre</t>
  </si>
  <si>
    <t>Control manual de malezas</t>
  </si>
  <si>
    <t>septiembre - diciembre</t>
  </si>
  <si>
    <t>octubre - noviembre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</si>
  <si>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</si>
  <si>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</si>
  <si>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</si>
  <si>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</si>
  <si>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</si>
  <si>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</si>
  <si>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</si>
  <si>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</si>
  <si>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</si>
  <si>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</si>
  <si>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</si>
  <si>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</si>
  <si>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</si>
  <si>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Papa guarda riego</t>
  </si>
  <si>
    <t>1 hectárea mayo 2018</t>
  </si>
  <si>
    <t>Tecnología de riego: Riego</t>
  </si>
  <si>
    <t>Densidad (plantas/hectárea): 75 cm entre hileras</t>
  </si>
  <si>
    <t>Siembra: septiembre - noviembre</t>
  </si>
  <si>
    <t>Variedad: Patagonia, Pucara, Desiree.</t>
  </si>
  <si>
    <t>Rendimiento (kilos/hectárea): 1.340 sacos de 25 kg</t>
  </si>
  <si>
    <t>Aplicación fertilizante</t>
  </si>
  <si>
    <t>Aplicación de fitosanitarios</t>
  </si>
  <si>
    <t>Cosedor de sacos</t>
  </si>
  <si>
    <t>noviembre - febrero</t>
  </si>
  <si>
    <t>septiembre - noviemre</t>
  </si>
  <si>
    <t>octubre - febrero</t>
  </si>
  <si>
    <t>abril - mayo</t>
  </si>
  <si>
    <t>Aradura cincel o disco</t>
  </si>
  <si>
    <t xml:space="preserve">Siembra </t>
  </si>
  <si>
    <t>Acequiadura</t>
  </si>
  <si>
    <t>Aplicación fitosanitarios</t>
  </si>
  <si>
    <t>Cultivación entre hileras y aplicar fertilizante</t>
  </si>
  <si>
    <t>Pasar chopper/rana sobre las hileras</t>
  </si>
  <si>
    <t>Cosecha con maquina</t>
  </si>
  <si>
    <t>Acarreo de la cosecha con tractor y coloso</t>
  </si>
  <si>
    <t>enero - marzo</t>
  </si>
  <si>
    <t>marzo - abril</t>
  </si>
  <si>
    <t>Semilla</t>
  </si>
  <si>
    <t xml:space="preserve">Mezcla papera NPK  11 30 11 </t>
  </si>
  <si>
    <t>Urea</t>
  </si>
  <si>
    <t>Dimetomorfo 50% g/L</t>
  </si>
  <si>
    <t>Cimoxanilo 8%g/K/Mancozeb 64% g/Kg</t>
  </si>
  <si>
    <t>Tiametoxam 14,1%/ Lambda-cihalotrina 10,6%g/L</t>
  </si>
  <si>
    <t xml:space="preserve">Glifosato- potasio  66,2% g/l (desecante) </t>
  </si>
  <si>
    <t>Metribuzina 48 % g/L</t>
  </si>
  <si>
    <t>Fertilizantes foliares:</t>
  </si>
  <si>
    <t>Otros:</t>
  </si>
  <si>
    <t>Costo riego</t>
  </si>
  <si>
    <t>Sacos plásticos de 25 kilos</t>
  </si>
  <si>
    <t>Hilo plástico</t>
  </si>
  <si>
    <t>noviembre - diciembre</t>
  </si>
  <si>
    <t>noviembre - enero</t>
  </si>
  <si>
    <t>agosto - octubre</t>
  </si>
  <si>
    <t>octubre - enero</t>
  </si>
  <si>
    <t>Análisis</t>
  </si>
  <si>
    <t>Rendimiento (kilos/hectárea)</t>
  </si>
  <si>
    <t>Costo unitario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</si>
  <si>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</si>
  <si>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Precio de venta a productor ($/kilo): </t>
    </r>
    <r>
      <rPr>
        <b/>
        <vertAlign val="superscript"/>
        <sz val="14"/>
        <rFont val="Arial"/>
        <family val="2"/>
      </rPr>
      <t xml:space="preserve">(1) </t>
    </r>
  </si>
  <si>
    <r>
      <t xml:space="preserve">Recoger la Cosecha </t>
    </r>
    <r>
      <rPr>
        <vertAlign val="superscript"/>
        <sz val="14"/>
        <rFont val="Arial"/>
        <family val="2"/>
      </rPr>
      <t>(2)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</si>
  <si>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</si>
  <si>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t>(1) El precio de kg de papa cosechada corresponde al promedio de la región durante el periodo de cosecha a nivel predial en la temporada 2017/2018. ( valor por saco de 25kg=$3.900)</t>
  </si>
  <si>
    <t>Fecha cosecha: abril - mayo</t>
  </si>
  <si>
    <t>Precio ($/kilo)</t>
  </si>
  <si>
    <t>(2) La cosecha se mide por kilo cosechado.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</si>
</sst>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>
      <alignment horizontal="left" indent="3"/>
      <protection/>
    </xf>
    <xf numFmtId="0" fontId="10" fillId="0" borderId="21" xfId="56" applyFont="1" applyFill="1" applyBorder="1" applyAlignment="1">
      <alignment/>
      <protection/>
    </xf>
    <xf numFmtId="3" fontId="10" fillId="0" borderId="21" xfId="67" applyNumberFormat="1" applyFont="1" applyFill="1" applyBorder="1" applyAlignment="1" applyProtection="1">
      <alignment horizontal="righ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628650</xdr:colOff>
      <xdr:row>110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317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3"/>
  <sheetViews>
    <sheetView showGridLines="0" tabSelected="1" view="pageBreakPreview" zoomScale="70" zoomScaleNormal="70" zoomScaleSheetLayoutView="70" zoomScalePageLayoutView="80" workbookViewId="0" topLeftCell="A67">
      <selection activeCell="J74" sqref="J74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3"/>
      <c r="C2" s="143"/>
      <c r="D2" s="307" t="s">
        <v>37</v>
      </c>
      <c r="E2" s="307"/>
      <c r="F2" s="307"/>
      <c r="G2" s="307"/>
      <c r="H2" s="307"/>
      <c r="I2" s="307"/>
      <c r="J2" s="307"/>
    </row>
    <row r="3" spans="2:11" s="3" customFormat="1" ht="18" customHeight="1">
      <c r="B3" s="94"/>
      <c r="C3" s="117"/>
      <c r="D3" s="308" t="s">
        <v>82</v>
      </c>
      <c r="E3" s="308"/>
      <c r="F3" s="308"/>
      <c r="G3" s="308"/>
      <c r="H3" s="308"/>
      <c r="I3" s="308"/>
      <c r="J3" s="308"/>
      <c r="K3" s="14"/>
    </row>
    <row r="4" spans="2:11" s="3" customFormat="1" ht="18" customHeight="1">
      <c r="B4" s="94"/>
      <c r="C4" s="117"/>
      <c r="D4" s="308" t="s">
        <v>59</v>
      </c>
      <c r="E4" s="308"/>
      <c r="F4" s="308"/>
      <c r="G4" s="308"/>
      <c r="H4" s="308"/>
      <c r="I4" s="308"/>
      <c r="J4" s="308"/>
      <c r="K4" s="14"/>
    </row>
    <row r="5" spans="2:11" s="3" customFormat="1" ht="18" customHeight="1">
      <c r="B5" s="42"/>
      <c r="C5" s="42"/>
      <c r="D5" s="118"/>
      <c r="E5" s="44"/>
      <c r="F5" s="138"/>
      <c r="G5" s="138"/>
      <c r="H5" s="138"/>
      <c r="I5" s="138"/>
      <c r="J5" s="138"/>
      <c r="K5" s="16"/>
    </row>
    <row r="6" spans="2:11" s="3" customFormat="1" ht="18" customHeight="1">
      <c r="B6" s="42"/>
      <c r="C6" s="42"/>
      <c r="D6" s="316" t="s">
        <v>30</v>
      </c>
      <c r="E6" s="317"/>
      <c r="F6" s="317"/>
      <c r="G6" s="317"/>
      <c r="H6" s="317"/>
      <c r="I6" s="317"/>
      <c r="J6" s="318"/>
      <c r="K6" s="16"/>
    </row>
    <row r="7" spans="2:11" s="3" customFormat="1" ht="18" customHeight="1">
      <c r="B7" s="42"/>
      <c r="C7" s="42"/>
      <c r="D7" s="85" t="s">
        <v>83</v>
      </c>
      <c r="E7" s="86"/>
      <c r="F7" s="86"/>
      <c r="G7" s="87" t="s">
        <v>87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84</v>
      </c>
      <c r="E8" s="92"/>
      <c r="F8" s="92"/>
      <c r="G8" s="93" t="s">
        <v>60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85</v>
      </c>
      <c r="E9" s="170"/>
      <c r="F9" s="92"/>
      <c r="G9" s="93" t="s">
        <v>61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86</v>
      </c>
      <c r="E10" s="98"/>
      <c r="F10" s="98"/>
      <c r="G10" s="99" t="s">
        <v>131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5"/>
      <c r="K11" s="18"/>
    </row>
    <row r="12" spans="2:11" ht="18">
      <c r="B12" s="309" t="s">
        <v>31</v>
      </c>
      <c r="C12" s="310"/>
      <c r="D12" s="310"/>
      <c r="E12" s="311"/>
      <c r="F12" s="41"/>
      <c r="G12" s="312" t="s">
        <v>4</v>
      </c>
      <c r="H12" s="313"/>
      <c r="I12" s="313"/>
      <c r="J12" s="314"/>
      <c r="K12" s="16"/>
    </row>
    <row r="13" spans="2:11" ht="18">
      <c r="B13" s="107" t="s">
        <v>88</v>
      </c>
      <c r="C13" s="108"/>
      <c r="D13" s="86"/>
      <c r="E13" s="109">
        <v>33500</v>
      </c>
      <c r="F13" s="42"/>
      <c r="G13" s="113" t="s">
        <v>53</v>
      </c>
      <c r="H13" s="86"/>
      <c r="I13" s="86"/>
      <c r="J13" s="144">
        <f>E13*E14</f>
        <v>5226000</v>
      </c>
      <c r="K13" s="16"/>
    </row>
    <row r="14" spans="2:13" ht="18" customHeight="1">
      <c r="B14" s="208" t="s">
        <v>127</v>
      </c>
      <c r="C14" s="209"/>
      <c r="D14" s="209"/>
      <c r="E14" s="147">
        <v>156</v>
      </c>
      <c r="F14" s="42"/>
      <c r="G14" s="114" t="s">
        <v>50</v>
      </c>
      <c r="H14" s="42"/>
      <c r="I14" s="42"/>
      <c r="J14" s="145">
        <f>J30+J43+J65+J68</f>
        <v>3620022</v>
      </c>
      <c r="K14" s="16"/>
      <c r="M14" s="194"/>
    </row>
    <row r="15" spans="2:11" ht="18">
      <c r="B15" s="134" t="s">
        <v>38</v>
      </c>
      <c r="C15" s="43"/>
      <c r="D15" s="42"/>
      <c r="E15" s="147">
        <v>12500</v>
      </c>
      <c r="F15" s="42"/>
      <c r="G15" s="114" t="s">
        <v>52</v>
      </c>
      <c r="H15" s="44"/>
      <c r="I15" s="42"/>
      <c r="J15" s="145">
        <f>J30+J43+J65+J68+J78</f>
        <v>3810073.155</v>
      </c>
      <c r="K15" s="16"/>
    </row>
    <row r="16" spans="2:11" ht="18">
      <c r="B16" s="134" t="s">
        <v>2</v>
      </c>
      <c r="C16" s="45"/>
      <c r="D16" s="42"/>
      <c r="E16" s="110">
        <v>0.015</v>
      </c>
      <c r="F16" s="42"/>
      <c r="G16" s="114" t="s">
        <v>54</v>
      </c>
      <c r="H16" s="42"/>
      <c r="I16" s="42"/>
      <c r="J16" s="145">
        <f>J13-J14</f>
        <v>1605978</v>
      </c>
      <c r="K16" s="16"/>
    </row>
    <row r="17" spans="2:11" ht="18">
      <c r="B17" s="134" t="s">
        <v>3</v>
      </c>
      <c r="C17" s="45"/>
      <c r="D17" s="42"/>
      <c r="E17" s="273">
        <v>7</v>
      </c>
      <c r="F17" s="42"/>
      <c r="G17" s="114" t="s">
        <v>55</v>
      </c>
      <c r="H17" s="42"/>
      <c r="I17" s="42"/>
      <c r="J17" s="145">
        <f>J13-J15</f>
        <v>1415926.8450000002</v>
      </c>
      <c r="K17" s="16"/>
    </row>
    <row r="18" spans="2:11" ht="18">
      <c r="B18" s="111"/>
      <c r="C18" s="112"/>
      <c r="D18" s="103"/>
      <c r="E18" s="272"/>
      <c r="F18" s="42"/>
      <c r="G18" s="115" t="s">
        <v>27</v>
      </c>
      <c r="H18" s="103"/>
      <c r="I18" s="116"/>
      <c r="J18" s="146">
        <f>G97</f>
        <v>113.73352701492537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28</v>
      </c>
      <c r="C20" s="119"/>
      <c r="D20" s="119"/>
      <c r="E20" s="315"/>
      <c r="F20" s="315"/>
      <c r="G20" s="121"/>
      <c r="H20" s="122"/>
      <c r="I20" s="132"/>
      <c r="J20" s="123"/>
      <c r="K20" s="16"/>
    </row>
    <row r="21" spans="2:11" s="3" customFormat="1" ht="18" customHeight="1">
      <c r="B21" s="223" t="s">
        <v>7</v>
      </c>
      <c r="C21" s="224"/>
      <c r="D21" s="224"/>
      <c r="E21" s="255" t="s">
        <v>39</v>
      </c>
      <c r="F21" s="254"/>
      <c r="G21" s="148" t="s">
        <v>5</v>
      </c>
      <c r="H21" s="149" t="s">
        <v>6</v>
      </c>
      <c r="I21" s="150" t="s">
        <v>47</v>
      </c>
      <c r="J21" s="151" t="s">
        <v>1</v>
      </c>
      <c r="K21" s="16"/>
    </row>
    <row r="22" spans="2:10" s="3" customFormat="1" ht="18">
      <c r="B22" s="187" t="s">
        <v>35</v>
      </c>
      <c r="C22" s="188"/>
      <c r="D22" s="189"/>
      <c r="E22" s="216" t="s">
        <v>92</v>
      </c>
      <c r="F22" s="213"/>
      <c r="G22" s="160">
        <v>7</v>
      </c>
      <c r="H22" s="153" t="s">
        <v>41</v>
      </c>
      <c r="I22" s="131">
        <v>12500</v>
      </c>
      <c r="J22" s="180">
        <f aca="true" t="shared" si="0" ref="J22:J29">G22*I22</f>
        <v>87500</v>
      </c>
    </row>
    <row r="23" spans="2:10" s="3" customFormat="1" ht="18">
      <c r="B23" s="166" t="s">
        <v>62</v>
      </c>
      <c r="C23" s="211"/>
      <c r="D23" s="212"/>
      <c r="E23" s="217" t="s">
        <v>93</v>
      </c>
      <c r="F23" s="214"/>
      <c r="G23" s="161">
        <v>2</v>
      </c>
      <c r="H23" s="155" t="s">
        <v>41</v>
      </c>
      <c r="I23" s="126">
        <v>12500</v>
      </c>
      <c r="J23" s="10">
        <f t="shared" si="0"/>
        <v>25000</v>
      </c>
    </row>
    <row r="24" spans="2:10" s="3" customFormat="1" ht="18">
      <c r="B24" s="182" t="s">
        <v>33</v>
      </c>
      <c r="C24" s="183"/>
      <c r="D24" s="184"/>
      <c r="E24" s="217" t="s">
        <v>65</v>
      </c>
      <c r="F24" s="214"/>
      <c r="G24" s="161">
        <v>3</v>
      </c>
      <c r="H24" s="155" t="s">
        <v>41</v>
      </c>
      <c r="I24" s="126">
        <v>12500</v>
      </c>
      <c r="J24" s="10">
        <f t="shared" si="0"/>
        <v>37500</v>
      </c>
    </row>
    <row r="25" spans="2:10" s="3" customFormat="1" ht="18">
      <c r="B25" s="182" t="s">
        <v>89</v>
      </c>
      <c r="C25" s="183"/>
      <c r="D25" s="184"/>
      <c r="E25" s="217" t="s">
        <v>64</v>
      </c>
      <c r="F25" s="214"/>
      <c r="G25" s="161">
        <v>2</v>
      </c>
      <c r="H25" s="155" t="s">
        <v>41</v>
      </c>
      <c r="I25" s="126">
        <v>12500</v>
      </c>
      <c r="J25" s="10">
        <f t="shared" si="0"/>
        <v>25000</v>
      </c>
    </row>
    <row r="26" spans="2:10" s="3" customFormat="1" ht="18">
      <c r="B26" s="182" t="s">
        <v>66</v>
      </c>
      <c r="C26" s="183"/>
      <c r="D26" s="184"/>
      <c r="E26" s="217" t="s">
        <v>94</v>
      </c>
      <c r="F26" s="214"/>
      <c r="G26" s="161">
        <v>4</v>
      </c>
      <c r="H26" s="155" t="s">
        <v>41</v>
      </c>
      <c r="I26" s="126">
        <v>12500</v>
      </c>
      <c r="J26" s="10">
        <f t="shared" si="0"/>
        <v>50000</v>
      </c>
    </row>
    <row r="27" spans="2:10" s="3" customFormat="1" ht="18">
      <c r="B27" s="182" t="s">
        <v>90</v>
      </c>
      <c r="C27" s="183"/>
      <c r="D27" s="184"/>
      <c r="E27" s="217" t="s">
        <v>94</v>
      </c>
      <c r="F27" s="214"/>
      <c r="G27" s="161">
        <v>3</v>
      </c>
      <c r="H27" s="155" t="s">
        <v>41</v>
      </c>
      <c r="I27" s="126">
        <v>12500</v>
      </c>
      <c r="J27" s="10">
        <f t="shared" si="0"/>
        <v>37500</v>
      </c>
    </row>
    <row r="28" spans="2:10" s="3" customFormat="1" ht="21">
      <c r="B28" s="182" t="s">
        <v>128</v>
      </c>
      <c r="C28" s="169"/>
      <c r="D28" s="210"/>
      <c r="E28" s="217" t="s">
        <v>95</v>
      </c>
      <c r="F28" s="214"/>
      <c r="G28" s="161">
        <v>33500</v>
      </c>
      <c r="H28" s="155" t="s">
        <v>44</v>
      </c>
      <c r="I28" s="126">
        <v>14</v>
      </c>
      <c r="J28" s="10">
        <f t="shared" si="0"/>
        <v>469000</v>
      </c>
    </row>
    <row r="29" spans="2:10" s="3" customFormat="1" ht="17.25" customHeight="1">
      <c r="B29" s="185" t="s">
        <v>91</v>
      </c>
      <c r="C29" s="130"/>
      <c r="D29" s="83"/>
      <c r="E29" s="218" t="s">
        <v>95</v>
      </c>
      <c r="F29" s="215"/>
      <c r="G29" s="163">
        <v>33500</v>
      </c>
      <c r="H29" s="157" t="s">
        <v>44</v>
      </c>
      <c r="I29" s="127">
        <v>2</v>
      </c>
      <c r="J29" s="181">
        <f t="shared" si="0"/>
        <v>67000</v>
      </c>
    </row>
    <row r="30" spans="2:11" ht="18">
      <c r="B30" s="228" t="s">
        <v>8</v>
      </c>
      <c r="C30" s="229"/>
      <c r="D30" s="229"/>
      <c r="E30" s="229"/>
      <c r="F30" s="229"/>
      <c r="G30" s="229"/>
      <c r="H30" s="229"/>
      <c r="I30" s="229"/>
      <c r="J30" s="104">
        <f>SUM(J22:J29)</f>
        <v>798500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223" t="s">
        <v>70</v>
      </c>
      <c r="C32" s="224"/>
      <c r="D32" s="224"/>
      <c r="E32" s="255" t="s">
        <v>39</v>
      </c>
      <c r="F32" s="255"/>
      <c r="G32" s="148" t="s">
        <v>5</v>
      </c>
      <c r="H32" s="149" t="s">
        <v>6</v>
      </c>
      <c r="I32" s="150" t="s">
        <v>47</v>
      </c>
      <c r="J32" s="151" t="s">
        <v>1</v>
      </c>
      <c r="K32" s="3"/>
    </row>
    <row r="33" spans="2:10" s="3" customFormat="1" ht="18">
      <c r="B33" s="186" t="s">
        <v>96</v>
      </c>
      <c r="C33" s="219"/>
      <c r="D33" s="220"/>
      <c r="E33" s="216" t="s">
        <v>63</v>
      </c>
      <c r="F33" s="213"/>
      <c r="G33" s="164">
        <v>2</v>
      </c>
      <c r="H33" s="152" t="s">
        <v>43</v>
      </c>
      <c r="I33" s="135">
        <v>30000</v>
      </c>
      <c r="J33" s="128">
        <f>I33*G33</f>
        <v>60000</v>
      </c>
    </row>
    <row r="34" spans="2:10" s="3" customFormat="1" ht="18">
      <c r="B34" s="182" t="s">
        <v>26</v>
      </c>
      <c r="C34" s="169"/>
      <c r="D34" s="210"/>
      <c r="E34" s="217" t="s">
        <v>63</v>
      </c>
      <c r="F34" s="214"/>
      <c r="G34" s="165">
        <v>2</v>
      </c>
      <c r="H34" s="154" t="s">
        <v>43</v>
      </c>
      <c r="I34" s="136">
        <v>25000</v>
      </c>
      <c r="J34" s="129">
        <f aca="true" t="shared" si="1" ref="J34:J42">I34*G34</f>
        <v>50000</v>
      </c>
    </row>
    <row r="35" spans="2:10" s="3" customFormat="1" ht="18">
      <c r="B35" s="182" t="s">
        <v>97</v>
      </c>
      <c r="C35" s="169"/>
      <c r="D35" s="210"/>
      <c r="E35" s="217" t="s">
        <v>63</v>
      </c>
      <c r="F35" s="214"/>
      <c r="G35" s="165">
        <v>1</v>
      </c>
      <c r="H35" s="154" t="s">
        <v>43</v>
      </c>
      <c r="I35" s="136">
        <v>80000</v>
      </c>
      <c r="J35" s="129">
        <f t="shared" si="1"/>
        <v>80000</v>
      </c>
    </row>
    <row r="36" spans="2:10" s="3" customFormat="1" ht="18">
      <c r="B36" s="182" t="s">
        <v>98</v>
      </c>
      <c r="C36" s="183"/>
      <c r="D36" s="184"/>
      <c r="E36" s="217" t="s">
        <v>68</v>
      </c>
      <c r="F36" s="214"/>
      <c r="G36" s="165">
        <v>2</v>
      </c>
      <c r="H36" s="154" t="s">
        <v>43</v>
      </c>
      <c r="I36" s="136">
        <v>5000</v>
      </c>
      <c r="J36" s="129">
        <f t="shared" si="1"/>
        <v>10000</v>
      </c>
    </row>
    <row r="37" spans="2:10" s="3" customFormat="1" ht="18">
      <c r="B37" s="182" t="s">
        <v>33</v>
      </c>
      <c r="C37" s="183"/>
      <c r="D37" s="184"/>
      <c r="E37" s="217" t="s">
        <v>65</v>
      </c>
      <c r="F37" s="214"/>
      <c r="G37" s="165">
        <v>1</v>
      </c>
      <c r="H37" s="154" t="s">
        <v>43</v>
      </c>
      <c r="I37" s="136">
        <v>50000</v>
      </c>
      <c r="J37" s="129">
        <f t="shared" si="1"/>
        <v>50000</v>
      </c>
    </row>
    <row r="38" spans="2:10" s="3" customFormat="1" ht="18">
      <c r="B38" s="182" t="s">
        <v>99</v>
      </c>
      <c r="C38" s="169"/>
      <c r="D38" s="210"/>
      <c r="E38" s="217" t="s">
        <v>67</v>
      </c>
      <c r="F38" s="214"/>
      <c r="G38" s="165">
        <v>3</v>
      </c>
      <c r="H38" s="154" t="s">
        <v>43</v>
      </c>
      <c r="I38" s="137">
        <v>10000</v>
      </c>
      <c r="J38" s="129">
        <f t="shared" si="1"/>
        <v>30000</v>
      </c>
    </row>
    <row r="39" spans="2:10" s="3" customFormat="1" ht="18">
      <c r="B39" s="182" t="s">
        <v>100</v>
      </c>
      <c r="C39" s="169"/>
      <c r="D39" s="210"/>
      <c r="E39" s="217" t="s">
        <v>68</v>
      </c>
      <c r="F39" s="214"/>
      <c r="G39" s="165">
        <v>2</v>
      </c>
      <c r="H39" s="154" t="s">
        <v>43</v>
      </c>
      <c r="I39" s="137">
        <v>25000</v>
      </c>
      <c r="J39" s="129">
        <f t="shared" si="1"/>
        <v>50000</v>
      </c>
    </row>
    <row r="40" spans="2:10" s="3" customFormat="1" ht="18">
      <c r="B40" s="182" t="s">
        <v>101</v>
      </c>
      <c r="C40" s="190"/>
      <c r="D40" s="190"/>
      <c r="E40" s="217" t="s">
        <v>104</v>
      </c>
      <c r="F40" s="214"/>
      <c r="G40" s="161">
        <v>1</v>
      </c>
      <c r="H40" s="154" t="s">
        <v>43</v>
      </c>
      <c r="I40" s="136">
        <v>25000</v>
      </c>
      <c r="J40" s="129">
        <f t="shared" si="1"/>
        <v>25000</v>
      </c>
    </row>
    <row r="41" spans="2:10" s="3" customFormat="1" ht="18">
      <c r="B41" s="182" t="s">
        <v>102</v>
      </c>
      <c r="C41" s="281"/>
      <c r="D41" s="281"/>
      <c r="E41" s="283" t="s">
        <v>105</v>
      </c>
      <c r="F41" s="284"/>
      <c r="G41" s="161">
        <v>33500</v>
      </c>
      <c r="H41" s="154" t="s">
        <v>44</v>
      </c>
      <c r="I41" s="285">
        <v>8</v>
      </c>
      <c r="J41" s="129">
        <f t="shared" si="1"/>
        <v>268000</v>
      </c>
    </row>
    <row r="42" spans="2:10" s="3" customFormat="1" ht="18">
      <c r="B42" s="182" t="s">
        <v>103</v>
      </c>
      <c r="C42" s="281"/>
      <c r="D42" s="281"/>
      <c r="E42" s="283" t="s">
        <v>105</v>
      </c>
      <c r="F42" s="284"/>
      <c r="G42" s="161">
        <v>33500</v>
      </c>
      <c r="H42" s="154" t="s">
        <v>44</v>
      </c>
      <c r="I42" s="285">
        <v>2</v>
      </c>
      <c r="J42" s="129">
        <f t="shared" si="1"/>
        <v>67000</v>
      </c>
    </row>
    <row r="43" spans="2:12" ht="15.75" customHeight="1">
      <c r="B43" s="228" t="s">
        <v>10</v>
      </c>
      <c r="C43" s="229"/>
      <c r="D43" s="229"/>
      <c r="E43" s="229"/>
      <c r="F43" s="229"/>
      <c r="G43" s="229"/>
      <c r="H43" s="229"/>
      <c r="I43" s="229"/>
      <c r="J43" s="104">
        <f>SUM(J33:J42)</f>
        <v>690000</v>
      </c>
      <c r="K43" s="3"/>
      <c r="L43" s="16"/>
    </row>
    <row r="44" spans="2:12" s="3" customFormat="1" ht="18">
      <c r="B44" s="84"/>
      <c r="C44" s="84"/>
      <c r="D44" s="84"/>
      <c r="E44" s="84"/>
      <c r="F44" s="84"/>
      <c r="G44" s="25"/>
      <c r="H44" s="84"/>
      <c r="I44" s="84"/>
      <c r="J44" s="27"/>
      <c r="L44" s="19"/>
    </row>
    <row r="45" spans="2:12" s="3" customFormat="1" ht="18" customHeight="1">
      <c r="B45" s="223" t="s">
        <v>72</v>
      </c>
      <c r="C45" s="224"/>
      <c r="D45" s="224"/>
      <c r="E45" s="255" t="s">
        <v>39</v>
      </c>
      <c r="F45" s="255"/>
      <c r="G45" s="148" t="s">
        <v>5</v>
      </c>
      <c r="H45" s="149" t="s">
        <v>6</v>
      </c>
      <c r="I45" s="150" t="s">
        <v>47</v>
      </c>
      <c r="J45" s="151" t="s">
        <v>1</v>
      </c>
      <c r="L45" s="24"/>
    </row>
    <row r="46" spans="2:12" s="3" customFormat="1" ht="18">
      <c r="B46" s="286" t="s">
        <v>106</v>
      </c>
      <c r="C46" s="174"/>
      <c r="D46" s="174"/>
      <c r="E46" s="258" t="s">
        <v>65</v>
      </c>
      <c r="F46" s="259"/>
      <c r="G46" s="179">
        <v>2800</v>
      </c>
      <c r="H46" s="158" t="s">
        <v>44</v>
      </c>
      <c r="I46" s="128">
        <v>300</v>
      </c>
      <c r="J46" s="128">
        <f>G46*I46</f>
        <v>840000</v>
      </c>
      <c r="L46" s="24"/>
    </row>
    <row r="47" spans="2:12" s="3" customFormat="1" ht="18">
      <c r="B47" s="167" t="s">
        <v>24</v>
      </c>
      <c r="C47" s="173"/>
      <c r="D47" s="173"/>
      <c r="E47" s="260"/>
      <c r="F47" s="261"/>
      <c r="G47" s="175"/>
      <c r="H47" s="159"/>
      <c r="I47" s="129"/>
      <c r="J47" s="129">
        <f aca="true" t="shared" si="2" ref="J47:J64">G47*I47</f>
        <v>0</v>
      </c>
      <c r="L47" s="24"/>
    </row>
    <row r="48" spans="2:12" s="3" customFormat="1" ht="18">
      <c r="B48" s="288" t="s">
        <v>107</v>
      </c>
      <c r="C48" s="171"/>
      <c r="D48" s="171"/>
      <c r="E48" s="260" t="s">
        <v>65</v>
      </c>
      <c r="F48" s="261"/>
      <c r="G48" s="162">
        <v>1300</v>
      </c>
      <c r="H48" s="156" t="s">
        <v>44</v>
      </c>
      <c r="I48" s="129">
        <v>412</v>
      </c>
      <c r="J48" s="129">
        <f t="shared" si="2"/>
        <v>535600</v>
      </c>
      <c r="L48" s="24"/>
    </row>
    <row r="49" spans="2:12" s="3" customFormat="1" ht="18">
      <c r="B49" s="288" t="s">
        <v>108</v>
      </c>
      <c r="C49" s="141"/>
      <c r="D49" s="141"/>
      <c r="E49" s="260" t="s">
        <v>119</v>
      </c>
      <c r="F49" s="261"/>
      <c r="G49" s="162">
        <v>400</v>
      </c>
      <c r="H49" s="156" t="s">
        <v>44</v>
      </c>
      <c r="I49" s="129">
        <v>242</v>
      </c>
      <c r="J49" s="129">
        <f t="shared" si="2"/>
        <v>96800</v>
      </c>
      <c r="L49" s="24"/>
    </row>
    <row r="50" spans="2:12" s="3" customFormat="1" ht="18">
      <c r="B50" s="167" t="s">
        <v>58</v>
      </c>
      <c r="C50" s="141"/>
      <c r="D50" s="141"/>
      <c r="E50" s="260"/>
      <c r="F50" s="261"/>
      <c r="G50" s="162"/>
      <c r="H50" s="156"/>
      <c r="I50" s="129"/>
      <c r="J50" s="129">
        <f t="shared" si="2"/>
        <v>0</v>
      </c>
      <c r="L50" s="24"/>
    </row>
    <row r="51" spans="2:12" s="3" customFormat="1" ht="18">
      <c r="B51" s="288" t="s">
        <v>109</v>
      </c>
      <c r="C51" s="141"/>
      <c r="D51" s="141"/>
      <c r="E51" s="260" t="s">
        <v>120</v>
      </c>
      <c r="F51" s="261"/>
      <c r="G51" s="162">
        <v>0.5</v>
      </c>
      <c r="H51" s="156" t="s">
        <v>45</v>
      </c>
      <c r="I51" s="129">
        <v>80500</v>
      </c>
      <c r="J51" s="129">
        <f t="shared" si="2"/>
        <v>40250</v>
      </c>
      <c r="L51" s="24"/>
    </row>
    <row r="52" spans="2:12" s="3" customFormat="1" ht="18">
      <c r="B52" s="288" t="s">
        <v>110</v>
      </c>
      <c r="C52" s="141"/>
      <c r="D52" s="141"/>
      <c r="E52" s="260" t="s">
        <v>120</v>
      </c>
      <c r="F52" s="261"/>
      <c r="G52" s="162">
        <v>1.5</v>
      </c>
      <c r="H52" s="156" t="s">
        <v>44</v>
      </c>
      <c r="I52" s="129">
        <v>18500</v>
      </c>
      <c r="J52" s="129">
        <f t="shared" si="2"/>
        <v>27750</v>
      </c>
      <c r="L52" s="24"/>
    </row>
    <row r="53" spans="2:12" s="3" customFormat="1" ht="18">
      <c r="B53" s="167" t="s">
        <v>25</v>
      </c>
      <c r="C53" s="141"/>
      <c r="D53" s="141"/>
      <c r="E53" s="260"/>
      <c r="F53" s="261"/>
      <c r="G53" s="162"/>
      <c r="H53" s="156"/>
      <c r="I53" s="129"/>
      <c r="J53" s="129">
        <f t="shared" si="2"/>
        <v>0</v>
      </c>
      <c r="L53" s="24"/>
    </row>
    <row r="54" spans="2:12" s="3" customFormat="1" ht="18">
      <c r="B54" s="288" t="s">
        <v>111</v>
      </c>
      <c r="C54" s="141"/>
      <c r="D54" s="141"/>
      <c r="E54" s="260" t="s">
        <v>120</v>
      </c>
      <c r="F54" s="261"/>
      <c r="G54" s="162">
        <v>0.5</v>
      </c>
      <c r="H54" s="156" t="s">
        <v>45</v>
      </c>
      <c r="I54" s="129">
        <v>29500</v>
      </c>
      <c r="J54" s="129">
        <f t="shared" si="2"/>
        <v>14750</v>
      </c>
      <c r="L54" s="24"/>
    </row>
    <row r="55" spans="2:12" s="3" customFormat="1" ht="18">
      <c r="B55" s="167" t="s">
        <v>57</v>
      </c>
      <c r="C55" s="141"/>
      <c r="D55" s="141"/>
      <c r="E55" s="260"/>
      <c r="F55" s="261"/>
      <c r="G55" s="162"/>
      <c r="H55" s="156"/>
      <c r="I55" s="129"/>
      <c r="J55" s="129">
        <f t="shared" si="2"/>
        <v>0</v>
      </c>
      <c r="L55" s="24"/>
    </row>
    <row r="56" spans="2:12" s="3" customFormat="1" ht="18">
      <c r="B56" s="288" t="s">
        <v>112</v>
      </c>
      <c r="C56" s="141"/>
      <c r="D56" s="141"/>
      <c r="E56" s="260" t="s">
        <v>121</v>
      </c>
      <c r="F56" s="261"/>
      <c r="G56" s="162">
        <v>2</v>
      </c>
      <c r="H56" s="156" t="s">
        <v>45</v>
      </c>
      <c r="I56" s="129">
        <v>4595</v>
      </c>
      <c r="J56" s="129">
        <f t="shared" si="2"/>
        <v>9190</v>
      </c>
      <c r="L56" s="24"/>
    </row>
    <row r="57" spans="2:12" s="3" customFormat="1" ht="18">
      <c r="B57" s="288" t="s">
        <v>113</v>
      </c>
      <c r="C57" s="141"/>
      <c r="D57" s="141"/>
      <c r="E57" s="260" t="s">
        <v>68</v>
      </c>
      <c r="F57" s="261"/>
      <c r="G57" s="162">
        <v>1</v>
      </c>
      <c r="H57" s="156" t="s">
        <v>45</v>
      </c>
      <c r="I57" s="129">
        <v>28500</v>
      </c>
      <c r="J57" s="129">
        <f t="shared" si="2"/>
        <v>28500</v>
      </c>
      <c r="L57" s="24"/>
    </row>
    <row r="58" spans="2:12" s="3" customFormat="1" ht="18">
      <c r="B58" s="167" t="s">
        <v>114</v>
      </c>
      <c r="C58" s="141"/>
      <c r="D58" s="141"/>
      <c r="E58" s="260"/>
      <c r="F58" s="261"/>
      <c r="G58" s="162"/>
      <c r="H58" s="156"/>
      <c r="I58" s="129"/>
      <c r="J58" s="129">
        <f t="shared" si="2"/>
        <v>0</v>
      </c>
      <c r="L58" s="24"/>
    </row>
    <row r="59" spans="2:12" s="3" customFormat="1" ht="18">
      <c r="B59" s="287" t="s">
        <v>36</v>
      </c>
      <c r="C59" s="172"/>
      <c r="D59" s="172"/>
      <c r="E59" s="260" t="s">
        <v>122</v>
      </c>
      <c r="F59" s="261"/>
      <c r="G59" s="162">
        <v>4</v>
      </c>
      <c r="H59" s="156" t="s">
        <v>45</v>
      </c>
      <c r="I59" s="129">
        <v>5500</v>
      </c>
      <c r="J59" s="129">
        <f t="shared" si="2"/>
        <v>22000</v>
      </c>
      <c r="L59" s="24"/>
    </row>
    <row r="60" spans="2:12" s="3" customFormat="1" ht="18">
      <c r="B60" s="289" t="s">
        <v>115</v>
      </c>
      <c r="C60" s="26"/>
      <c r="D60" s="168"/>
      <c r="E60" s="260"/>
      <c r="F60" s="261"/>
      <c r="G60" s="162"/>
      <c r="H60" s="156"/>
      <c r="I60" s="129"/>
      <c r="J60" s="129">
        <f t="shared" si="2"/>
        <v>0</v>
      </c>
      <c r="L60" s="24"/>
    </row>
    <row r="61" spans="2:12" s="3" customFormat="1" ht="18">
      <c r="B61" s="288" t="s">
        <v>116</v>
      </c>
      <c r="C61" s="26"/>
      <c r="D61" s="178"/>
      <c r="E61" s="260" t="s">
        <v>92</v>
      </c>
      <c r="F61" s="261"/>
      <c r="G61" s="162">
        <v>1</v>
      </c>
      <c r="H61" s="156" t="s">
        <v>43</v>
      </c>
      <c r="I61" s="129">
        <v>150000</v>
      </c>
      <c r="J61" s="129">
        <f t="shared" si="2"/>
        <v>150000</v>
      </c>
      <c r="L61" s="24"/>
    </row>
    <row r="62" spans="2:12" s="3" customFormat="1" ht="18">
      <c r="B62" s="288" t="s">
        <v>117</v>
      </c>
      <c r="C62" s="26"/>
      <c r="D62" s="178"/>
      <c r="E62" s="260" t="s">
        <v>105</v>
      </c>
      <c r="F62" s="261"/>
      <c r="G62" s="162">
        <v>1340</v>
      </c>
      <c r="H62" s="156" t="s">
        <v>42</v>
      </c>
      <c r="I62" s="129">
        <v>120</v>
      </c>
      <c r="J62" s="129">
        <f t="shared" si="2"/>
        <v>160800</v>
      </c>
      <c r="L62" s="24"/>
    </row>
    <row r="63" spans="2:12" s="3" customFormat="1" ht="18">
      <c r="B63" s="287" t="s">
        <v>118</v>
      </c>
      <c r="C63" s="172"/>
      <c r="D63" s="172"/>
      <c r="E63" s="260" t="s">
        <v>105</v>
      </c>
      <c r="F63" s="261"/>
      <c r="G63" s="162">
        <v>3</v>
      </c>
      <c r="H63" s="156" t="s">
        <v>42</v>
      </c>
      <c r="I63" s="129">
        <v>4500</v>
      </c>
      <c r="J63" s="129">
        <f t="shared" si="2"/>
        <v>13500</v>
      </c>
      <c r="L63" s="24"/>
    </row>
    <row r="64" spans="2:12" s="3" customFormat="1" ht="21">
      <c r="B64" s="287" t="s">
        <v>129</v>
      </c>
      <c r="C64" s="169"/>
      <c r="D64" s="169"/>
      <c r="E64" s="260" t="s">
        <v>105</v>
      </c>
      <c r="F64" s="261"/>
      <c r="G64" s="175">
        <v>1</v>
      </c>
      <c r="H64" s="159" t="s">
        <v>123</v>
      </c>
      <c r="I64" s="129">
        <v>20000</v>
      </c>
      <c r="J64" s="129">
        <f t="shared" si="2"/>
        <v>20000</v>
      </c>
      <c r="L64" s="24"/>
    </row>
    <row r="65" spans="2:14" ht="18">
      <c r="B65" s="221" t="s">
        <v>11</v>
      </c>
      <c r="C65" s="222"/>
      <c r="D65" s="222"/>
      <c r="E65" s="222"/>
      <c r="F65" s="222"/>
      <c r="G65" s="222"/>
      <c r="H65" s="222"/>
      <c r="I65" s="222"/>
      <c r="J65" s="124">
        <f>SUM(J46:J64)</f>
        <v>1959140</v>
      </c>
      <c r="K65" s="16"/>
      <c r="M65" s="16"/>
      <c r="N65" s="16"/>
    </row>
    <row r="66" spans="2:14" s="3" customFormat="1" ht="18">
      <c r="B66" s="29"/>
      <c r="C66" s="29"/>
      <c r="D66" s="29"/>
      <c r="E66" s="29"/>
      <c r="F66" s="29"/>
      <c r="G66" s="30"/>
      <c r="H66" s="29"/>
      <c r="I66" s="29"/>
      <c r="J66" s="31"/>
      <c r="K66" s="16"/>
      <c r="M66" s="16"/>
      <c r="N66" s="16"/>
    </row>
    <row r="67" spans="2:16" ht="18" customHeight="1">
      <c r="B67" s="223" t="s">
        <v>48</v>
      </c>
      <c r="C67" s="224"/>
      <c r="D67" s="224"/>
      <c r="E67" s="253"/>
      <c r="F67" s="253"/>
      <c r="G67" s="148" t="s">
        <v>5</v>
      </c>
      <c r="H67" s="149" t="s">
        <v>6</v>
      </c>
      <c r="I67" s="150"/>
      <c r="J67" s="151" t="s">
        <v>1</v>
      </c>
      <c r="K67" s="16"/>
      <c r="M67" s="16"/>
      <c r="N67" s="16"/>
      <c r="O67" s="9"/>
      <c r="P67" s="9"/>
    </row>
    <row r="68" spans="2:14" s="3" customFormat="1" ht="18">
      <c r="B68" s="274" t="s">
        <v>56</v>
      </c>
      <c r="C68" s="275"/>
      <c r="D68" s="276"/>
      <c r="E68" s="277"/>
      <c r="F68" s="278"/>
      <c r="G68" s="282">
        <v>0.05</v>
      </c>
      <c r="H68" s="279" t="s">
        <v>40</v>
      </c>
      <c r="I68" s="280"/>
      <c r="J68" s="280">
        <f>(J30+J43+J65)*G68</f>
        <v>172382</v>
      </c>
      <c r="K68" s="16"/>
      <c r="M68" s="16"/>
      <c r="N68" s="16"/>
    </row>
    <row r="69" spans="11:14" s="3" customFormat="1" ht="18">
      <c r="K69" s="16"/>
      <c r="M69" s="16"/>
      <c r="N69" s="16"/>
    </row>
    <row r="70" spans="2:14" s="3" customFormat="1" ht="18">
      <c r="B70" s="225" t="s">
        <v>49</v>
      </c>
      <c r="C70" s="226"/>
      <c r="D70" s="226"/>
      <c r="E70" s="226"/>
      <c r="F70" s="226"/>
      <c r="G70" s="226"/>
      <c r="H70" s="226"/>
      <c r="I70" s="226"/>
      <c r="J70" s="104">
        <f>J30+J43+J65+J68</f>
        <v>3620022</v>
      </c>
      <c r="K70" s="16"/>
      <c r="M70" s="16"/>
      <c r="N70" s="16"/>
    </row>
    <row r="71" spans="2:14" s="3" customFormat="1" ht="18">
      <c r="B71" s="133"/>
      <c r="C71" s="133"/>
      <c r="D71" s="133"/>
      <c r="E71" s="133"/>
      <c r="F71" s="133"/>
      <c r="G71" s="32"/>
      <c r="H71" s="133"/>
      <c r="I71" s="133"/>
      <c r="J71" s="27"/>
      <c r="K71" s="16"/>
      <c r="M71" s="16"/>
      <c r="N71" s="16"/>
    </row>
    <row r="72" spans="2:14" s="3" customFormat="1" ht="20.25">
      <c r="B72" s="120" t="s">
        <v>51</v>
      </c>
      <c r="C72" s="119"/>
      <c r="D72" s="119"/>
      <c r="E72" s="20"/>
      <c r="F72" s="20"/>
      <c r="G72" s="21"/>
      <c r="H72" s="22"/>
      <c r="I72" s="23"/>
      <c r="J72" s="23"/>
      <c r="K72" s="16"/>
      <c r="M72" s="16"/>
      <c r="N72" s="16"/>
    </row>
    <row r="73" spans="2:14" s="3" customFormat="1" ht="18" customHeight="1">
      <c r="B73" s="271" t="s">
        <v>32</v>
      </c>
      <c r="C73" s="253"/>
      <c r="D73" s="253"/>
      <c r="E73" s="253"/>
      <c r="F73" s="253"/>
      <c r="G73" s="148" t="s">
        <v>5</v>
      </c>
      <c r="H73" s="149" t="s">
        <v>6</v>
      </c>
      <c r="I73" s="150"/>
      <c r="J73" s="151" t="s">
        <v>1</v>
      </c>
      <c r="K73" s="16"/>
      <c r="M73" s="16"/>
      <c r="N73" s="16"/>
    </row>
    <row r="74" spans="2:15" s="3" customFormat="1" ht="18" customHeight="1">
      <c r="B74" s="227" t="s">
        <v>73</v>
      </c>
      <c r="C74" s="203"/>
      <c r="D74" s="203"/>
      <c r="E74" s="256"/>
      <c r="F74" s="257"/>
      <c r="G74" s="176">
        <f>E16</f>
        <v>0.015</v>
      </c>
      <c r="H74" s="177" t="s">
        <v>40</v>
      </c>
      <c r="I74" s="205"/>
      <c r="J74" s="11">
        <f>J70*E16*E17*0.5</f>
        <v>190051.15499999997</v>
      </c>
      <c r="K74" s="16"/>
      <c r="L74" s="319"/>
      <c r="M74" s="319"/>
      <c r="N74" s="319"/>
      <c r="O74" s="319"/>
    </row>
    <row r="75" spans="2:18" ht="18" customHeight="1" outlineLevel="1">
      <c r="B75" s="182" t="s">
        <v>78</v>
      </c>
      <c r="C75" s="169"/>
      <c r="D75" s="169"/>
      <c r="E75" s="201"/>
      <c r="F75" s="195"/>
      <c r="G75" s="196"/>
      <c r="H75" s="203"/>
      <c r="I75" s="206"/>
      <c r="J75" s="197"/>
      <c r="L75"/>
      <c r="M75"/>
      <c r="N75"/>
      <c r="O75"/>
      <c r="P75"/>
      <c r="Q75"/>
      <c r="R75"/>
    </row>
    <row r="76" spans="2:18" ht="18" customHeight="1" outlineLevel="1">
      <c r="B76" s="182" t="s">
        <v>79</v>
      </c>
      <c r="C76" s="169"/>
      <c r="D76" s="169"/>
      <c r="E76" s="201"/>
      <c r="F76" s="195"/>
      <c r="G76" s="196"/>
      <c r="H76" s="203"/>
      <c r="I76" s="206"/>
      <c r="J76" s="197"/>
      <c r="L76"/>
      <c r="M76"/>
      <c r="N76"/>
      <c r="O76"/>
      <c r="P76"/>
      <c r="Q76"/>
      <c r="R76"/>
    </row>
    <row r="77" spans="2:18" ht="18" customHeight="1" outlineLevel="1">
      <c r="B77" s="185" t="s">
        <v>80</v>
      </c>
      <c r="C77" s="130"/>
      <c r="D77" s="130"/>
      <c r="E77" s="202"/>
      <c r="F77" s="198"/>
      <c r="G77" s="199"/>
      <c r="H77" s="204"/>
      <c r="I77" s="207"/>
      <c r="J77" s="200"/>
      <c r="L77"/>
      <c r="M77"/>
      <c r="N77"/>
      <c r="O77"/>
      <c r="P77"/>
      <c r="Q77"/>
      <c r="R77"/>
    </row>
    <row r="78" spans="2:14" ht="18">
      <c r="B78" s="228" t="s">
        <v>29</v>
      </c>
      <c r="C78" s="229"/>
      <c r="D78" s="229"/>
      <c r="E78" s="229"/>
      <c r="F78" s="229"/>
      <c r="G78" s="229"/>
      <c r="H78" s="229"/>
      <c r="I78" s="229"/>
      <c r="J78" s="104">
        <f>SUM(J74:J77)</f>
        <v>190051.15499999997</v>
      </c>
      <c r="K78" s="16"/>
      <c r="M78" s="16"/>
      <c r="N78" s="16"/>
    </row>
    <row r="79" spans="2:12" s="3" customFormat="1" ht="18">
      <c r="B79" s="84"/>
      <c r="C79" s="84"/>
      <c r="D79" s="84"/>
      <c r="E79" s="84"/>
      <c r="F79" s="84"/>
      <c r="G79" s="25"/>
      <c r="H79" s="84"/>
      <c r="I79" s="84"/>
      <c r="J79" s="27"/>
      <c r="K79" s="16"/>
      <c r="L79" s="16"/>
    </row>
    <row r="80" spans="2:12" ht="18">
      <c r="B80" s="230" t="s">
        <v>13</v>
      </c>
      <c r="C80" s="231"/>
      <c r="D80" s="231"/>
      <c r="E80" s="231"/>
      <c r="F80" s="231"/>
      <c r="G80" s="231"/>
      <c r="H80" s="231"/>
      <c r="I80" s="231"/>
      <c r="J80" s="234">
        <f>J70+J78</f>
        <v>3810073.155</v>
      </c>
      <c r="K80" s="16"/>
      <c r="L80" s="16"/>
    </row>
    <row r="81" spans="2:12" s="3" customFormat="1" ht="18">
      <c r="B81" s="232"/>
      <c r="C81" s="233"/>
      <c r="D81" s="233"/>
      <c r="E81" s="233"/>
      <c r="F81" s="233"/>
      <c r="G81" s="233"/>
      <c r="H81" s="233"/>
      <c r="I81" s="233"/>
      <c r="J81" s="235"/>
      <c r="K81" s="16"/>
      <c r="L81" s="16"/>
    </row>
    <row r="82" spans="2:12" s="3" customFormat="1" ht="18" customHeight="1">
      <c r="B82" s="139"/>
      <c r="C82" s="139"/>
      <c r="D82" s="139"/>
      <c r="E82" s="139"/>
      <c r="F82" s="139"/>
      <c r="G82" s="139"/>
      <c r="H82" s="139"/>
      <c r="I82" s="139"/>
      <c r="J82" s="140"/>
      <c r="K82" s="16"/>
      <c r="L82" s="16"/>
    </row>
    <row r="83" spans="2:12" s="3" customFormat="1" ht="18" customHeight="1">
      <c r="B83" s="139"/>
      <c r="C83" s="139"/>
      <c r="D83" s="139"/>
      <c r="E83" s="139"/>
      <c r="F83" s="139"/>
      <c r="G83" s="139"/>
      <c r="H83" s="139"/>
      <c r="I83" s="139"/>
      <c r="J83" s="140"/>
      <c r="K83" s="16"/>
      <c r="L83" s="16"/>
    </row>
    <row r="84" spans="2:12" s="3" customFormat="1" ht="18" customHeight="1">
      <c r="B84" s="139"/>
      <c r="C84" s="139"/>
      <c r="D84" s="139"/>
      <c r="E84" s="139"/>
      <c r="F84" s="139"/>
      <c r="G84" s="139"/>
      <c r="H84" s="139"/>
      <c r="I84" s="139"/>
      <c r="J84" s="140"/>
      <c r="K84" s="16"/>
      <c r="L84" s="16"/>
    </row>
    <row r="85" spans="2:12" ht="18" customHeight="1">
      <c r="B85" s="330" t="s">
        <v>74</v>
      </c>
      <c r="C85" s="331"/>
      <c r="D85" s="331"/>
      <c r="E85" s="331"/>
      <c r="F85" s="331"/>
      <c r="G85" s="331"/>
      <c r="H85" s="331"/>
      <c r="I85" s="331"/>
      <c r="J85" s="332"/>
      <c r="K85" s="16"/>
      <c r="L85" s="24"/>
    </row>
    <row r="86" spans="2:12" ht="18" customHeight="1">
      <c r="B86" s="299" t="s">
        <v>46</v>
      </c>
      <c r="C86" s="300"/>
      <c r="D86" s="300"/>
      <c r="E86" s="300"/>
      <c r="F86" s="300"/>
      <c r="G86" s="300"/>
      <c r="H86" s="300"/>
      <c r="I86" s="300"/>
      <c r="J86" s="301"/>
      <c r="K86" s="16"/>
      <c r="L86" s="24"/>
    </row>
    <row r="87" spans="2:12" s="3" customFormat="1" ht="18" customHeight="1">
      <c r="B87" s="267" t="s">
        <v>124</v>
      </c>
      <c r="C87" s="262"/>
      <c r="D87" s="263"/>
      <c r="E87" s="304" t="s">
        <v>132</v>
      </c>
      <c r="F87" s="305"/>
      <c r="G87" s="305"/>
      <c r="H87" s="305"/>
      <c r="I87" s="305"/>
      <c r="J87" s="306"/>
      <c r="K87" s="16"/>
      <c r="L87" s="24"/>
    </row>
    <row r="88" spans="2:12" s="3" customFormat="1" ht="18" customHeight="1">
      <c r="B88" s="264"/>
      <c r="C88" s="265"/>
      <c r="D88" s="266"/>
      <c r="E88" s="333">
        <f>G88*0.9</f>
        <v>140.4</v>
      </c>
      <c r="F88" s="334"/>
      <c r="G88" s="335">
        <f>E14</f>
        <v>156</v>
      </c>
      <c r="H88" s="336"/>
      <c r="I88" s="333">
        <f>G88*1.1</f>
        <v>171.60000000000002</v>
      </c>
      <c r="J88" s="334"/>
      <c r="K88" s="16"/>
      <c r="L88" s="24"/>
    </row>
    <row r="89" spans="2:12" s="3" customFormat="1" ht="18" customHeight="1">
      <c r="B89" s="236"/>
      <c r="C89" s="238">
        <f>+C90*0.9</f>
        <v>30150</v>
      </c>
      <c r="D89" s="237"/>
      <c r="E89" s="302">
        <f>E$88*$C$89-$J$80</f>
        <v>422986.8450000002</v>
      </c>
      <c r="F89" s="303"/>
      <c r="G89" s="302">
        <f>G$88*$C$89-$J$80</f>
        <v>893326.8450000002</v>
      </c>
      <c r="H89" s="303"/>
      <c r="I89" s="302">
        <f>I$88*$C$89-$J$80</f>
        <v>1363666.8450000011</v>
      </c>
      <c r="J89" s="303"/>
      <c r="K89" s="16"/>
      <c r="L89" s="24"/>
    </row>
    <row r="90" spans="2:12" s="3" customFormat="1" ht="18" customHeight="1">
      <c r="B90" s="236"/>
      <c r="C90" s="238">
        <f>+E13</f>
        <v>33500</v>
      </c>
      <c r="D90" s="237"/>
      <c r="E90" s="302">
        <f>E$88*$C$90-$J$80</f>
        <v>893326.8450000002</v>
      </c>
      <c r="F90" s="303"/>
      <c r="G90" s="302">
        <f>G$88*$C$90-$J$80</f>
        <v>1415926.8450000002</v>
      </c>
      <c r="H90" s="303"/>
      <c r="I90" s="302">
        <f>I$88*$C$90-$J$80</f>
        <v>1938526.8450000011</v>
      </c>
      <c r="J90" s="303"/>
      <c r="K90" s="16"/>
      <c r="L90" s="24"/>
    </row>
    <row r="91" spans="2:12" s="3" customFormat="1" ht="18" customHeight="1">
      <c r="B91" s="236"/>
      <c r="C91" s="238">
        <f>+C90*1.1</f>
        <v>36850</v>
      </c>
      <c r="D91" s="237"/>
      <c r="E91" s="302">
        <f>E$88*$C$91-$J$80</f>
        <v>1363666.8450000002</v>
      </c>
      <c r="F91" s="303"/>
      <c r="G91" s="302">
        <f>G$88*$C$91-$J$80</f>
        <v>1938526.8450000002</v>
      </c>
      <c r="H91" s="303"/>
      <c r="I91" s="302">
        <f>I$88*$C$91-$J$80</f>
        <v>2513386.845000001</v>
      </c>
      <c r="J91" s="303"/>
      <c r="K91" s="16"/>
      <c r="L91" s="24"/>
    </row>
    <row r="92" spans="2:12" s="3" customFormat="1" ht="18" customHeight="1">
      <c r="B92" s="34"/>
      <c r="C92" s="34"/>
      <c r="D92" s="35"/>
      <c r="E92" s="35"/>
      <c r="F92" s="35"/>
      <c r="G92" s="36"/>
      <c r="H92" s="12"/>
      <c r="I92" s="15"/>
      <c r="J92" s="15"/>
      <c r="K92" s="16"/>
      <c r="L92" s="24"/>
    </row>
    <row r="93" spans="2:12" s="3" customFormat="1" ht="18" customHeight="1">
      <c r="B93" s="296" t="s">
        <v>126</v>
      </c>
      <c r="C93" s="297"/>
      <c r="D93" s="297"/>
      <c r="E93" s="297"/>
      <c r="F93" s="297"/>
      <c r="G93" s="297"/>
      <c r="H93" s="297"/>
      <c r="I93" s="297"/>
      <c r="J93" s="298"/>
      <c r="K93" s="16"/>
      <c r="L93" s="24"/>
    </row>
    <row r="94" spans="2:12" s="3" customFormat="1" ht="18" customHeight="1">
      <c r="B94" s="268"/>
      <c r="C94" s="269"/>
      <c r="D94" s="269"/>
      <c r="E94" s="269"/>
      <c r="F94" s="269"/>
      <c r="G94" s="269"/>
      <c r="H94" s="269"/>
      <c r="I94" s="269"/>
      <c r="J94" s="270"/>
      <c r="K94" s="16"/>
      <c r="L94" s="24"/>
    </row>
    <row r="95" spans="2:12" s="3" customFormat="1" ht="18" customHeight="1">
      <c r="B95" s="239" t="s">
        <v>124</v>
      </c>
      <c r="C95" s="240"/>
      <c r="D95" s="240"/>
      <c r="E95" s="192">
        <f>C89</f>
        <v>30150</v>
      </c>
      <c r="F95" s="240"/>
      <c r="G95" s="192">
        <f>E13</f>
        <v>33500</v>
      </c>
      <c r="H95" s="240"/>
      <c r="I95" s="192">
        <f>C91</f>
        <v>36850</v>
      </c>
      <c r="J95" s="247"/>
      <c r="K95" s="16"/>
      <c r="L95" s="24"/>
    </row>
    <row r="96" spans="2:12" ht="18" customHeight="1">
      <c r="B96" s="241"/>
      <c r="C96" s="242"/>
      <c r="D96" s="242"/>
      <c r="E96" s="193"/>
      <c r="F96" s="242"/>
      <c r="G96" s="193"/>
      <c r="H96" s="242"/>
      <c r="I96" s="193"/>
      <c r="J96" s="248"/>
      <c r="K96" s="16"/>
      <c r="L96" s="24"/>
    </row>
    <row r="97" spans="2:12" ht="18" customHeight="1">
      <c r="B97" s="243" t="s">
        <v>125</v>
      </c>
      <c r="C97" s="244"/>
      <c r="D97" s="244"/>
      <c r="E97" s="191">
        <f>$J$80/E95</f>
        <v>126.37058557213929</v>
      </c>
      <c r="F97" s="249"/>
      <c r="G97" s="191">
        <f>$J$80/G95</f>
        <v>113.73352701492537</v>
      </c>
      <c r="H97" s="249"/>
      <c r="I97" s="191">
        <f>$J$80/I95</f>
        <v>103.39411546811397</v>
      </c>
      <c r="J97" s="251"/>
      <c r="K97" s="16"/>
      <c r="L97" s="24"/>
    </row>
    <row r="98" spans="2:12" ht="18" customHeight="1">
      <c r="B98" s="245"/>
      <c r="C98" s="246"/>
      <c r="D98" s="246"/>
      <c r="E98" s="250"/>
      <c r="F98" s="250"/>
      <c r="G98" s="250"/>
      <c r="H98" s="250"/>
      <c r="I98" s="250"/>
      <c r="J98" s="252"/>
      <c r="K98" s="16"/>
      <c r="L98" s="24"/>
    </row>
    <row r="99" spans="2:12" ht="18" customHeight="1">
      <c r="B99" s="46"/>
      <c r="C99" s="1"/>
      <c r="D99" s="3"/>
      <c r="E99" s="3"/>
      <c r="F99" s="105"/>
      <c r="G99" s="105"/>
      <c r="H99" s="105"/>
      <c r="I99" s="15"/>
      <c r="J99" s="15"/>
      <c r="K99" s="16"/>
      <c r="L99" s="24"/>
    </row>
    <row r="100" spans="2:11" s="3" customFormat="1" ht="18" customHeight="1">
      <c r="B100" s="320" t="s">
        <v>15</v>
      </c>
      <c r="C100" s="321"/>
      <c r="D100" s="321"/>
      <c r="E100" s="321"/>
      <c r="F100" s="321"/>
      <c r="G100" s="321"/>
      <c r="H100" s="321"/>
      <c r="I100" s="321"/>
      <c r="J100" s="322"/>
      <c r="K100" s="80"/>
    </row>
    <row r="101" spans="2:14" s="3" customFormat="1" ht="18">
      <c r="B101" s="293" t="s">
        <v>130</v>
      </c>
      <c r="C101" s="294"/>
      <c r="D101" s="294"/>
      <c r="E101" s="294"/>
      <c r="F101" s="294"/>
      <c r="G101" s="294"/>
      <c r="H101" s="294"/>
      <c r="I101" s="294"/>
      <c r="J101" s="295"/>
      <c r="K101" s="80"/>
      <c r="N101" s="106"/>
    </row>
    <row r="102" spans="2:11" s="3" customFormat="1" ht="15.75" customHeight="1">
      <c r="B102" s="293" t="s">
        <v>133</v>
      </c>
      <c r="C102" s="294"/>
      <c r="D102" s="294"/>
      <c r="E102" s="294"/>
      <c r="F102" s="294"/>
      <c r="G102" s="294"/>
      <c r="H102" s="294"/>
      <c r="I102" s="294"/>
      <c r="J102" s="295"/>
      <c r="K102" s="81"/>
    </row>
    <row r="103" spans="2:11" s="3" customFormat="1" ht="15.75" customHeight="1">
      <c r="B103" s="293" t="s">
        <v>71</v>
      </c>
      <c r="C103" s="294"/>
      <c r="D103" s="294"/>
      <c r="E103" s="294"/>
      <c r="F103" s="294"/>
      <c r="G103" s="294"/>
      <c r="H103" s="294"/>
      <c r="I103" s="294"/>
      <c r="J103" s="295"/>
      <c r="K103" s="81"/>
    </row>
    <row r="104" spans="2:11" s="3" customFormat="1" ht="30.75" customHeight="1">
      <c r="B104" s="324" t="s">
        <v>75</v>
      </c>
      <c r="C104" s="325"/>
      <c r="D104" s="325"/>
      <c r="E104" s="325"/>
      <c r="F104" s="325"/>
      <c r="G104" s="325"/>
      <c r="H104" s="325"/>
      <c r="I104" s="325"/>
      <c r="J104" s="326"/>
      <c r="K104" s="80"/>
    </row>
    <row r="105" spans="2:11" s="3" customFormat="1" ht="18" customHeight="1">
      <c r="B105" s="293" t="s">
        <v>76</v>
      </c>
      <c r="C105" s="294"/>
      <c r="D105" s="294"/>
      <c r="E105" s="294"/>
      <c r="F105" s="294"/>
      <c r="G105" s="294"/>
      <c r="H105" s="294"/>
      <c r="I105" s="294"/>
      <c r="J105" s="295"/>
      <c r="K105" s="80"/>
    </row>
    <row r="106" spans="2:11" s="3" customFormat="1" ht="18" customHeight="1">
      <c r="B106" s="293" t="s">
        <v>81</v>
      </c>
      <c r="C106" s="294"/>
      <c r="D106" s="294"/>
      <c r="E106" s="294"/>
      <c r="F106" s="294"/>
      <c r="G106" s="294"/>
      <c r="H106" s="294"/>
      <c r="I106" s="294"/>
      <c r="J106" s="295"/>
      <c r="K106" s="80"/>
    </row>
    <row r="107" spans="2:11" s="3" customFormat="1" ht="18">
      <c r="B107" s="327" t="s">
        <v>77</v>
      </c>
      <c r="C107" s="328"/>
      <c r="D107" s="328"/>
      <c r="E107" s="328"/>
      <c r="F107" s="328"/>
      <c r="G107" s="328"/>
      <c r="H107" s="328"/>
      <c r="I107" s="328"/>
      <c r="J107" s="329"/>
      <c r="K107" s="80"/>
    </row>
    <row r="108" spans="2:11" s="3" customFormat="1" ht="18.75" customHeight="1">
      <c r="B108" s="290" t="s">
        <v>69</v>
      </c>
      <c r="C108" s="291"/>
      <c r="D108" s="291"/>
      <c r="E108" s="291"/>
      <c r="F108" s="291"/>
      <c r="G108" s="291"/>
      <c r="H108" s="291"/>
      <c r="I108" s="291"/>
      <c r="J108" s="292"/>
      <c r="K108" s="80"/>
    </row>
    <row r="109" spans="2:11" s="3" customFormat="1" ht="18" customHeight="1">
      <c r="B109" s="142"/>
      <c r="C109" s="142"/>
      <c r="D109" s="142"/>
      <c r="E109" s="142"/>
      <c r="F109" s="142"/>
      <c r="G109" s="142"/>
      <c r="H109" s="142"/>
      <c r="I109" s="142"/>
      <c r="J109" s="142"/>
      <c r="K109" s="81"/>
    </row>
    <row r="110" spans="2:11" s="3" customFormat="1" ht="18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3"/>
    </row>
    <row r="111" spans="2:11" s="3" customFormat="1" ht="16.5" customHeight="1">
      <c r="B111" s="39"/>
      <c r="C111" s="39"/>
      <c r="D111" s="39"/>
      <c r="E111" s="39"/>
      <c r="F111" s="39"/>
      <c r="G111" s="40"/>
      <c r="H111" s="39"/>
      <c r="I111" s="39"/>
      <c r="J111" s="39"/>
      <c r="K111" s="9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ht="18">
      <c r="B120" s="56"/>
      <c r="C120" s="56"/>
      <c r="D120" s="57"/>
      <c r="E120" s="57"/>
      <c r="F120" s="58"/>
      <c r="G120" s="58"/>
      <c r="H120" s="58"/>
      <c r="I120" s="67"/>
      <c r="J120" s="67"/>
      <c r="K120" s="69"/>
      <c r="L120" s="67"/>
    </row>
    <row r="121" spans="2:12" ht="18">
      <c r="B121" s="56"/>
      <c r="C121" s="59"/>
      <c r="D121" s="59"/>
      <c r="E121" s="60"/>
      <c r="F121" s="59"/>
      <c r="G121" s="61"/>
      <c r="H121" s="62"/>
      <c r="I121" s="67"/>
      <c r="J121" s="67"/>
      <c r="K121" s="69"/>
      <c r="L121" s="67"/>
    </row>
    <row r="122" spans="2:12" ht="18">
      <c r="B122" s="57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56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70"/>
      <c r="C125" s="71"/>
      <c r="D125" s="71"/>
      <c r="E125" s="63"/>
      <c r="F125" s="63"/>
      <c r="G125" s="63"/>
      <c r="H125" s="63"/>
      <c r="I125" s="67"/>
      <c r="J125" s="69"/>
      <c r="K125" s="69"/>
      <c r="L125" s="67"/>
    </row>
    <row r="126" spans="2:12" ht="18">
      <c r="B126" s="64"/>
      <c r="C126" s="65"/>
      <c r="D126" s="65"/>
      <c r="E126" s="64"/>
      <c r="F126" s="64"/>
      <c r="G126" s="64"/>
      <c r="H126" s="66"/>
      <c r="I126" s="67"/>
      <c r="J126" s="67"/>
      <c r="K126" s="69"/>
      <c r="L126" s="67"/>
    </row>
    <row r="127" spans="2:12" ht="18">
      <c r="B127" s="57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56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323"/>
      <c r="C131" s="32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64"/>
      <c r="C142" s="65"/>
      <c r="D142" s="65"/>
      <c r="E142" s="64"/>
      <c r="F142" s="64"/>
      <c r="G142" s="64"/>
      <c r="H142" s="66"/>
      <c r="I142" s="67"/>
      <c r="J142" s="67"/>
      <c r="K142" s="69"/>
      <c r="L142" s="67"/>
    </row>
    <row r="143" spans="2:12" ht="18">
      <c r="B143" s="57"/>
      <c r="C143" s="57"/>
      <c r="D143" s="57"/>
      <c r="E143" s="57"/>
      <c r="F143" s="57"/>
      <c r="G143" s="57"/>
      <c r="H143" s="57"/>
      <c r="I143" s="67"/>
      <c r="J143" s="67"/>
      <c r="K143" s="69"/>
      <c r="L143" s="67"/>
    </row>
    <row r="144" spans="2:12" ht="18">
      <c r="B144" s="64"/>
      <c r="C144" s="65"/>
      <c r="D144" s="65"/>
      <c r="E144" s="64"/>
      <c r="F144" s="64"/>
      <c r="G144" s="64"/>
      <c r="H144" s="66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77"/>
      <c r="C155" s="77"/>
      <c r="D155" s="77"/>
      <c r="E155" s="77"/>
      <c r="F155" s="7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9"/>
      <c r="D158" s="69"/>
      <c r="E158" s="69"/>
      <c r="F158" s="69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9"/>
      <c r="D165" s="69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8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69"/>
      <c r="H178" s="69"/>
      <c r="I178" s="69"/>
      <c r="J178" s="67"/>
      <c r="K178" s="69"/>
      <c r="L178" s="67"/>
    </row>
    <row r="179" spans="2:12" s="3" customFormat="1" ht="15">
      <c r="B179" s="69"/>
      <c r="C179" s="69"/>
      <c r="D179" s="69"/>
      <c r="E179" s="69"/>
      <c r="F179" s="69"/>
      <c r="G179" s="78"/>
      <c r="H179" s="69"/>
      <c r="I179" s="69"/>
      <c r="J179" s="67"/>
      <c r="K179" s="69"/>
      <c r="L179" s="78"/>
    </row>
    <row r="180" spans="2:12" s="3" customFormat="1" ht="15">
      <c r="B180" s="69"/>
      <c r="C180" s="69"/>
      <c r="D180" s="69"/>
      <c r="E180" s="69"/>
      <c r="F180" s="69"/>
      <c r="G180" s="69"/>
      <c r="H180" s="69"/>
      <c r="I180" s="7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</sheetData>
  <sheetProtection/>
  <mergeCells count="34">
    <mergeCell ref="G91:H91"/>
    <mergeCell ref="I89:J89"/>
    <mergeCell ref="I90:J90"/>
    <mergeCell ref="I91:J91"/>
    <mergeCell ref="I88:J88"/>
    <mergeCell ref="G88:H88"/>
    <mergeCell ref="G89:H89"/>
    <mergeCell ref="L74:O74"/>
    <mergeCell ref="B100:J100"/>
    <mergeCell ref="B131:C131"/>
    <mergeCell ref="B101:J101"/>
    <mergeCell ref="B104:J104"/>
    <mergeCell ref="B107:J107"/>
    <mergeCell ref="B85:J85"/>
    <mergeCell ref="B106:J106"/>
    <mergeCell ref="E88:F88"/>
    <mergeCell ref="E89:F89"/>
    <mergeCell ref="D2:J2"/>
    <mergeCell ref="D3:J3"/>
    <mergeCell ref="D4:J4"/>
    <mergeCell ref="B12:E12"/>
    <mergeCell ref="G12:J12"/>
    <mergeCell ref="E20:F20"/>
    <mergeCell ref="D6:J6"/>
    <mergeCell ref="B108:J108"/>
    <mergeCell ref="B103:J103"/>
    <mergeCell ref="B93:J93"/>
    <mergeCell ref="B102:J102"/>
    <mergeCell ref="B105:J105"/>
    <mergeCell ref="B86:J86"/>
    <mergeCell ref="E90:F90"/>
    <mergeCell ref="E91:F91"/>
    <mergeCell ref="E87:J87"/>
    <mergeCell ref="G90:H9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(('papa_ guarda_ riego_araucania'!E13-45000)/45000)+1</f>
        <v>0.7444444444444445</v>
      </c>
    </row>
    <row r="3" ht="18">
      <c r="B3" s="13"/>
    </row>
    <row r="4" spans="2:3" ht="18">
      <c r="B4" s="337" t="s">
        <v>18</v>
      </c>
      <c r="C4" s="337"/>
    </row>
    <row r="5" spans="2:5" ht="18">
      <c r="B5" s="82" t="s">
        <v>34</v>
      </c>
      <c r="C5" s="130"/>
      <c r="D5" s="83"/>
      <c r="E5" s="3">
        <v>45000</v>
      </c>
    </row>
    <row r="6" spans="2:4" ht="15">
      <c r="B6" s="26"/>
      <c r="C6" s="26"/>
      <c r="D6" s="26"/>
    </row>
    <row r="14" spans="2:4" ht="15">
      <c r="B14" s="338" t="s">
        <v>14</v>
      </c>
      <c r="C14" s="338"/>
      <c r="D14" s="338"/>
    </row>
    <row r="16" spans="2:4" ht="18">
      <c r="B16" s="49" t="s">
        <v>16</v>
      </c>
      <c r="C16" s="48">
        <f>'papa_ guarda_ riego_araucania'!B89</f>
        <v>0</v>
      </c>
      <c r="D16" s="48">
        <f>'papa_ guarda_ riego_araucania'!B91</f>
        <v>0</v>
      </c>
    </row>
    <row r="17" ht="15">
      <c r="B17" s="24"/>
    </row>
    <row r="18" spans="2:4" ht="15">
      <c r="B18" s="47" t="s">
        <v>17</v>
      </c>
      <c r="C18" s="50">
        <f>((C16-'papa_ guarda_ riego_araucania'!E13)/'papa_ guarda_ riego_araucania'!E13)+1</f>
        <v>0</v>
      </c>
      <c r="D18" s="50">
        <f>((D16-'papa_ guarda_ riego_araucania'!E13)/'papa_ guarda_ riego_araucania'!E13)+1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SUM('papa_ guarda_ riego_araucania'!J22:J28)</f>
        <v>731500</v>
      </c>
      <c r="D21" s="9">
        <f>SUM('papa_ guarda_ riego_araucania'!J22:J28)</f>
        <v>731500</v>
      </c>
    </row>
    <row r="22" spans="2:4" ht="18">
      <c r="B22" s="51" t="s">
        <v>20</v>
      </c>
      <c r="C22" s="52">
        <f>C18*'papa_ guarda_ riego_araucania'!G29*'papa_ guarda_ riego_araucania'!I29</f>
        <v>0</v>
      </c>
      <c r="D22" s="52">
        <f>D18*'papa_ guarda_ riego_araucania'!G29*'papa_ guarda_ riego_araucania'!I29</f>
        <v>0</v>
      </c>
    </row>
    <row r="23" spans="2:4" ht="18">
      <c r="B23" s="17" t="s">
        <v>21</v>
      </c>
      <c r="C23" s="9">
        <f>SUM(C21:C22)</f>
        <v>731500</v>
      </c>
      <c r="D23" s="9">
        <f>SUM(D21:D22)</f>
        <v>731500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SUM('papa_ guarda_ riego_araucania'!J33:J40)</f>
        <v>355000</v>
      </c>
      <c r="D26" s="9">
        <f>SUM('papa_ guarda_ riego_araucania'!J33:J40)</f>
        <v>355000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355000</v>
      </c>
      <c r="D28" s="9">
        <f>SUM(D26:D27)</f>
        <v>355000</v>
      </c>
    </row>
    <row r="30" ht="18">
      <c r="B30" s="49" t="s">
        <v>22</v>
      </c>
    </row>
    <row r="31" spans="2:4" ht="18">
      <c r="B31" s="17" t="s">
        <v>19</v>
      </c>
      <c r="C31" s="9">
        <f>SUM('papa_ guarda_ riego_araucania'!J46:J64)</f>
        <v>1959140</v>
      </c>
      <c r="D31" s="9">
        <f>SUM('papa_ guarda_ riego_araucania'!J46:J64)</f>
        <v>1959140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1959140</v>
      </c>
      <c r="D33" s="9">
        <f>SUM(D31:D32)</f>
        <v>1959140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3045640</v>
      </c>
      <c r="D35" s="55">
        <f>D23+D28+D33</f>
        <v>3045640</v>
      </c>
    </row>
    <row r="36" ht="15">
      <c r="B36" s="24"/>
    </row>
    <row r="37" spans="2:4" ht="18">
      <c r="B37" s="53" t="s">
        <v>0</v>
      </c>
      <c r="C37" s="9">
        <f>C35*'papa_ guarda_ riego_araucania'!G68</f>
        <v>152282</v>
      </c>
      <c r="D37" s="9">
        <f>D35*D18*'papa_ guarda_ riego_araucania'!G68</f>
        <v>0</v>
      </c>
    </row>
    <row r="38" spans="2:4" ht="18">
      <c r="B38" s="53" t="s">
        <v>12</v>
      </c>
      <c r="C38" s="9">
        <f>C35*'papa_ guarda_ riego_araucania'!E16*'papa_ guarda_ riego_araucania'!E17*0.5</f>
        <v>159896.1</v>
      </c>
      <c r="D38" s="9">
        <f>D35*'papa_ guarda_ riego_araucania'!E16*'papa_ guarda_ riego_araucania'!E17*0.5</f>
        <v>159896.1</v>
      </c>
    </row>
    <row r="39" ht="15">
      <c r="B39" s="24"/>
    </row>
    <row r="40" spans="2:4" ht="18">
      <c r="B40" s="54" t="s">
        <v>13</v>
      </c>
      <c r="C40" s="55">
        <f>C35+C37+C38</f>
        <v>3357818.1</v>
      </c>
      <c r="D40" s="55">
        <f>D35+D37+D38</f>
        <v>3205536.1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2019-08-28T21:37:23Z</dcterms:modified>
  <cp:category/>
  <cp:version/>
  <cp:contentType/>
  <cp:contentStatus/>
</cp:coreProperties>
</file>