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905" activeTab="0"/>
  </bookViews>
  <sheets>
    <sheet name="papa_ guarda_ secano_araucania" sheetId="1" r:id="rId1"/>
    <sheet name="rdto_variable" sheetId="2" state="hidden" r:id="rId2"/>
  </sheets>
  <definedNames>
    <definedName name="_xlfn.IFERROR" hidden="1">#NAME?</definedName>
    <definedName name="_xlnm.Print_Area" localSheetId="0">'papa_ guarda_ secano_araucania'!$A$1:$K$115</definedName>
    <definedName name="costo_financiero">'papa_ guarda_ secano_araucania'!$J$78</definedName>
    <definedName name="imprevistos">'papa_ guarda_ secano_araucania'!#REF!</definedName>
    <definedName name="meses_financiamiento">'papa_ guarda_ secano_araucania'!$E$17</definedName>
    <definedName name="precio_de_venta">'papa_ guarda_ secano_araucania'!$E$14</definedName>
    <definedName name="rendimiento">'papa_ guarda_ secano_araucania'!$E$13</definedName>
    <definedName name="tasa_interes_mensual">'papa_ guarda_ secano_araucania'!$E$16</definedName>
    <definedName name="total_costos">'papa_ guarda_ secano_araucania'!$J$84</definedName>
    <definedName name="total_costos_directos">'papa_ guarda_ secano_araucania'!$J$73</definedName>
    <definedName name="total_costos_indirectos">'papa_ guarda_ secano_araucania'!$J$82</definedName>
    <definedName name="total_insumos">'papa_ guarda_ secano_araucania'!$J$68</definedName>
    <definedName name="total_mano_obra">'papa_ guarda_ secano_araucania'!$J$29</definedName>
    <definedName name="total_maquinaria">'papa_ guarda_ secano_araucania'!$J$43</definedName>
  </definedNames>
  <calcPr fullCalcOnLoad="1"/>
</workbook>
</file>

<file path=xl/sharedStrings.xml><?xml version="1.0" encoding="utf-8"?>
<sst xmlns="http://schemas.openxmlformats.org/spreadsheetml/2006/main" count="232" uniqueCount="154">
  <si>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</si>
  <si>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</si>
  <si>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</si>
  <si>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</si>
  <si>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</si>
  <si>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</si>
  <si>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</si>
  <si>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</si>
  <si>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</si>
  <si>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</si>
  <si>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</si>
  <si>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</si>
  <si>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</si>
  <si>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</si>
  <si>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</si>
  <si>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</si>
  <si>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</si>
  <si>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</si>
  <si>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</si>
  <si>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</si>
  <si>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</si>
  <si>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</si>
  <si>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</si>
  <si>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</si>
  <si>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</si>
  <si>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</si>
  <si>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</si>
  <si>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</si>
  <si>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</si>
  <si>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</si>
  <si>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</si>
  <si>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</si>
  <si>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</si>
  <si>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</si>
  <si>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</si>
  <si>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</si>
  <si>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</si>
  <si>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</si>
  <si>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</si>
  <si>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</si>
  <si>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</si>
  <si>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</si>
  <si>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</si>
  <si>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</si>
  <si>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</si>
  <si>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</si>
  <si>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</si>
  <si>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Control manual de malezas</t>
  </si>
  <si>
    <t>Rastraje</t>
  </si>
  <si>
    <t>Acarreo de insumos</t>
  </si>
  <si>
    <t>Aplicación de fitosanitarios</t>
  </si>
  <si>
    <t>Terrasorb foliar</t>
  </si>
  <si>
    <t>Acequiadura</t>
  </si>
  <si>
    <t>Cultivación entre hileras y aplicar fertilizante</t>
  </si>
  <si>
    <t>Siembra</t>
  </si>
  <si>
    <t>Aplicación fertilizante</t>
  </si>
  <si>
    <t>Cosedor de sacos</t>
  </si>
  <si>
    <t>Cosecha(2)</t>
  </si>
  <si>
    <t xml:space="preserve">Siembra </t>
  </si>
  <si>
    <t>Aplicación fitosanitarios</t>
  </si>
  <si>
    <t>Cosecha con maquina</t>
  </si>
  <si>
    <t>Pasar chopper/rana sobre las hileras</t>
  </si>
  <si>
    <t>Tecnología: media</t>
  </si>
  <si>
    <t>Acarreo de la cosecha con tractor y coloso</t>
  </si>
  <si>
    <t>Envases plásticos de 50 kilos</t>
  </si>
  <si>
    <t>Herbicidas:</t>
  </si>
  <si>
    <t>Región de La Araucanía</t>
  </si>
  <si>
    <t>Aradura cincel o disco</t>
  </si>
  <si>
    <t>Destino de producción: consumo fresco</t>
  </si>
  <si>
    <t>Sacos plásticos de 25 kilos</t>
  </si>
  <si>
    <t xml:space="preserve">Mezcla papera NPK  11 30 20 </t>
  </si>
  <si>
    <t>Hilo plástico</t>
  </si>
  <si>
    <t>Tecnología de riego: Secano</t>
  </si>
  <si>
    <t>Semilla</t>
  </si>
  <si>
    <t>Ficha Técnico Económica</t>
  </si>
  <si>
    <t>Periodo</t>
  </si>
  <si>
    <t>Precio ($/unidad)</t>
  </si>
  <si>
    <t>jornada hombre</t>
  </si>
  <si>
    <t>kilo</t>
  </si>
  <si>
    <t>hectárea</t>
  </si>
  <si>
    <t>litro</t>
  </si>
  <si>
    <t>unidad</t>
  </si>
  <si>
    <t>porcentaje</t>
  </si>
  <si>
    <t>Margen neto ($/hectárea)</t>
  </si>
  <si>
    <t>Precio ($/kilo)</t>
  </si>
  <si>
    <t>Rendimiento (kilos/hectárea)</t>
  </si>
  <si>
    <t>Costo jornada hombre ($/jornada hombre)</t>
  </si>
  <si>
    <t>septiembre - noviembre</t>
  </si>
  <si>
    <t>septiembre-abril</t>
  </si>
  <si>
    <t>septiembre-noviembre</t>
  </si>
  <si>
    <t>octubre-noviembre</t>
  </si>
  <si>
    <t>septiembre - marzo</t>
  </si>
  <si>
    <t>abril - mayo</t>
  </si>
  <si>
    <t>octubre - noviembre</t>
  </si>
  <si>
    <t>septiembre - diciembre</t>
  </si>
  <si>
    <t>enero - marzo</t>
  </si>
  <si>
    <t>septiembre - octubre</t>
  </si>
  <si>
    <t>noviembre - diciembre</t>
  </si>
  <si>
    <t>noviembre - enero</t>
  </si>
  <si>
    <t>agosto - octubre</t>
  </si>
  <si>
    <t>octubre - enero</t>
  </si>
  <si>
    <t>marzo - abril</t>
  </si>
  <si>
    <t>junio - julio</t>
  </si>
  <si>
    <t>Siembra: septiembre - noviembre</t>
  </si>
  <si>
    <t>Costo unitario ($/kilo)</t>
  </si>
  <si>
    <t xml:space="preserve">Rendimiento (kilos/hectárea): </t>
  </si>
  <si>
    <t>Densidad (plantas/hectárea): 75 cm entre hileras</t>
  </si>
  <si>
    <t xml:space="preserve">Glifosato- potasio  66,2% g/l (desecante) 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</si>
  <si>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</si>
  <si>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</si>
  <si>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</si>
  <si>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</si>
  <si>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</si>
  <si>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Imprevistos (d)</t>
  </si>
  <si>
    <t xml:space="preserve">Imprevistos </t>
  </si>
  <si>
    <t>Total costos directos (a+b+c+d)</t>
  </si>
  <si>
    <t>Costos indirectos (e)</t>
  </si>
  <si>
    <t>Costo oportunidad (arriendo)</t>
  </si>
  <si>
    <t xml:space="preserve">Administración </t>
  </si>
  <si>
    <t>Impuestos y contribuciones</t>
  </si>
  <si>
    <t>1 hectárea abril 2021</t>
  </si>
  <si>
    <t xml:space="preserve">Cosecha: marzo - abril </t>
  </si>
  <si>
    <t>(1) Nombre cientifico de la papa.</t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</si>
  <si>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</si>
  <si>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</si>
  <si>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</si>
  <si>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directos,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</si>
  <si>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</si>
  <si>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</si>
  <si>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 xml:space="preserve">Precio de venta a productor ($/kilo): </t>
    </r>
    <r>
      <rPr>
        <b/>
        <vertAlign val="superscript"/>
        <sz val="14"/>
        <rFont val="Arial"/>
        <family val="2"/>
      </rPr>
      <t>(2)</t>
    </r>
  </si>
  <si>
    <r>
      <t>Recoger la Cosecha</t>
    </r>
    <r>
      <rPr>
        <vertAlign val="superscript"/>
        <sz val="14"/>
        <rFont val="Arial"/>
        <family val="2"/>
      </rPr>
      <t xml:space="preserve">(3). 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</si>
  <si>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</si>
  <si>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</si>
  <si>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Análisis de suelo 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</si>
  <si>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</si>
  <si>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</si>
  <si>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</si>
  <si>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Can 27 (27 0 0 )</t>
  </si>
  <si>
    <t>Supe Nitro(N 25%)</t>
  </si>
  <si>
    <t>septiembre - enero</t>
  </si>
  <si>
    <t>Adherente</t>
  </si>
  <si>
    <t>Aplicación de pesticida con dron</t>
  </si>
  <si>
    <t>septiembre - febrero</t>
  </si>
  <si>
    <t>Break  thru</t>
  </si>
  <si>
    <t>(2) El precio de kg de papa cosechada corresponde al promedio de la región durante el periodo de cosecha a nivel predial en la temporada 2020/2021.</t>
  </si>
  <si>
    <t>análisis</t>
  </si>
  <si>
    <t>Papa (Solanum tuberosum L.) guarda secano</t>
  </si>
  <si>
    <t>Cimoxanilo 8%g/k/Mancozeb 64% g/kg</t>
  </si>
  <si>
    <t>Dimetomorf 9%g/kg, Mancozeb 60% g/kg</t>
  </si>
  <si>
    <t>Metribuzina 48 % g/l</t>
  </si>
  <si>
    <t>Fosfimax 40 20</t>
  </si>
  <si>
    <t>Tiametoxam 14,1%/ g/lLambda-cihalotrina 10,6%g/l</t>
  </si>
  <si>
    <t>Variedad: Patagonia, Pucará, Desirée.</t>
  </si>
  <si>
    <t xml:space="preserve">(3) Costo de la cosecha equivale por kilo de papa, seleccionado, depositado en sacos de 25 kilos y cargar camión, donde los 27.500 kilos de papas equivalen a 1.160 sacos. La cosecha consiste en recoger las papas y depositarlas en los sacos, una vez que la maquina los sacó   de la tierra y quedaron sobre la superficie de la hilera.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</si>
</sst>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50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0" fontId="8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3" fontId="69" fillId="34" borderId="17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22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2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22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2" xfId="58" applyFont="1" applyFill="1" applyBorder="1" applyAlignment="1" applyProtection="1">
      <alignment horizontal="left"/>
      <protection/>
    </xf>
    <xf numFmtId="0" fontId="0" fillId="38" borderId="22" xfId="0" applyFill="1" applyBorder="1" applyAlignment="1">
      <alignment/>
    </xf>
    <xf numFmtId="0" fontId="65" fillId="34" borderId="14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23" xfId="69" applyNumberFormat="1" applyFont="1" applyFill="1" applyBorder="1" applyAlignment="1" applyProtection="1">
      <alignment/>
      <protection locked="0"/>
    </xf>
    <xf numFmtId="180" fontId="10" fillId="34" borderId="24" xfId="69" applyFont="1" applyFill="1" applyBorder="1" applyAlignment="1" applyProtection="1">
      <alignment/>
      <protection locked="0"/>
    </xf>
    <xf numFmtId="180" fontId="10" fillId="34" borderId="25" xfId="69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8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/>
      <protection locked="0"/>
    </xf>
    <xf numFmtId="0" fontId="8" fillId="34" borderId="24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10" fillId="34" borderId="14" xfId="58" applyFont="1" applyFill="1" applyBorder="1" applyAlignment="1" applyProtection="1">
      <alignment/>
      <protection locked="0"/>
    </xf>
    <xf numFmtId="0" fontId="10" fillId="34" borderId="25" xfId="58" applyFont="1" applyFill="1" applyBorder="1" applyAlignment="1" applyProtection="1">
      <alignment/>
      <protection locked="0"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6" xfId="58" applyFont="1" applyFill="1" applyBorder="1" applyAlignment="1" applyProtection="1">
      <alignment/>
      <protection locked="0"/>
    </xf>
    <xf numFmtId="0" fontId="64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0" fontId="64" fillId="34" borderId="13" xfId="0" applyFont="1" applyFill="1" applyBorder="1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82" fontId="8" fillId="34" borderId="23" xfId="69" applyNumberFormat="1" applyFont="1" applyFill="1" applyBorder="1" applyAlignment="1" applyProtection="1">
      <alignment horizontal="left" vertical="center"/>
      <protection locked="0"/>
    </xf>
    <xf numFmtId="3" fontId="8" fillId="34" borderId="17" xfId="57" applyNumberFormat="1" applyFont="1" applyFill="1" applyBorder="1" applyAlignment="1" applyProtection="1">
      <alignment horizontal="right"/>
      <protection locked="0"/>
    </xf>
    <xf numFmtId="0" fontId="8" fillId="34" borderId="24" xfId="57" applyFont="1" applyFill="1" applyBorder="1" applyAlignment="1" applyProtection="1">
      <alignment horizontal="lef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vertical="center"/>
      <protection/>
    </xf>
    <xf numFmtId="181" fontId="67" fillId="23" borderId="22" xfId="58" applyNumberFormat="1" applyFont="1" applyFill="1" applyBorder="1" applyAlignment="1" applyProtection="1">
      <alignment horizontal="center" vertical="center" wrapText="1"/>
      <protection/>
    </xf>
    <xf numFmtId="0" fontId="67" fillId="23" borderId="22" xfId="58" applyFont="1" applyFill="1" applyBorder="1" applyAlignment="1" applyProtection="1">
      <alignment horizontal="center" vertical="center" wrapText="1"/>
      <protection/>
    </xf>
    <xf numFmtId="3" fontId="67" fillId="23" borderId="22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1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18" xfId="58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 locked="0"/>
    </xf>
    <xf numFmtId="181" fontId="10" fillId="34" borderId="19" xfId="58" applyNumberFormat="1" applyFont="1" applyFill="1" applyBorder="1" applyAlignment="1" applyProtection="1">
      <alignment horizontal="center"/>
      <protection locked="0"/>
    </xf>
    <xf numFmtId="3" fontId="10" fillId="34" borderId="23" xfId="69" applyNumberFormat="1" applyFont="1" applyFill="1" applyBorder="1" applyAlignment="1" applyProtection="1">
      <alignment horizontal="center"/>
      <protection locked="0"/>
    </xf>
    <xf numFmtId="3" fontId="10" fillId="34" borderId="24" xfId="69" applyNumberFormat="1" applyFont="1" applyFill="1" applyBorder="1" applyAlignment="1" applyProtection="1">
      <alignment horizontal="center"/>
      <protection locked="0"/>
    </xf>
    <xf numFmtId="180" fontId="10" fillId="34" borderId="18" xfId="69" applyFont="1" applyFill="1" applyBorder="1" applyAlignment="1" applyProtection="1">
      <alignment horizontal="center"/>
      <protection locked="0"/>
    </xf>
    <xf numFmtId="3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23" xfId="58" applyNumberFormat="1" applyFont="1" applyFill="1" applyBorder="1" applyAlignment="1" applyProtection="1">
      <alignment horizontal="center"/>
      <protection locked="0"/>
    </xf>
    <xf numFmtId="184" fontId="10" fillId="34" borderId="24" xfId="58" applyNumberFormat="1" applyFont="1" applyFill="1" applyBorder="1" applyAlignment="1" applyProtection="1">
      <alignment horizontal="center"/>
      <protection locked="0"/>
    </xf>
    <xf numFmtId="184" fontId="10" fillId="34" borderId="11" xfId="69" applyNumberFormat="1" applyFont="1" applyFill="1" applyBorder="1" applyAlignment="1" applyProtection="1">
      <alignment horizontal="center"/>
      <protection locked="0"/>
    </xf>
    <xf numFmtId="184" fontId="10" fillId="34" borderId="11" xfId="58" applyNumberFormat="1" applyFont="1" applyFill="1" applyBorder="1" applyAlignment="1" applyProtection="1">
      <alignment horizontal="center"/>
      <protection locked="0"/>
    </xf>
    <xf numFmtId="195" fontId="8" fillId="34" borderId="17" xfId="58" applyNumberFormat="1" applyFont="1" applyFill="1" applyBorder="1" applyAlignment="1" applyProtection="1">
      <alignment/>
      <protection/>
    </xf>
    <xf numFmtId="195" fontId="8" fillId="34" borderId="11" xfId="58" applyNumberFormat="1" applyFont="1" applyFill="1" applyBorder="1" applyAlignment="1" applyProtection="1">
      <alignment/>
      <protection/>
    </xf>
    <xf numFmtId="195" fontId="8" fillId="34" borderId="16" xfId="58" applyNumberFormat="1" applyFont="1" applyFill="1" applyBorder="1" applyAlignment="1" applyProtection="1">
      <alignment/>
      <protection/>
    </xf>
    <xf numFmtId="195" fontId="8" fillId="34" borderId="11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 quotePrefix="1">
      <alignment horizontal="left"/>
      <protection locked="0"/>
    </xf>
    <xf numFmtId="0" fontId="10" fillId="34" borderId="24" xfId="58" applyFont="1" applyFill="1" applyBorder="1" applyAlignment="1" applyProtection="1" quotePrefix="1">
      <alignment horizontal="left"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25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65" fillId="34" borderId="13" xfId="0" applyFont="1" applyFill="1" applyBorder="1" applyAlignment="1">
      <alignment/>
    </xf>
    <xf numFmtId="0" fontId="8" fillId="34" borderId="16" xfId="57" applyFont="1" applyFill="1" applyBorder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0" fontId="67" fillId="23" borderId="21" xfId="58" applyFont="1" applyFill="1" applyBorder="1" applyAlignment="1" applyProtection="1">
      <alignment/>
      <protection/>
    </xf>
    <xf numFmtId="0" fontId="67" fillId="23" borderId="22" xfId="58" applyFont="1" applyFill="1" applyBorder="1" applyAlignment="1" applyProtection="1">
      <alignment/>
      <protection/>
    </xf>
    <xf numFmtId="0" fontId="8" fillId="36" borderId="21" xfId="58" applyFont="1" applyFill="1" applyBorder="1" applyAlignment="1" applyProtection="1">
      <alignment vertical="center"/>
      <protection/>
    </xf>
    <xf numFmtId="0" fontId="8" fillId="36" borderId="22" xfId="58" applyFont="1" applyFill="1" applyBorder="1" applyAlignment="1" applyProtection="1">
      <alignment vertical="center"/>
      <protection/>
    </xf>
    <xf numFmtId="0" fontId="67" fillId="23" borderId="22" xfId="58" applyFont="1" applyFill="1" applyBorder="1" applyAlignment="1" applyProtection="1">
      <alignment vertical="center"/>
      <protection/>
    </xf>
    <xf numFmtId="0" fontId="67" fillId="23" borderId="22" xfId="58" applyFont="1" applyFill="1" applyBorder="1" applyAlignment="1" applyProtection="1">
      <alignment horizontal="left" vertical="center" indent="3"/>
      <protection/>
    </xf>
    <xf numFmtId="0" fontId="10" fillId="34" borderId="24" xfId="58" applyFont="1" applyFill="1" applyBorder="1" applyAlignment="1" applyProtection="1">
      <alignment horizontal="left" vertical="center" indent="3"/>
      <protection locked="0"/>
    </xf>
    <xf numFmtId="0" fontId="10" fillId="34" borderId="11" xfId="58" applyFont="1" applyFill="1" applyBorder="1" applyAlignment="1" applyProtection="1">
      <alignment horizontal="left" vertical="center" indent="3"/>
      <protection locked="0"/>
    </xf>
    <xf numFmtId="0" fontId="10" fillId="34" borderId="25" xfId="58" applyFont="1" applyFill="1" applyBorder="1" applyAlignment="1" applyProtection="1">
      <alignment horizontal="left" vertical="center" indent="3"/>
      <protection locked="0"/>
    </xf>
    <xf numFmtId="0" fontId="10" fillId="34" borderId="16" xfId="58" applyFont="1" applyFill="1" applyBorder="1" applyAlignment="1" applyProtection="1">
      <alignment horizontal="left" vertical="center" indent="3"/>
      <protection locked="0"/>
    </xf>
    <xf numFmtId="0" fontId="10" fillId="34" borderId="23" xfId="58" applyFont="1" applyFill="1" applyBorder="1" applyAlignment="1" applyProtection="1">
      <alignment horizontal="left" indent="3"/>
      <protection locked="0"/>
    </xf>
    <xf numFmtId="0" fontId="10" fillId="34" borderId="17" xfId="58" applyFont="1" applyFill="1" applyBorder="1" applyAlignment="1" applyProtection="1">
      <alignment horizontal="left" indent="3"/>
      <protection locked="0"/>
    </xf>
    <xf numFmtId="0" fontId="10" fillId="34" borderId="24" xfId="58" applyFont="1" applyFill="1" applyBorder="1" applyAlignment="1" applyProtection="1">
      <alignment horizontal="left" indent="3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67" fillId="23" borderId="22" xfId="58" applyFont="1" applyFill="1" applyBorder="1" applyAlignment="1" applyProtection="1">
      <alignment horizontal="left" vertical="center" indent="4"/>
      <protection/>
    </xf>
    <xf numFmtId="0" fontId="10" fillId="34" borderId="23" xfId="58" applyFont="1" applyFill="1" applyBorder="1" applyAlignment="1" applyProtection="1">
      <alignment horizontal="left" indent="4"/>
      <protection locked="0"/>
    </xf>
    <xf numFmtId="0" fontId="10" fillId="34" borderId="17" xfId="58" applyFont="1" applyFill="1" applyBorder="1" applyAlignment="1" applyProtection="1">
      <alignment horizontal="left" indent="4"/>
      <protection locked="0"/>
    </xf>
    <xf numFmtId="0" fontId="10" fillId="34" borderId="24" xfId="58" applyFont="1" applyFill="1" applyBorder="1" applyAlignment="1" applyProtection="1">
      <alignment horizontal="left" indent="4"/>
      <protection locked="0"/>
    </xf>
    <xf numFmtId="0" fontId="10" fillId="34" borderId="11" xfId="58" applyFont="1" applyFill="1" applyBorder="1" applyAlignment="1" applyProtection="1">
      <alignment horizontal="left" indent="4"/>
      <protection locked="0"/>
    </xf>
    <xf numFmtId="0" fontId="10" fillId="34" borderId="25" xfId="58" applyFont="1" applyFill="1" applyBorder="1" applyAlignment="1" applyProtection="1">
      <alignment horizontal="left" indent="4"/>
      <protection locked="0"/>
    </xf>
    <xf numFmtId="0" fontId="10" fillId="34" borderId="16" xfId="58" applyFont="1" applyFill="1" applyBorder="1" applyAlignment="1" applyProtection="1">
      <alignment horizontal="left" indent="4"/>
      <protection locked="0"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8" fillId="36" borderId="21" xfId="58" applyFont="1" applyFill="1" applyBorder="1" applyAlignment="1" applyProtection="1">
      <alignment/>
      <protection/>
    </xf>
    <xf numFmtId="0" fontId="8" fillId="36" borderId="22" xfId="58" applyFont="1" applyFill="1" applyBorder="1" applyAlignment="1" applyProtection="1">
      <alignment/>
      <protection/>
    </xf>
    <xf numFmtId="0" fontId="67" fillId="23" borderId="21" xfId="58" applyFont="1" applyFill="1" applyBorder="1" applyAlignment="1" applyProtection="1">
      <alignment vertical="center"/>
      <protection/>
    </xf>
    <xf numFmtId="0" fontId="10" fillId="34" borderId="14" xfId="58" applyFont="1" applyFill="1" applyBorder="1" applyAlignment="1">
      <alignment/>
      <protection/>
    </xf>
    <xf numFmtId="0" fontId="8" fillId="36" borderId="25" xfId="58" applyFont="1" applyFill="1" applyBorder="1" applyAlignment="1" applyProtection="1">
      <alignment vertical="center"/>
      <protection/>
    </xf>
    <xf numFmtId="0" fontId="8" fillId="36" borderId="13" xfId="58" applyFont="1" applyFill="1" applyBorder="1" applyAlignment="1" applyProtection="1">
      <alignment vertical="center"/>
      <protection/>
    </xf>
    <xf numFmtId="0" fontId="8" fillId="36" borderId="23" xfId="58" applyFont="1" applyFill="1" applyBorder="1" applyAlignment="1" applyProtection="1">
      <alignment vertical="center"/>
      <protection/>
    </xf>
    <xf numFmtId="0" fontId="8" fillId="36" borderId="14" xfId="58" applyFont="1" applyFill="1" applyBorder="1" applyAlignment="1" applyProtection="1">
      <alignment vertical="center"/>
      <protection/>
    </xf>
    <xf numFmtId="3" fontId="8" fillId="36" borderId="17" xfId="58" applyNumberFormat="1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vertical="center"/>
      <protection/>
    </xf>
    <xf numFmtId="0" fontId="67" fillId="40" borderId="25" xfId="0" applyFont="1" applyFill="1" applyBorder="1" applyAlignment="1" applyProtection="1">
      <alignment vertical="center"/>
      <protection locked="0"/>
    </xf>
    <xf numFmtId="0" fontId="67" fillId="40" borderId="13" xfId="0" applyFont="1" applyFill="1" applyBorder="1" applyAlignment="1" applyProtection="1">
      <alignment vertical="center"/>
      <protection locked="0"/>
    </xf>
    <xf numFmtId="0" fontId="67" fillId="40" borderId="16" xfId="0" applyFont="1" applyFill="1" applyBorder="1" applyAlignment="1" applyProtection="1">
      <alignment vertical="center"/>
      <protection locked="0"/>
    </xf>
    <xf numFmtId="181" fontId="8" fillId="34" borderId="23" xfId="0" applyNumberFormat="1" applyFont="1" applyFill="1" applyBorder="1" applyAlignment="1">
      <alignment/>
    </xf>
    <xf numFmtId="181" fontId="8" fillId="34" borderId="24" xfId="0" applyNumberFormat="1" applyFont="1" applyFill="1" applyBorder="1" applyAlignment="1">
      <alignment/>
    </xf>
    <xf numFmtId="181" fontId="69" fillId="34" borderId="25" xfId="0" applyNumberFormat="1" applyFont="1" applyFill="1" applyBorder="1" applyAlignment="1">
      <alignment/>
    </xf>
    <xf numFmtId="0" fontId="10" fillId="0" borderId="21" xfId="69" applyNumberFormat="1" applyFont="1" applyFill="1" applyBorder="1" applyAlignment="1" applyProtection="1">
      <alignment horizontal="left"/>
      <protection/>
    </xf>
    <xf numFmtId="0" fontId="70" fillId="0" borderId="22" xfId="69" applyNumberFormat="1" applyFont="1" applyFill="1" applyBorder="1" applyAlignment="1" applyProtection="1">
      <alignment horizontal="left"/>
      <protection/>
    </xf>
    <xf numFmtId="0" fontId="70" fillId="0" borderId="15" xfId="69" applyNumberFormat="1" applyFont="1" applyFill="1" applyBorder="1" applyAlignment="1" applyProtection="1">
      <alignment horizontal="left"/>
      <protection/>
    </xf>
    <xf numFmtId="0" fontId="10" fillId="0" borderId="21" xfId="58" applyFont="1" applyFill="1" applyBorder="1" applyAlignment="1">
      <alignment/>
      <protection/>
    </xf>
    <xf numFmtId="0" fontId="10" fillId="0" borderId="22" xfId="58" applyFont="1" applyFill="1" applyBorder="1" applyAlignment="1">
      <alignment/>
      <protection/>
    </xf>
    <xf numFmtId="0" fontId="10" fillId="0" borderId="21" xfId="58" applyFont="1" applyFill="1" applyBorder="1" applyAlignment="1" applyProtection="1">
      <alignment horizontal="center"/>
      <protection/>
    </xf>
    <xf numFmtId="3" fontId="10" fillId="0" borderId="12" xfId="58" applyNumberFormat="1" applyFont="1" applyFill="1" applyBorder="1" applyAlignment="1" applyProtection="1">
      <alignment horizontal="right"/>
      <protection/>
    </xf>
    <xf numFmtId="0" fontId="10" fillId="34" borderId="0" xfId="58" applyFont="1" applyFill="1" applyBorder="1" applyAlignment="1">
      <alignment/>
      <protection/>
    </xf>
    <xf numFmtId="185" fontId="10" fillId="34" borderId="19" xfId="69" applyNumberFormat="1" applyFont="1" applyFill="1" applyBorder="1" applyAlignment="1" applyProtection="1">
      <alignment horizontal="center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185" fontId="10" fillId="34" borderId="20" xfId="69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8" xfId="58" applyFont="1" applyFill="1" applyBorder="1" applyAlignment="1" applyProtection="1">
      <alignment horizontal="center"/>
      <protection/>
    </xf>
    <xf numFmtId="0" fontId="10" fillId="34" borderId="20" xfId="58" applyFont="1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10" fillId="34" borderId="24" xfId="58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/>
      <protection/>
    </xf>
    <xf numFmtId="9" fontId="10" fillId="0" borderId="12" xfId="69" applyNumberFormat="1" applyFont="1" applyFill="1" applyBorder="1" applyAlignment="1" applyProtection="1">
      <alignment horizontal="center"/>
      <protection/>
    </xf>
    <xf numFmtId="0" fontId="10" fillId="34" borderId="0" xfId="58" applyFont="1" applyFill="1" applyProtection="1">
      <alignment/>
      <protection locked="0"/>
    </xf>
    <xf numFmtId="0" fontId="10" fillId="34" borderId="24" xfId="58" applyFont="1" applyFill="1" applyBorder="1" applyProtection="1">
      <alignment/>
      <protection locked="0"/>
    </xf>
    <xf numFmtId="0" fontId="10" fillId="34" borderId="11" xfId="58" applyFont="1" applyFill="1" applyBorder="1" applyProtection="1">
      <alignment/>
      <protection locked="0"/>
    </xf>
    <xf numFmtId="3" fontId="10" fillId="34" borderId="11" xfId="58" applyNumberFormat="1" applyFont="1" applyFill="1" applyBorder="1" applyAlignment="1">
      <alignment horizontal="right"/>
      <protection/>
    </xf>
    <xf numFmtId="0" fontId="10" fillId="34" borderId="24" xfId="58" applyFont="1" applyFill="1" applyBorder="1" applyAlignment="1" applyProtection="1">
      <alignment horizontal="center"/>
      <protection locked="0"/>
    </xf>
    <xf numFmtId="0" fontId="10" fillId="34" borderId="11" xfId="58" applyFont="1" applyFill="1" applyBorder="1" applyAlignment="1" applyProtection="1">
      <alignment horizontal="center"/>
      <protection locked="0"/>
    </xf>
    <xf numFmtId="181" fontId="10" fillId="34" borderId="11" xfId="69" applyNumberFormat="1" applyFont="1" applyFill="1" applyBorder="1" applyAlignment="1" applyProtection="1">
      <alignment horizontal="center"/>
      <protection locked="0"/>
    </xf>
    <xf numFmtId="0" fontId="10" fillId="34" borderId="0" xfId="58" applyFont="1" applyFill="1" applyAlignment="1" applyProtection="1">
      <alignment horizontal="left"/>
      <protection locked="0"/>
    </xf>
    <xf numFmtId="0" fontId="10" fillId="0" borderId="24" xfId="58" applyFont="1" applyBorder="1" applyAlignment="1" applyProtection="1">
      <alignment horizontal="left" indent="3"/>
      <protection locked="0"/>
    </xf>
    <xf numFmtId="0" fontId="10" fillId="0" borderId="11" xfId="58" applyFont="1" applyBorder="1" applyAlignment="1" applyProtection="1">
      <alignment horizontal="left" indent="3"/>
      <protection locked="0"/>
    </xf>
    <xf numFmtId="181" fontId="10" fillId="0" borderId="24" xfId="58" applyNumberFormat="1" applyFont="1" applyBorder="1" applyAlignment="1" applyProtection="1">
      <alignment horizontal="center"/>
      <protection locked="0"/>
    </xf>
    <xf numFmtId="181" fontId="10" fillId="0" borderId="18" xfId="58" applyNumberFormat="1" applyFont="1" applyBorder="1" applyAlignment="1" applyProtection="1">
      <alignment horizontal="center"/>
      <protection locked="0"/>
    </xf>
    <xf numFmtId="3" fontId="10" fillId="0" borderId="24" xfId="69" applyNumberFormat="1" applyFont="1" applyBorder="1" applyAlignment="1" applyProtection="1">
      <alignment horizontal="center"/>
      <protection locked="0"/>
    </xf>
    <xf numFmtId="0" fontId="8" fillId="34" borderId="24" xfId="58" applyFont="1" applyFill="1" applyBorder="1" applyProtection="1">
      <alignment/>
      <protection locked="0"/>
    </xf>
    <xf numFmtId="3" fontId="10" fillId="34" borderId="19" xfId="58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3" fontId="10" fillId="34" borderId="20" xfId="58" applyNumberFormat="1" applyFont="1" applyFill="1" applyBorder="1" applyAlignment="1" applyProtection="1">
      <alignment horizontal="right"/>
      <protection/>
    </xf>
    <xf numFmtId="0" fontId="10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Alignment="1" applyProtection="1">
      <alignment/>
      <protection locked="0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183" fontId="10" fillId="34" borderId="12" xfId="0" applyNumberFormat="1" applyFont="1" applyFill="1" applyBorder="1" applyAlignment="1">
      <alignment horizontal="center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2" xfId="0" applyNumberFormat="1" applyFont="1" applyFill="1" applyBorder="1" applyAlignment="1">
      <alignment horizontal="center"/>
    </xf>
    <xf numFmtId="17" fontId="67" fillId="41" borderId="21" xfId="69" applyNumberFormat="1" applyFont="1" applyFill="1" applyBorder="1" applyAlignment="1" applyProtection="1">
      <alignment horizontal="center"/>
      <protection/>
    </xf>
    <xf numFmtId="17" fontId="67" fillId="41" borderId="22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0" fontId="13" fillId="34" borderId="24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13" fillId="34" borderId="24" xfId="57" applyNumberFormat="1" applyFont="1" applyFill="1" applyBorder="1" applyAlignment="1" applyProtection="1" quotePrefix="1">
      <alignment horizontal="left" vertical="center" wrapText="1"/>
      <protection locked="0"/>
    </xf>
    <xf numFmtId="3" fontId="13" fillId="34" borderId="0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7" applyNumberFormat="1" applyFont="1" applyFill="1" applyBorder="1" applyAlignment="1" applyProtection="1">
      <alignment horizontal="left" vertical="center" wrapText="1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3" fontId="13" fillId="34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24" xfId="55" applyNumberFormat="1" applyFont="1" applyFill="1" applyBorder="1" applyAlignment="1" applyProtection="1" quotePrefix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justify" vertical="center" wrapText="1"/>
      <protection locked="0"/>
    </xf>
    <xf numFmtId="180" fontId="68" fillId="0" borderId="0" xfId="69" applyFont="1" applyFill="1" applyBorder="1" applyAlignment="1" applyProtection="1">
      <alignment horizontal="left"/>
      <protection/>
    </xf>
    <xf numFmtId="0" fontId="13" fillId="34" borderId="25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3" fontId="12" fillId="34" borderId="23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67" fillId="40" borderId="23" xfId="0" applyFont="1" applyFill="1" applyBorder="1" applyAlignment="1" applyProtection="1">
      <alignment horizontal="center" vertical="center"/>
      <protection locked="0"/>
    </xf>
    <xf numFmtId="0" fontId="67" fillId="40" borderId="14" xfId="0" applyFont="1" applyFill="1" applyBorder="1" applyAlignment="1" applyProtection="1">
      <alignment horizontal="center" vertical="center"/>
      <protection locked="0"/>
    </xf>
    <xf numFmtId="0" fontId="67" fillId="40" borderId="17" xfId="0" applyFont="1" applyFill="1" applyBorder="1" applyAlignment="1" applyProtection="1">
      <alignment horizontal="center" vertical="center"/>
      <protection locked="0"/>
    </xf>
    <xf numFmtId="3" fontId="13" fillId="34" borderId="24" xfId="55" applyNumberFormat="1" applyFont="1" applyFill="1" applyBorder="1" applyAlignment="1" applyProtection="1">
      <alignment horizontal="justify" vertical="center" wrapText="1"/>
      <protection locked="0"/>
    </xf>
    <xf numFmtId="0" fontId="67" fillId="41" borderId="23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17" xfId="57" applyFont="1" applyFill="1" applyBorder="1" applyAlignment="1">
      <alignment horizontal="center"/>
      <protection/>
    </xf>
    <xf numFmtId="0" fontId="67" fillId="40" borderId="25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6" xfId="0" applyFont="1" applyFill="1" applyBorder="1" applyAlignment="1">
      <alignment horizontal="center"/>
    </xf>
    <xf numFmtId="3" fontId="13" fillId="34" borderId="0" xfId="55" applyNumberFormat="1" applyFont="1" applyFill="1" applyBorder="1" applyAlignment="1" applyProtection="1" quotePrefix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 quotePrefix="1">
      <alignment horizontal="left" vertical="center" wrapText="1"/>
      <protection locked="0"/>
    </xf>
    <xf numFmtId="0" fontId="67" fillId="41" borderId="21" xfId="57" applyFont="1" applyFill="1" applyBorder="1" applyAlignment="1">
      <alignment horizontal="center"/>
      <protection/>
    </xf>
    <xf numFmtId="0" fontId="67" fillId="41" borderId="22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0" fontId="67" fillId="40" borderId="23" xfId="0" applyFont="1" applyFill="1" applyBorder="1" applyAlignment="1" applyProtection="1">
      <alignment horizontal="center"/>
      <protection locked="0"/>
    </xf>
    <xf numFmtId="0" fontId="67" fillId="40" borderId="14" xfId="0" applyFont="1" applyFill="1" applyBorder="1" applyAlignment="1" applyProtection="1">
      <alignment horizontal="center"/>
      <protection locked="0"/>
    </xf>
    <xf numFmtId="0" fontId="67" fillId="40" borderId="17" xfId="0" applyFont="1" applyFill="1" applyBorder="1" applyAlignment="1" applyProtection="1">
      <alignment horizontal="center"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  <xf numFmtId="3" fontId="13" fillId="34" borderId="24" xfId="58" applyNumberFormat="1" applyFont="1" applyFill="1" applyBorder="1" applyAlignment="1">
      <alignment horizontal="left"/>
      <protection/>
    </xf>
    <xf numFmtId="3" fontId="13" fillId="34" borderId="0" xfId="58" applyNumberFormat="1" applyFont="1" applyFill="1" applyBorder="1" applyAlignment="1">
      <alignment horizontal="left"/>
      <protection/>
    </xf>
    <xf numFmtId="3" fontId="13" fillId="34" borderId="11" xfId="58" applyNumberFormat="1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113</xdr:row>
      <xdr:rowOff>28575</xdr:rowOff>
    </xdr:from>
    <xdr:to>
      <xdr:col>2</xdr:col>
      <xdr:colOff>600075</xdr:colOff>
      <xdr:row>113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28650" y="26679525"/>
          <a:ext cx="1847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7"/>
  <sheetViews>
    <sheetView showGridLines="0" tabSelected="1" view="pageBreakPreview" zoomScale="70" zoomScaleNormal="85" zoomScaleSheetLayoutView="70" zoomScalePageLayoutView="80" workbookViewId="0" topLeftCell="A1">
      <selection activeCell="N2" sqref="N2"/>
    </sheetView>
  </sheetViews>
  <sheetFormatPr defaultColWidth="11.421875" defaultRowHeight="15"/>
  <cols>
    <col min="1" max="1" width="9.421875" style="3" customWidth="1"/>
    <col min="2" max="3" width="18.7109375" style="0" customWidth="1"/>
    <col min="4" max="4" width="30.140625" style="0" customWidth="1"/>
    <col min="5" max="5" width="15.7109375" style="0" customWidth="1"/>
    <col min="6" max="6" width="22.421875" style="0" customWidth="1"/>
    <col min="7" max="7" width="18.7109375" style="2" customWidth="1"/>
    <col min="8" max="9" width="24.140625" style="0" customWidth="1"/>
    <col min="10" max="10" width="17.140625" style="0" bestFit="1" customWidth="1"/>
    <col min="11" max="11" width="11.8515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69"/>
      <c r="C2" s="169"/>
      <c r="D2" s="278" t="s">
        <v>74</v>
      </c>
      <c r="E2" s="278"/>
      <c r="F2" s="278"/>
      <c r="G2" s="278"/>
      <c r="H2" s="278"/>
      <c r="I2" s="278"/>
      <c r="J2" s="278"/>
    </row>
    <row r="3" spans="2:11" s="3" customFormat="1" ht="18" customHeight="1">
      <c r="B3" s="82"/>
      <c r="C3" s="88"/>
      <c r="D3" s="279" t="s">
        <v>146</v>
      </c>
      <c r="E3" s="279"/>
      <c r="F3" s="279"/>
      <c r="G3" s="279"/>
      <c r="H3" s="279"/>
      <c r="I3" s="279"/>
      <c r="J3" s="279"/>
      <c r="K3" s="13"/>
    </row>
    <row r="4" spans="2:11" s="3" customFormat="1" ht="18" customHeight="1">
      <c r="B4" s="82"/>
      <c r="C4" s="88"/>
      <c r="D4" s="279" t="s">
        <v>66</v>
      </c>
      <c r="E4" s="279"/>
      <c r="F4" s="279"/>
      <c r="G4" s="279"/>
      <c r="H4" s="279"/>
      <c r="I4" s="279"/>
      <c r="J4" s="279"/>
      <c r="K4" s="13"/>
    </row>
    <row r="5" spans="2:11" s="3" customFormat="1" ht="18" customHeight="1">
      <c r="B5" s="41"/>
      <c r="C5" s="41"/>
      <c r="D5" s="89"/>
      <c r="E5" s="42"/>
      <c r="F5" s="42"/>
      <c r="G5" s="85"/>
      <c r="H5" s="42"/>
      <c r="I5" s="41"/>
      <c r="J5" s="90"/>
      <c r="K5" s="15"/>
    </row>
    <row r="6" spans="2:11" s="3" customFormat="1" ht="18" customHeight="1">
      <c r="B6" s="41"/>
      <c r="C6" s="41"/>
      <c r="D6" s="283" t="s">
        <v>30</v>
      </c>
      <c r="E6" s="284"/>
      <c r="F6" s="284"/>
      <c r="G6" s="284"/>
      <c r="H6" s="284"/>
      <c r="I6" s="284"/>
      <c r="J6" s="285"/>
      <c r="K6" s="15"/>
    </row>
    <row r="7" spans="2:11" s="3" customFormat="1" ht="18" customHeight="1">
      <c r="B7" s="41"/>
      <c r="C7" s="41"/>
      <c r="D7" s="134" t="s">
        <v>120</v>
      </c>
      <c r="E7" s="126"/>
      <c r="F7" s="80"/>
      <c r="G7" s="131" t="s">
        <v>152</v>
      </c>
      <c r="H7" s="156"/>
      <c r="I7" s="157"/>
      <c r="J7" s="97"/>
      <c r="K7" s="15"/>
    </row>
    <row r="8" spans="2:11" s="3" customFormat="1" ht="18" customHeight="1">
      <c r="B8" s="41"/>
      <c r="C8" s="41"/>
      <c r="D8" s="135" t="s">
        <v>72</v>
      </c>
      <c r="E8" s="81"/>
      <c r="F8" s="81"/>
      <c r="G8" s="132" t="s">
        <v>68</v>
      </c>
      <c r="H8" s="158"/>
      <c r="I8" s="83"/>
      <c r="J8" s="98"/>
      <c r="K8" s="15"/>
    </row>
    <row r="9" spans="2:11" s="3" customFormat="1" ht="18" customHeight="1">
      <c r="B9" s="41"/>
      <c r="C9" s="41"/>
      <c r="D9" s="135" t="s">
        <v>106</v>
      </c>
      <c r="E9" s="81"/>
      <c r="F9" s="81"/>
      <c r="G9" s="132" t="s">
        <v>62</v>
      </c>
      <c r="H9" s="158"/>
      <c r="I9" s="83"/>
      <c r="J9" s="98"/>
      <c r="K9" s="17"/>
    </row>
    <row r="10" spans="2:11" s="3" customFormat="1" ht="18" customHeight="1">
      <c r="B10" s="41"/>
      <c r="C10" s="41"/>
      <c r="D10" s="136" t="s">
        <v>103</v>
      </c>
      <c r="E10" s="99"/>
      <c r="F10" s="99"/>
      <c r="G10" s="133" t="s">
        <v>121</v>
      </c>
      <c r="H10" s="159"/>
      <c r="I10" s="100"/>
      <c r="J10" s="101"/>
      <c r="K10" s="17"/>
    </row>
    <row r="11" spans="2:11" s="3" customFormat="1" ht="18" customHeight="1">
      <c r="B11" s="41"/>
      <c r="C11" s="41"/>
      <c r="D11" s="25"/>
      <c r="E11" s="81"/>
      <c r="F11" s="81"/>
      <c r="G11" s="25"/>
      <c r="H11" s="82"/>
      <c r="I11" s="83"/>
      <c r="J11" s="95"/>
      <c r="K11" s="17"/>
    </row>
    <row r="12" spans="2:11" ht="18">
      <c r="B12" s="325" t="s">
        <v>31</v>
      </c>
      <c r="C12" s="326"/>
      <c r="D12" s="326"/>
      <c r="E12" s="327"/>
      <c r="F12" s="40"/>
      <c r="G12" s="333" t="s">
        <v>4</v>
      </c>
      <c r="H12" s="334"/>
      <c r="I12" s="334"/>
      <c r="J12" s="335"/>
      <c r="K12" s="15"/>
    </row>
    <row r="13" spans="2:11" ht="17.25" customHeight="1">
      <c r="B13" s="164" t="s">
        <v>105</v>
      </c>
      <c r="C13" s="160"/>
      <c r="D13" s="126"/>
      <c r="E13" s="165">
        <v>29000</v>
      </c>
      <c r="F13" s="41"/>
      <c r="G13" s="236" t="s">
        <v>108</v>
      </c>
      <c r="H13" s="126"/>
      <c r="I13" s="126"/>
      <c r="J13" s="187">
        <f>rendimiento*precio_de_venta</f>
        <v>5510000</v>
      </c>
      <c r="K13" s="15"/>
    </row>
    <row r="14" spans="2:11" ht="18" customHeight="1">
      <c r="B14" s="191" t="s">
        <v>129</v>
      </c>
      <c r="C14" s="161"/>
      <c r="D14" s="161"/>
      <c r="E14" s="190">
        <v>190</v>
      </c>
      <c r="F14" s="41"/>
      <c r="G14" s="237" t="s">
        <v>109</v>
      </c>
      <c r="H14" s="127"/>
      <c r="I14" s="127"/>
      <c r="J14" s="188">
        <f>total_mano_obra+total_maquinaria+total_insumos+J71</f>
        <v>4105652.25</v>
      </c>
      <c r="K14" s="15"/>
    </row>
    <row r="15" spans="2:11" ht="18">
      <c r="B15" s="166" t="s">
        <v>86</v>
      </c>
      <c r="C15" s="162"/>
      <c r="D15" s="127"/>
      <c r="E15" s="190">
        <v>16500</v>
      </c>
      <c r="F15" s="41"/>
      <c r="G15" s="237" t="s">
        <v>110</v>
      </c>
      <c r="H15" s="128"/>
      <c r="I15" s="127"/>
      <c r="J15" s="188">
        <f>total_mano_obra+total_maquinaria+total_insumos+J71+total_costos_indirectos</f>
        <v>4321198.993125</v>
      </c>
      <c r="K15" s="15"/>
    </row>
    <row r="16" spans="2:11" ht="18">
      <c r="B16" s="166" t="s">
        <v>2</v>
      </c>
      <c r="C16" s="163"/>
      <c r="D16" s="127"/>
      <c r="E16" s="167">
        <v>0.015</v>
      </c>
      <c r="F16" s="41"/>
      <c r="G16" s="237" t="s">
        <v>111</v>
      </c>
      <c r="H16" s="127"/>
      <c r="I16" s="127"/>
      <c r="J16" s="188">
        <f>J13-J14</f>
        <v>1404347.75</v>
      </c>
      <c r="K16" s="15"/>
    </row>
    <row r="17" spans="2:11" ht="18">
      <c r="B17" s="166" t="s">
        <v>3</v>
      </c>
      <c r="C17" s="163"/>
      <c r="D17" s="127"/>
      <c r="E17" s="199">
        <v>7</v>
      </c>
      <c r="F17" s="41"/>
      <c r="G17" s="237" t="s">
        <v>112</v>
      </c>
      <c r="H17" s="127"/>
      <c r="I17" s="127"/>
      <c r="J17" s="188">
        <f>J13-J15</f>
        <v>1188801.006875</v>
      </c>
      <c r="K17" s="15"/>
    </row>
    <row r="18" spans="2:11" ht="18">
      <c r="B18" s="195"/>
      <c r="C18" s="196"/>
      <c r="D18" s="197"/>
      <c r="E18" s="198"/>
      <c r="F18" s="41"/>
      <c r="G18" s="238" t="s">
        <v>27</v>
      </c>
      <c r="H18" s="129"/>
      <c r="I18" s="130"/>
      <c r="J18" s="189">
        <f>total_costos/rendimiento</f>
        <v>149.00686183189654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92" t="s">
        <v>28</v>
      </c>
      <c r="C20" s="91"/>
      <c r="D20" s="91"/>
      <c r="E20" s="340"/>
      <c r="F20" s="340"/>
      <c r="G20" s="102"/>
      <c r="H20" s="103"/>
      <c r="I20" s="104"/>
      <c r="J20" s="105"/>
      <c r="K20" s="15"/>
    </row>
    <row r="21" spans="2:11" s="3" customFormat="1" ht="18">
      <c r="B21" s="200" t="s">
        <v>7</v>
      </c>
      <c r="C21" s="201"/>
      <c r="D21" s="201"/>
      <c r="E21" s="205" t="s">
        <v>75</v>
      </c>
      <c r="F21" s="205"/>
      <c r="G21" s="170" t="s">
        <v>5</v>
      </c>
      <c r="H21" s="171" t="s">
        <v>6</v>
      </c>
      <c r="I21" s="172" t="s">
        <v>76</v>
      </c>
      <c r="J21" s="173" t="s">
        <v>1</v>
      </c>
      <c r="K21" s="15"/>
    </row>
    <row r="22" spans="2:11" s="3" customFormat="1" ht="18">
      <c r="B22" s="144" t="s">
        <v>54</v>
      </c>
      <c r="C22" s="140"/>
      <c r="D22" s="141"/>
      <c r="E22" s="206" t="s">
        <v>87</v>
      </c>
      <c r="F22" s="207"/>
      <c r="G22" s="182">
        <v>2</v>
      </c>
      <c r="H22" s="175" t="s">
        <v>77</v>
      </c>
      <c r="I22" s="176">
        <f>$E$15</f>
        <v>16500</v>
      </c>
      <c r="J22" s="107">
        <f aca="true" t="shared" si="0" ref="J22:J28">G22*I22</f>
        <v>33000</v>
      </c>
      <c r="K22" s="15"/>
    </row>
    <row r="23" spans="2:11" s="3" customFormat="1" ht="18">
      <c r="B23" s="144" t="s">
        <v>49</v>
      </c>
      <c r="C23" s="140"/>
      <c r="D23" s="141"/>
      <c r="E23" s="206" t="s">
        <v>88</v>
      </c>
      <c r="F23" s="207"/>
      <c r="G23" s="182">
        <v>3</v>
      </c>
      <c r="H23" s="175" t="s">
        <v>77</v>
      </c>
      <c r="I23" s="176">
        <f>$E$15</f>
        <v>16500</v>
      </c>
      <c r="J23" s="107">
        <f t="shared" si="0"/>
        <v>49500</v>
      </c>
      <c r="K23" s="15"/>
    </row>
    <row r="24" spans="2:11" s="3" customFormat="1" ht="18">
      <c r="B24" s="148" t="s">
        <v>55</v>
      </c>
      <c r="C24" s="149"/>
      <c r="D24" s="150"/>
      <c r="E24" s="206" t="s">
        <v>89</v>
      </c>
      <c r="F24" s="207"/>
      <c r="G24" s="182">
        <v>2</v>
      </c>
      <c r="H24" s="175" t="s">
        <v>77</v>
      </c>
      <c r="I24" s="176">
        <f>$E$15</f>
        <v>16500</v>
      </c>
      <c r="J24" s="107">
        <f t="shared" si="0"/>
        <v>33000</v>
      </c>
      <c r="K24" s="15"/>
    </row>
    <row r="25" spans="2:11" s="3" customFormat="1" ht="18">
      <c r="B25" s="148" t="s">
        <v>47</v>
      </c>
      <c r="C25" s="149"/>
      <c r="D25" s="150"/>
      <c r="E25" s="206" t="s">
        <v>90</v>
      </c>
      <c r="F25" s="207"/>
      <c r="G25" s="182">
        <v>4</v>
      </c>
      <c r="H25" s="175" t="s">
        <v>77</v>
      </c>
      <c r="I25" s="176">
        <f>$E$15</f>
        <v>16500</v>
      </c>
      <c r="J25" s="107">
        <f t="shared" si="0"/>
        <v>66000</v>
      </c>
      <c r="K25" s="15"/>
    </row>
    <row r="26" spans="2:11" s="3" customFormat="1" ht="18">
      <c r="B26" s="148" t="s">
        <v>50</v>
      </c>
      <c r="C26" s="149"/>
      <c r="D26" s="150"/>
      <c r="E26" s="206" t="s">
        <v>91</v>
      </c>
      <c r="F26" s="207"/>
      <c r="G26" s="182">
        <v>3</v>
      </c>
      <c r="H26" s="175" t="s">
        <v>77</v>
      </c>
      <c r="I26" s="176">
        <f>$E$15</f>
        <v>16500</v>
      </c>
      <c r="J26" s="107">
        <f t="shared" si="0"/>
        <v>49500</v>
      </c>
      <c r="K26" s="15"/>
    </row>
    <row r="27" spans="2:11" s="3" customFormat="1" ht="21" customHeight="1">
      <c r="B27" s="192" t="s">
        <v>130</v>
      </c>
      <c r="C27" s="149"/>
      <c r="D27" s="150"/>
      <c r="E27" s="206" t="s">
        <v>92</v>
      </c>
      <c r="F27" s="207"/>
      <c r="G27" s="182">
        <f>E13</f>
        <v>29000</v>
      </c>
      <c r="H27" s="175" t="s">
        <v>78</v>
      </c>
      <c r="I27" s="176">
        <v>18</v>
      </c>
      <c r="J27" s="107">
        <f t="shared" si="0"/>
        <v>522000</v>
      </c>
      <c r="K27" s="15"/>
    </row>
    <row r="28" spans="2:11" s="3" customFormat="1" ht="18">
      <c r="B28" s="153" t="s">
        <v>56</v>
      </c>
      <c r="C28" s="154"/>
      <c r="D28" s="155"/>
      <c r="E28" s="208" t="s">
        <v>92</v>
      </c>
      <c r="F28" s="209"/>
      <c r="G28" s="182">
        <f>E13</f>
        <v>29000</v>
      </c>
      <c r="H28" s="175" t="s">
        <v>78</v>
      </c>
      <c r="I28" s="176">
        <v>3</v>
      </c>
      <c r="J28" s="107">
        <f t="shared" si="0"/>
        <v>87000</v>
      </c>
      <c r="K28" s="15"/>
    </row>
    <row r="29" spans="2:11" ht="18">
      <c r="B29" s="202" t="s">
        <v>8</v>
      </c>
      <c r="C29" s="203"/>
      <c r="D29" s="203"/>
      <c r="E29" s="203"/>
      <c r="F29" s="203"/>
      <c r="G29" s="203"/>
      <c r="H29" s="203"/>
      <c r="I29" s="203"/>
      <c r="J29" s="84">
        <f>SUM(J22:J28)</f>
        <v>840000</v>
      </c>
      <c r="K29" s="15"/>
    </row>
    <row r="30" spans="2:11" s="3" customFormat="1" ht="18">
      <c r="B30" s="19"/>
      <c r="C30" s="19"/>
      <c r="D30" s="19"/>
      <c r="E30" s="19"/>
      <c r="F30" s="19"/>
      <c r="G30" s="110"/>
      <c r="H30" s="19"/>
      <c r="I30" s="19"/>
      <c r="J30" s="111"/>
      <c r="K30" s="15"/>
    </row>
    <row r="31" spans="2:11" s="27" customFormat="1" ht="36">
      <c r="B31" s="200" t="s">
        <v>131</v>
      </c>
      <c r="C31" s="201"/>
      <c r="D31" s="201"/>
      <c r="E31" s="205" t="s">
        <v>75</v>
      </c>
      <c r="F31" s="205"/>
      <c r="G31" s="170" t="s">
        <v>5</v>
      </c>
      <c r="H31" s="171" t="s">
        <v>6</v>
      </c>
      <c r="I31" s="172" t="s">
        <v>76</v>
      </c>
      <c r="J31" s="173" t="s">
        <v>1</v>
      </c>
      <c r="K31" s="15"/>
    </row>
    <row r="32" spans="2:11" s="3" customFormat="1" ht="18">
      <c r="B32" s="151" t="s">
        <v>67</v>
      </c>
      <c r="C32" s="152"/>
      <c r="D32" s="152"/>
      <c r="E32" s="210" t="s">
        <v>87</v>
      </c>
      <c r="F32" s="211"/>
      <c r="G32" s="183">
        <v>2</v>
      </c>
      <c r="H32" s="177" t="s">
        <v>79</v>
      </c>
      <c r="I32" s="178">
        <v>30000</v>
      </c>
      <c r="J32" s="108">
        <f>G32*I32</f>
        <v>60000</v>
      </c>
      <c r="K32" s="15"/>
    </row>
    <row r="33" spans="2:11" s="3" customFormat="1" ht="18">
      <c r="B33" s="144" t="s">
        <v>48</v>
      </c>
      <c r="C33" s="140"/>
      <c r="D33" s="141"/>
      <c r="E33" s="212" t="s">
        <v>87</v>
      </c>
      <c r="F33" s="213"/>
      <c r="G33" s="184">
        <v>2</v>
      </c>
      <c r="H33" s="174" t="s">
        <v>79</v>
      </c>
      <c r="I33" s="179">
        <v>25000</v>
      </c>
      <c r="J33" s="106">
        <f aca="true" t="shared" si="1" ref="J33:J42">G33*I33</f>
        <v>50000</v>
      </c>
      <c r="K33" s="15"/>
    </row>
    <row r="34" spans="2:11" s="3" customFormat="1" ht="18">
      <c r="B34" s="144" t="s">
        <v>58</v>
      </c>
      <c r="C34" s="140"/>
      <c r="D34" s="141"/>
      <c r="E34" s="212" t="s">
        <v>87</v>
      </c>
      <c r="F34" s="213"/>
      <c r="G34" s="184">
        <v>1</v>
      </c>
      <c r="H34" s="174" t="s">
        <v>79</v>
      </c>
      <c r="I34" s="179">
        <v>90000</v>
      </c>
      <c r="J34" s="106">
        <f>G34*I34</f>
        <v>90000</v>
      </c>
      <c r="K34" s="15"/>
    </row>
    <row r="35" spans="2:11" s="3" customFormat="1" ht="18">
      <c r="B35" s="144" t="s">
        <v>52</v>
      </c>
      <c r="C35" s="140"/>
      <c r="D35" s="141"/>
      <c r="E35" s="212" t="s">
        <v>93</v>
      </c>
      <c r="F35" s="213"/>
      <c r="G35" s="184">
        <v>2</v>
      </c>
      <c r="H35" s="174" t="s">
        <v>79</v>
      </c>
      <c r="I35" s="179">
        <v>8000</v>
      </c>
      <c r="J35" s="106">
        <f t="shared" si="1"/>
        <v>16000</v>
      </c>
      <c r="K35" s="15"/>
    </row>
    <row r="36" spans="2:11" s="3" customFormat="1" ht="18">
      <c r="B36" s="148" t="s">
        <v>49</v>
      </c>
      <c r="C36" s="149"/>
      <c r="D36" s="150"/>
      <c r="E36" s="212" t="s">
        <v>87</v>
      </c>
      <c r="F36" s="213"/>
      <c r="G36" s="184">
        <v>1</v>
      </c>
      <c r="H36" s="174" t="s">
        <v>79</v>
      </c>
      <c r="I36" s="179">
        <v>50000</v>
      </c>
      <c r="J36" s="106">
        <f t="shared" si="1"/>
        <v>50000</v>
      </c>
      <c r="K36" s="15"/>
    </row>
    <row r="37" spans="2:11" s="3" customFormat="1" ht="18">
      <c r="B37" s="144" t="s">
        <v>59</v>
      </c>
      <c r="C37" s="140"/>
      <c r="D37" s="141"/>
      <c r="E37" s="212" t="s">
        <v>94</v>
      </c>
      <c r="F37" s="213"/>
      <c r="G37" s="184">
        <v>4</v>
      </c>
      <c r="H37" s="174" t="s">
        <v>79</v>
      </c>
      <c r="I37" s="179">
        <v>15000</v>
      </c>
      <c r="J37" s="106">
        <f t="shared" si="1"/>
        <v>60000</v>
      </c>
      <c r="K37" s="15"/>
    </row>
    <row r="38" spans="2:11" s="3" customFormat="1" ht="18">
      <c r="B38" s="148" t="s">
        <v>141</v>
      </c>
      <c r="C38" s="266"/>
      <c r="D38" s="150"/>
      <c r="E38" s="267" t="s">
        <v>142</v>
      </c>
      <c r="F38" s="268"/>
      <c r="G38" s="269">
        <v>1</v>
      </c>
      <c r="H38" s="270" t="s">
        <v>79</v>
      </c>
      <c r="I38" s="271">
        <v>25000</v>
      </c>
      <c r="J38" s="106">
        <f>G38*I38</f>
        <v>25000</v>
      </c>
      <c r="K38" s="15"/>
    </row>
    <row r="39" spans="2:11" s="3" customFormat="1" ht="18">
      <c r="B39" s="148" t="s">
        <v>53</v>
      </c>
      <c r="C39" s="149"/>
      <c r="D39" s="150"/>
      <c r="E39" s="212" t="s">
        <v>93</v>
      </c>
      <c r="F39" s="213"/>
      <c r="G39" s="184">
        <v>2</v>
      </c>
      <c r="H39" s="174" t="s">
        <v>79</v>
      </c>
      <c r="I39" s="179">
        <v>25000</v>
      </c>
      <c r="J39" s="106">
        <f t="shared" si="1"/>
        <v>50000</v>
      </c>
      <c r="K39" s="15"/>
    </row>
    <row r="40" spans="2:11" s="3" customFormat="1" ht="18">
      <c r="B40" s="144" t="s">
        <v>61</v>
      </c>
      <c r="C40" s="140"/>
      <c r="D40" s="141"/>
      <c r="E40" s="212" t="s">
        <v>95</v>
      </c>
      <c r="F40" s="213"/>
      <c r="G40" s="184">
        <v>1</v>
      </c>
      <c r="H40" s="174" t="s">
        <v>79</v>
      </c>
      <c r="I40" s="179">
        <v>25000</v>
      </c>
      <c r="J40" s="106">
        <f t="shared" si="1"/>
        <v>25000</v>
      </c>
      <c r="K40" s="15"/>
    </row>
    <row r="41" spans="2:11" s="3" customFormat="1" ht="18">
      <c r="B41" s="144" t="s">
        <v>60</v>
      </c>
      <c r="C41" s="140"/>
      <c r="D41" s="193"/>
      <c r="E41" s="212" t="s">
        <v>101</v>
      </c>
      <c r="F41" s="213"/>
      <c r="G41" s="182">
        <f>rdto_variable!$C$2*rdto_variable!E8</f>
        <v>29000</v>
      </c>
      <c r="H41" s="174" t="s">
        <v>78</v>
      </c>
      <c r="I41" s="179">
        <v>9</v>
      </c>
      <c r="J41" s="106">
        <f t="shared" si="1"/>
        <v>261000</v>
      </c>
      <c r="K41" s="15"/>
    </row>
    <row r="42" spans="2:11" s="3" customFormat="1" ht="18">
      <c r="B42" s="144" t="s">
        <v>63</v>
      </c>
      <c r="C42" s="140"/>
      <c r="D42" s="141"/>
      <c r="E42" s="212" t="s">
        <v>101</v>
      </c>
      <c r="F42" s="213"/>
      <c r="G42" s="182">
        <f>rdto_variable!$C$2*rdto_variable!E9</f>
        <v>29000</v>
      </c>
      <c r="H42" s="174" t="s">
        <v>78</v>
      </c>
      <c r="I42" s="179">
        <v>3</v>
      </c>
      <c r="J42" s="109">
        <f t="shared" si="1"/>
        <v>87000</v>
      </c>
      <c r="K42" s="15"/>
    </row>
    <row r="43" spans="2:12" ht="18">
      <c r="B43" s="202" t="s">
        <v>10</v>
      </c>
      <c r="C43" s="203"/>
      <c r="D43" s="203"/>
      <c r="E43" s="203"/>
      <c r="F43" s="203"/>
      <c r="G43" s="203"/>
      <c r="H43" s="203"/>
      <c r="I43" s="203"/>
      <c r="J43" s="93">
        <f>SUM(J32:J42)</f>
        <v>774000</v>
      </c>
      <c r="K43" s="15"/>
      <c r="L43" s="15"/>
    </row>
    <row r="44" spans="2:12" s="3" customFormat="1" ht="18">
      <c r="B44" s="78"/>
      <c r="C44" s="78"/>
      <c r="D44" s="78"/>
      <c r="E44" s="78"/>
      <c r="F44" s="78"/>
      <c r="G44" s="24" t="s">
        <v>33</v>
      </c>
      <c r="H44" s="78"/>
      <c r="I44" s="78"/>
      <c r="J44" s="26"/>
      <c r="K44" s="15"/>
      <c r="L44" s="18"/>
    </row>
    <row r="45" spans="2:12" s="3" customFormat="1" ht="21">
      <c r="B45" s="200" t="s">
        <v>132</v>
      </c>
      <c r="C45" s="201"/>
      <c r="D45" s="201"/>
      <c r="E45" s="214" t="s">
        <v>75</v>
      </c>
      <c r="F45" s="214"/>
      <c r="G45" s="170" t="s">
        <v>5</v>
      </c>
      <c r="H45" s="171" t="s">
        <v>6</v>
      </c>
      <c r="I45" s="172" t="s">
        <v>76</v>
      </c>
      <c r="J45" s="173" t="s">
        <v>1</v>
      </c>
      <c r="K45" s="15"/>
      <c r="L45" s="23"/>
    </row>
    <row r="46" spans="2:12" s="3" customFormat="1" ht="18">
      <c r="B46" s="276" t="s">
        <v>73</v>
      </c>
      <c r="C46" s="137"/>
      <c r="D46" s="138"/>
      <c r="E46" s="215" t="s">
        <v>96</v>
      </c>
      <c r="F46" s="216"/>
      <c r="G46" s="185">
        <v>2800</v>
      </c>
      <c r="H46" s="180" t="s">
        <v>78</v>
      </c>
      <c r="I46" s="181">
        <v>350</v>
      </c>
      <c r="J46" s="10">
        <f>G46*I46</f>
        <v>980000</v>
      </c>
      <c r="K46" s="15"/>
      <c r="L46" s="23"/>
    </row>
    <row r="47" spans="2:12" s="3" customFormat="1" ht="18">
      <c r="B47" s="139" t="s">
        <v>24</v>
      </c>
      <c r="C47" s="137"/>
      <c r="D47" s="138"/>
      <c r="E47" s="217"/>
      <c r="F47" s="218"/>
      <c r="G47" s="185"/>
      <c r="H47" s="180"/>
      <c r="I47" s="181"/>
      <c r="J47" s="10"/>
      <c r="K47" s="15"/>
      <c r="L47" s="23"/>
    </row>
    <row r="48" spans="2:12" s="3" customFormat="1" ht="18">
      <c r="B48" s="276" t="s">
        <v>70</v>
      </c>
      <c r="C48" s="142"/>
      <c r="D48" s="143"/>
      <c r="E48" s="217" t="s">
        <v>87</v>
      </c>
      <c r="F48" s="218"/>
      <c r="G48" s="186">
        <v>1300</v>
      </c>
      <c r="H48" s="175" t="s">
        <v>78</v>
      </c>
      <c r="I48" s="181">
        <v>420</v>
      </c>
      <c r="J48" s="10">
        <f>G48*I48</f>
        <v>546000</v>
      </c>
      <c r="K48" s="15"/>
      <c r="L48" s="23"/>
    </row>
    <row r="49" spans="2:12" s="3" customFormat="1" ht="18">
      <c r="B49" s="144" t="s">
        <v>137</v>
      </c>
      <c r="C49" s="277"/>
      <c r="D49" s="143"/>
      <c r="E49" s="217" t="s">
        <v>97</v>
      </c>
      <c r="F49" s="218"/>
      <c r="G49" s="186">
        <v>200</v>
      </c>
      <c r="H49" s="175" t="s">
        <v>78</v>
      </c>
      <c r="I49" s="181">
        <v>390</v>
      </c>
      <c r="J49" s="10">
        <f>G49*I49</f>
        <v>78000</v>
      </c>
      <c r="K49" s="15"/>
      <c r="L49" s="23"/>
    </row>
    <row r="50" spans="2:12" s="3" customFormat="1" ht="18">
      <c r="B50" s="144" t="s">
        <v>138</v>
      </c>
      <c r="C50" s="277"/>
      <c r="D50" s="143"/>
      <c r="E50" s="217" t="s">
        <v>97</v>
      </c>
      <c r="F50" s="218"/>
      <c r="G50" s="186">
        <v>200</v>
      </c>
      <c r="H50" s="175" t="s">
        <v>78</v>
      </c>
      <c r="I50" s="181">
        <v>455</v>
      </c>
      <c r="J50" s="10">
        <f>G50*I50</f>
        <v>91000</v>
      </c>
      <c r="K50" s="15"/>
      <c r="L50" s="23"/>
    </row>
    <row r="51" spans="2:12" s="3" customFormat="1" ht="18">
      <c r="B51" s="145" t="s">
        <v>25</v>
      </c>
      <c r="C51" s="146"/>
      <c r="D51" s="147"/>
      <c r="E51" s="217"/>
      <c r="F51" s="218"/>
      <c r="G51" s="186"/>
      <c r="H51" s="175"/>
      <c r="I51" s="181"/>
      <c r="J51" s="10"/>
      <c r="K51" s="15"/>
      <c r="L51" s="23"/>
    </row>
    <row r="52" spans="2:12" s="3" customFormat="1" ht="18">
      <c r="B52" s="144" t="s">
        <v>148</v>
      </c>
      <c r="C52" s="140"/>
      <c r="D52" s="141"/>
      <c r="E52" s="217" t="s">
        <v>98</v>
      </c>
      <c r="F52" s="218"/>
      <c r="G52" s="186">
        <v>2</v>
      </c>
      <c r="H52" s="175" t="s">
        <v>78</v>
      </c>
      <c r="I52" s="181">
        <v>24250</v>
      </c>
      <c r="J52" s="10">
        <f>G52*I52</f>
        <v>48500</v>
      </c>
      <c r="K52" s="15"/>
      <c r="L52" s="23"/>
    </row>
    <row r="53" spans="2:12" s="3" customFormat="1" ht="18">
      <c r="B53" s="144" t="s">
        <v>147</v>
      </c>
      <c r="C53" s="140"/>
      <c r="D53" s="141"/>
      <c r="E53" s="217" t="s">
        <v>98</v>
      </c>
      <c r="F53" s="218"/>
      <c r="G53" s="186">
        <v>1.5</v>
      </c>
      <c r="H53" s="175" t="s">
        <v>78</v>
      </c>
      <c r="I53" s="181">
        <v>26530</v>
      </c>
      <c r="J53" s="10">
        <f>G53*I53</f>
        <v>39795</v>
      </c>
      <c r="K53" s="15"/>
      <c r="L53" s="23"/>
    </row>
    <row r="54" spans="2:13" s="3" customFormat="1" ht="18">
      <c r="B54" s="145" t="s">
        <v>26</v>
      </c>
      <c r="C54" s="146"/>
      <c r="D54" s="147"/>
      <c r="E54" s="217"/>
      <c r="F54" s="218"/>
      <c r="G54" s="186"/>
      <c r="H54" s="175"/>
      <c r="I54" s="181"/>
      <c r="J54" s="10"/>
      <c r="K54" s="15"/>
      <c r="L54" s="23"/>
      <c r="M54" s="3" t="s">
        <v>34</v>
      </c>
    </row>
    <row r="55" spans="2:12" s="3" customFormat="1" ht="18">
      <c r="B55" s="144" t="s">
        <v>151</v>
      </c>
      <c r="C55" s="140"/>
      <c r="D55" s="141"/>
      <c r="E55" s="217" t="s">
        <v>98</v>
      </c>
      <c r="F55" s="218"/>
      <c r="G55" s="185">
        <v>0.5</v>
      </c>
      <c r="H55" s="180" t="s">
        <v>80</v>
      </c>
      <c r="I55" s="181">
        <v>64200</v>
      </c>
      <c r="J55" s="10">
        <f>G55*I55</f>
        <v>32100</v>
      </c>
      <c r="K55" s="15"/>
      <c r="L55" s="23"/>
    </row>
    <row r="56" spans="2:12" s="3" customFormat="1" ht="18">
      <c r="B56" s="145" t="s">
        <v>65</v>
      </c>
      <c r="C56" s="140"/>
      <c r="D56" s="141"/>
      <c r="E56" s="217"/>
      <c r="F56" s="218"/>
      <c r="G56" s="185"/>
      <c r="H56" s="180"/>
      <c r="I56" s="181"/>
      <c r="J56" s="10"/>
      <c r="K56" s="15"/>
      <c r="L56" s="23"/>
    </row>
    <row r="57" spans="2:12" s="3" customFormat="1" ht="18">
      <c r="B57" s="144" t="s">
        <v>107</v>
      </c>
      <c r="C57" s="140"/>
      <c r="D57" s="141"/>
      <c r="E57" s="217" t="s">
        <v>99</v>
      </c>
      <c r="F57" s="218"/>
      <c r="G57" s="185">
        <v>2</v>
      </c>
      <c r="H57" s="180" t="s">
        <v>80</v>
      </c>
      <c r="I57" s="181">
        <v>9550</v>
      </c>
      <c r="J57" s="10">
        <f>G57*I57</f>
        <v>19100</v>
      </c>
      <c r="K57" s="15"/>
      <c r="L57" s="23"/>
    </row>
    <row r="58" spans="2:12" s="3" customFormat="1" ht="18">
      <c r="B58" s="144" t="s">
        <v>149</v>
      </c>
      <c r="C58" s="140"/>
      <c r="D58" s="141"/>
      <c r="E58" s="217" t="s">
        <v>93</v>
      </c>
      <c r="F58" s="218"/>
      <c r="G58" s="185">
        <v>1</v>
      </c>
      <c r="H58" s="180" t="s">
        <v>80</v>
      </c>
      <c r="I58" s="181">
        <v>35420</v>
      </c>
      <c r="J58" s="10">
        <f>G58*I58</f>
        <v>35420</v>
      </c>
      <c r="K58" s="15"/>
      <c r="L58" s="23"/>
    </row>
    <row r="59" spans="2:12" s="3" customFormat="1" ht="18">
      <c r="B59" s="145" t="s">
        <v>35</v>
      </c>
      <c r="C59" s="140"/>
      <c r="D59" s="141"/>
      <c r="E59" s="217"/>
      <c r="F59" s="218"/>
      <c r="G59" s="185"/>
      <c r="H59" s="180"/>
      <c r="I59" s="181"/>
      <c r="J59" s="10"/>
      <c r="K59" s="15"/>
      <c r="L59" s="23"/>
    </row>
    <row r="60" spans="2:12" s="3" customFormat="1" ht="18">
      <c r="B60" s="144" t="s">
        <v>51</v>
      </c>
      <c r="C60" s="140"/>
      <c r="D60" s="141"/>
      <c r="E60" s="217" t="s">
        <v>100</v>
      </c>
      <c r="F60" s="218"/>
      <c r="G60" s="185">
        <v>4</v>
      </c>
      <c r="H60" s="180" t="s">
        <v>80</v>
      </c>
      <c r="I60" s="181">
        <v>5420</v>
      </c>
      <c r="J60" s="10">
        <f>G60*I60</f>
        <v>21680</v>
      </c>
      <c r="K60" s="15"/>
      <c r="L60" s="23"/>
    </row>
    <row r="61" spans="2:12" s="3" customFormat="1" ht="18">
      <c r="B61" s="144" t="s">
        <v>150</v>
      </c>
      <c r="C61" s="259"/>
      <c r="D61" s="261"/>
      <c r="E61" s="217" t="s">
        <v>139</v>
      </c>
      <c r="F61" s="218"/>
      <c r="G61" s="265">
        <v>4</v>
      </c>
      <c r="H61" s="180" t="s">
        <v>80</v>
      </c>
      <c r="I61" s="181">
        <v>8725</v>
      </c>
      <c r="J61" s="262">
        <v>10550</v>
      </c>
      <c r="K61" s="15"/>
      <c r="L61" s="23"/>
    </row>
    <row r="62" spans="2:12" s="3" customFormat="1" ht="18">
      <c r="B62" s="272" t="s">
        <v>140</v>
      </c>
      <c r="C62" s="259"/>
      <c r="D62" s="261"/>
      <c r="E62" s="263"/>
      <c r="F62" s="264"/>
      <c r="G62" s="265"/>
      <c r="H62" s="180"/>
      <c r="I62" s="181"/>
      <c r="J62" s="262"/>
      <c r="K62" s="15"/>
      <c r="L62" s="23"/>
    </row>
    <row r="63" spans="2:12" s="3" customFormat="1" ht="18">
      <c r="B63" s="260" t="s">
        <v>143</v>
      </c>
      <c r="C63" s="259"/>
      <c r="D63" s="261"/>
      <c r="E63" s="217" t="s">
        <v>142</v>
      </c>
      <c r="F63" s="218"/>
      <c r="G63" s="265">
        <v>5</v>
      </c>
      <c r="H63" s="180" t="s">
        <v>80</v>
      </c>
      <c r="I63" s="181">
        <v>23500</v>
      </c>
      <c r="J63" s="262">
        <f>G63*I63</f>
        <v>117500</v>
      </c>
      <c r="K63" s="15"/>
      <c r="L63" s="23"/>
    </row>
    <row r="64" spans="2:12" s="3" customFormat="1" ht="18">
      <c r="B64" s="139" t="s">
        <v>36</v>
      </c>
      <c r="C64" s="142"/>
      <c r="D64" s="143"/>
      <c r="E64" s="217"/>
      <c r="F64" s="218"/>
      <c r="G64" s="185"/>
      <c r="H64" s="180"/>
      <c r="I64" s="181"/>
      <c r="J64" s="10"/>
      <c r="K64" s="15"/>
      <c r="L64" s="23"/>
    </row>
    <row r="65" spans="2:12" s="3" customFormat="1" ht="18">
      <c r="B65" s="276" t="s">
        <v>69</v>
      </c>
      <c r="C65" s="137"/>
      <c r="D65" s="143"/>
      <c r="E65" s="217" t="s">
        <v>101</v>
      </c>
      <c r="F65" s="218"/>
      <c r="G65" s="185">
        <f>E13/25</f>
        <v>1160</v>
      </c>
      <c r="H65" s="180" t="s">
        <v>81</v>
      </c>
      <c r="I65" s="181">
        <v>200</v>
      </c>
      <c r="J65" s="10">
        <f>G65*I65</f>
        <v>232000</v>
      </c>
      <c r="K65" s="15"/>
      <c r="L65" s="23"/>
    </row>
    <row r="66" spans="2:12" s="3" customFormat="1" ht="18">
      <c r="B66" s="276" t="s">
        <v>71</v>
      </c>
      <c r="C66" s="137"/>
      <c r="D66" s="143"/>
      <c r="E66" s="217" t="s">
        <v>101</v>
      </c>
      <c r="F66" s="218"/>
      <c r="G66" s="185">
        <v>3</v>
      </c>
      <c r="H66" s="180" t="s">
        <v>81</v>
      </c>
      <c r="I66" s="181">
        <v>5500</v>
      </c>
      <c r="J66" s="10">
        <f>G66*I66</f>
        <v>16500</v>
      </c>
      <c r="K66" s="15"/>
      <c r="L66" s="23"/>
    </row>
    <row r="67" spans="2:12" s="3" customFormat="1" ht="18" customHeight="1">
      <c r="B67" s="276" t="s">
        <v>133</v>
      </c>
      <c r="C67" s="142"/>
      <c r="D67" s="143"/>
      <c r="E67" s="219" t="s">
        <v>102</v>
      </c>
      <c r="F67" s="220"/>
      <c r="G67" s="185">
        <v>1</v>
      </c>
      <c r="H67" s="180" t="s">
        <v>145</v>
      </c>
      <c r="I67" s="181">
        <v>28000</v>
      </c>
      <c r="J67" s="10">
        <f>G67*I67</f>
        <v>28000</v>
      </c>
      <c r="K67" s="15"/>
      <c r="L67" s="23"/>
    </row>
    <row r="68" spans="2:14" ht="18">
      <c r="B68" s="221" t="s">
        <v>11</v>
      </c>
      <c r="C68" s="222"/>
      <c r="D68" s="222"/>
      <c r="E68" s="222"/>
      <c r="F68" s="222"/>
      <c r="G68" s="222"/>
      <c r="H68" s="222"/>
      <c r="I68" s="222"/>
      <c r="J68" s="94">
        <f>SUM(J46:J67)</f>
        <v>2296145</v>
      </c>
      <c r="K68" s="15"/>
      <c r="M68" s="15"/>
      <c r="N68" s="15"/>
    </row>
    <row r="69" spans="2:14" s="3" customFormat="1" ht="18">
      <c r="B69" s="28"/>
      <c r="C69" s="28"/>
      <c r="D69" s="28"/>
      <c r="E69" s="28"/>
      <c r="F69" s="28"/>
      <c r="G69" s="29"/>
      <c r="H69" s="28"/>
      <c r="I69" s="28"/>
      <c r="J69" s="30"/>
      <c r="K69" s="15"/>
      <c r="M69" s="15"/>
      <c r="N69" s="15"/>
    </row>
    <row r="70" spans="2:16" ht="18" customHeight="1">
      <c r="B70" s="200" t="s">
        <v>113</v>
      </c>
      <c r="C70" s="201"/>
      <c r="D70" s="201"/>
      <c r="E70" s="204"/>
      <c r="F70" s="204"/>
      <c r="G70" s="170" t="s">
        <v>5</v>
      </c>
      <c r="H70" s="171" t="s">
        <v>6</v>
      </c>
      <c r="I70" s="172"/>
      <c r="J70" s="173" t="s">
        <v>1</v>
      </c>
      <c r="K70" s="15"/>
      <c r="M70" s="15"/>
      <c r="N70" s="15"/>
      <c r="O70" s="9"/>
      <c r="P70" s="9"/>
    </row>
    <row r="71" spans="2:14" s="3" customFormat="1" ht="18">
      <c r="B71" s="239" t="s">
        <v>114</v>
      </c>
      <c r="C71" s="240"/>
      <c r="D71" s="241"/>
      <c r="E71" s="242"/>
      <c r="F71" s="243"/>
      <c r="G71" s="258">
        <v>0.05</v>
      </c>
      <c r="H71" s="244" t="s">
        <v>82</v>
      </c>
      <c r="I71" s="245"/>
      <c r="J71" s="245">
        <f>(J29+J43+J68)*G71</f>
        <v>195507.25</v>
      </c>
      <c r="K71" s="15"/>
      <c r="M71" s="15"/>
      <c r="N71" s="15"/>
    </row>
    <row r="72" spans="2:14" s="3" customFormat="1" ht="18">
      <c r="B72" s="28"/>
      <c r="C72" s="28"/>
      <c r="D72" s="28"/>
      <c r="E72" s="28"/>
      <c r="F72" s="28"/>
      <c r="G72" s="29"/>
      <c r="H72" s="28"/>
      <c r="I72" s="28"/>
      <c r="J72" s="30"/>
      <c r="K72" s="15"/>
      <c r="M72" s="15"/>
      <c r="N72" s="15"/>
    </row>
    <row r="73" spans="2:16" ht="18">
      <c r="B73" s="223" t="s">
        <v>115</v>
      </c>
      <c r="C73" s="224"/>
      <c r="D73" s="224"/>
      <c r="E73" s="224"/>
      <c r="F73" s="224"/>
      <c r="G73" s="224"/>
      <c r="H73" s="224"/>
      <c r="I73" s="224"/>
      <c r="J73" s="84">
        <f>total_mano_obra+total_maquinaria+total_insumos+J71</f>
        <v>4105652.25</v>
      </c>
      <c r="K73" s="15"/>
      <c r="M73" s="15"/>
      <c r="N73" s="15"/>
      <c r="O73" s="9"/>
      <c r="P73" s="9"/>
    </row>
    <row r="74" spans="2:14" s="3" customFormat="1" ht="18">
      <c r="B74" s="79"/>
      <c r="C74" s="79"/>
      <c r="D74" s="79"/>
      <c r="E74" s="79"/>
      <c r="F74" s="79"/>
      <c r="G74" s="31"/>
      <c r="H74" s="79"/>
      <c r="I74" s="79"/>
      <c r="J74" s="26"/>
      <c r="K74" s="15"/>
      <c r="M74" s="15"/>
      <c r="N74" s="15"/>
    </row>
    <row r="75" spans="2:14" s="3" customFormat="1" ht="18">
      <c r="B75" s="96"/>
      <c r="C75" s="96"/>
      <c r="D75" s="96"/>
      <c r="E75" s="96"/>
      <c r="F75" s="96"/>
      <c r="G75" s="31"/>
      <c r="H75" s="96"/>
      <c r="I75" s="96"/>
      <c r="J75" s="26"/>
      <c r="K75" s="15"/>
      <c r="M75" s="15"/>
      <c r="N75" s="15"/>
    </row>
    <row r="76" spans="2:14" s="3" customFormat="1" ht="20.25">
      <c r="B76" s="92" t="s">
        <v>116</v>
      </c>
      <c r="C76" s="91"/>
      <c r="D76" s="91"/>
      <c r="E76" s="19"/>
      <c r="F76" s="19"/>
      <c r="G76" s="20"/>
      <c r="H76" s="21"/>
      <c r="I76" s="22"/>
      <c r="J76" s="22"/>
      <c r="K76" s="15"/>
      <c r="M76" s="15"/>
      <c r="N76" s="15"/>
    </row>
    <row r="77" spans="2:14" s="3" customFormat="1" ht="18">
      <c r="B77" s="225" t="s">
        <v>32</v>
      </c>
      <c r="C77" s="204"/>
      <c r="D77" s="204"/>
      <c r="E77" s="204"/>
      <c r="F77" s="204"/>
      <c r="G77" s="170" t="s">
        <v>5</v>
      </c>
      <c r="H77" s="171" t="s">
        <v>6</v>
      </c>
      <c r="I77" s="172"/>
      <c r="J77" s="173" t="s">
        <v>1</v>
      </c>
      <c r="K77" s="15"/>
      <c r="M77" s="15"/>
      <c r="N77" s="15"/>
    </row>
    <row r="78" spans="2:15" s="3" customFormat="1" ht="21">
      <c r="B78" s="151" t="s">
        <v>134</v>
      </c>
      <c r="C78" s="152"/>
      <c r="D78" s="152"/>
      <c r="E78" s="226"/>
      <c r="F78" s="226"/>
      <c r="G78" s="247">
        <f>E16</f>
        <v>0.015</v>
      </c>
      <c r="H78" s="250" t="s">
        <v>82</v>
      </c>
      <c r="I78" s="253"/>
      <c r="J78" s="273">
        <f>total_costos_directos*tasa_interes_mensual*meses_financiamiento*0.5</f>
        <v>215546.74312499998</v>
      </c>
      <c r="K78" s="15"/>
      <c r="L78" s="339"/>
      <c r="M78" s="339"/>
      <c r="N78" s="339"/>
      <c r="O78" s="339"/>
    </row>
    <row r="79" spans="2:15" s="3" customFormat="1" ht="18">
      <c r="B79" s="256" t="s">
        <v>117</v>
      </c>
      <c r="C79" s="140"/>
      <c r="D79" s="140"/>
      <c r="E79" s="246"/>
      <c r="F79" s="246"/>
      <c r="G79" s="248"/>
      <c r="H79" s="251"/>
      <c r="I79" s="254"/>
      <c r="J79" s="274"/>
      <c r="K79" s="15"/>
      <c r="L79" s="194"/>
      <c r="M79" s="194"/>
      <c r="N79" s="194"/>
      <c r="O79" s="194"/>
    </row>
    <row r="80" spans="2:15" s="3" customFormat="1" ht="18">
      <c r="B80" s="256" t="s">
        <v>118</v>
      </c>
      <c r="C80" s="140"/>
      <c r="D80" s="140"/>
      <c r="E80" s="246"/>
      <c r="F80" s="246"/>
      <c r="G80" s="248"/>
      <c r="H80" s="251"/>
      <c r="I80" s="254"/>
      <c r="J80" s="274"/>
      <c r="K80" s="15"/>
      <c r="L80" s="194"/>
      <c r="M80" s="194"/>
      <c r="N80" s="194"/>
      <c r="O80" s="194"/>
    </row>
    <row r="81" spans="2:15" s="3" customFormat="1" ht="18">
      <c r="B81" s="257" t="s">
        <v>119</v>
      </c>
      <c r="C81" s="140"/>
      <c r="D81" s="140"/>
      <c r="E81" s="246"/>
      <c r="F81" s="246"/>
      <c r="G81" s="249"/>
      <c r="H81" s="252"/>
      <c r="I81" s="255"/>
      <c r="J81" s="275"/>
      <c r="K81" s="15"/>
      <c r="L81" s="194"/>
      <c r="M81" s="194"/>
      <c r="N81" s="194"/>
      <c r="O81" s="194"/>
    </row>
    <row r="82" spans="2:14" ht="18">
      <c r="B82" s="227" t="s">
        <v>29</v>
      </c>
      <c r="C82" s="228"/>
      <c r="D82" s="228"/>
      <c r="E82" s="228"/>
      <c r="F82" s="228"/>
      <c r="G82" s="228"/>
      <c r="H82" s="228"/>
      <c r="I82" s="228"/>
      <c r="J82" s="93">
        <f>SUM(J78:J78)</f>
        <v>215546.74312499998</v>
      </c>
      <c r="K82" s="15"/>
      <c r="M82" s="15"/>
      <c r="N82" s="15"/>
    </row>
    <row r="83" spans="2:12" s="3" customFormat="1" ht="18" customHeight="1">
      <c r="B83" s="78"/>
      <c r="C83" s="78"/>
      <c r="D83" s="78"/>
      <c r="E83" s="78"/>
      <c r="F83" s="78"/>
      <c r="G83" s="24"/>
      <c r="H83" s="78"/>
      <c r="I83" s="78"/>
      <c r="J83" s="26"/>
      <c r="K83" s="15"/>
      <c r="L83" s="15"/>
    </row>
    <row r="84" spans="2:12" ht="18" customHeight="1">
      <c r="B84" s="229" t="s">
        <v>13</v>
      </c>
      <c r="C84" s="230"/>
      <c r="D84" s="230"/>
      <c r="E84" s="230"/>
      <c r="F84" s="230"/>
      <c r="G84" s="230"/>
      <c r="H84" s="230"/>
      <c r="I84" s="230"/>
      <c r="J84" s="231">
        <f>total_costos_directos+total_costos_indirectos</f>
        <v>4321198.993125</v>
      </c>
      <c r="K84" s="15"/>
      <c r="L84" s="15"/>
    </row>
    <row r="85" spans="2:12" s="3" customFormat="1" ht="18" customHeight="1">
      <c r="B85" s="227"/>
      <c r="C85" s="228"/>
      <c r="D85" s="228"/>
      <c r="E85" s="228"/>
      <c r="F85" s="228"/>
      <c r="G85" s="228"/>
      <c r="H85" s="228"/>
      <c r="I85" s="228"/>
      <c r="J85" s="232"/>
      <c r="K85" s="15"/>
      <c r="L85" s="15"/>
    </row>
    <row r="86" spans="2:12" s="3" customFormat="1" ht="18" customHeight="1">
      <c r="B86" s="28"/>
      <c r="C86" s="28"/>
      <c r="D86" s="28"/>
      <c r="E86" s="28"/>
      <c r="F86" s="28"/>
      <c r="G86" s="29"/>
      <c r="H86" s="28"/>
      <c r="I86" s="28"/>
      <c r="J86" s="30"/>
      <c r="K86" s="15"/>
      <c r="L86" s="15"/>
    </row>
    <row r="87" spans="2:12" ht="18" customHeight="1">
      <c r="B87" s="336" t="s">
        <v>135</v>
      </c>
      <c r="C87" s="337"/>
      <c r="D87" s="337"/>
      <c r="E87" s="337"/>
      <c r="F87" s="337"/>
      <c r="G87" s="337"/>
      <c r="H87" s="337"/>
      <c r="I87" s="337"/>
      <c r="J87" s="338"/>
      <c r="K87" s="15"/>
      <c r="L87" s="23"/>
    </row>
    <row r="88" spans="2:12" ht="18" customHeight="1">
      <c r="B88" s="328" t="s">
        <v>83</v>
      </c>
      <c r="C88" s="329"/>
      <c r="D88" s="329"/>
      <c r="E88" s="329"/>
      <c r="F88" s="329"/>
      <c r="G88" s="329"/>
      <c r="H88" s="329"/>
      <c r="I88" s="329"/>
      <c r="J88" s="330"/>
      <c r="K88" s="15"/>
      <c r="L88" s="23"/>
    </row>
    <row r="89" spans="2:12" s="3" customFormat="1" ht="18" customHeight="1">
      <c r="B89" s="344" t="s">
        <v>85</v>
      </c>
      <c r="C89" s="344"/>
      <c r="D89" s="344"/>
      <c r="E89" s="341" t="s">
        <v>84</v>
      </c>
      <c r="F89" s="342"/>
      <c r="G89" s="342"/>
      <c r="H89" s="342"/>
      <c r="I89" s="342"/>
      <c r="J89" s="343"/>
      <c r="K89" s="15"/>
      <c r="L89" s="23"/>
    </row>
    <row r="90" spans="2:12" s="3" customFormat="1" ht="18" customHeight="1">
      <c r="B90" s="344"/>
      <c r="C90" s="344"/>
      <c r="D90" s="344"/>
      <c r="E90" s="282">
        <f>G90*0.9</f>
        <v>171</v>
      </c>
      <c r="F90" s="282"/>
      <c r="G90" s="281">
        <f>precio_de_venta</f>
        <v>190</v>
      </c>
      <c r="H90" s="281"/>
      <c r="I90" s="282">
        <f>G90*1.1</f>
        <v>209.00000000000003</v>
      </c>
      <c r="J90" s="282"/>
      <c r="K90" s="15"/>
      <c r="L90" s="23"/>
    </row>
    <row r="91" spans="2:12" s="3" customFormat="1" ht="18" customHeight="1">
      <c r="B91" s="282">
        <f>rendimiento*0.9</f>
        <v>26100</v>
      </c>
      <c r="C91" s="282"/>
      <c r="D91" s="282"/>
      <c r="E91" s="280">
        <f>E$90*$B$91-total_costos</f>
        <v>141901.00687499996</v>
      </c>
      <c r="F91" s="280"/>
      <c r="G91" s="280">
        <f>G$90*$B$91-total_costos</f>
        <v>637801.006875</v>
      </c>
      <c r="H91" s="280"/>
      <c r="I91" s="280">
        <f>I$90*$B$91-total_costos</f>
        <v>1133701.006875001</v>
      </c>
      <c r="J91" s="280"/>
      <c r="K91" s="15"/>
      <c r="L91" s="23"/>
    </row>
    <row r="92" spans="2:12" s="3" customFormat="1" ht="18" customHeight="1">
      <c r="B92" s="282">
        <f>rendimiento</f>
        <v>29000</v>
      </c>
      <c r="C92" s="282"/>
      <c r="D92" s="282"/>
      <c r="E92" s="280">
        <f>E$90*$B$92-total_costos</f>
        <v>637801.006875</v>
      </c>
      <c r="F92" s="280"/>
      <c r="G92" s="280">
        <f>G$90*$B$92-total_costos</f>
        <v>1188801.006875</v>
      </c>
      <c r="H92" s="280"/>
      <c r="I92" s="280">
        <f>I$90*$B$92-total_costos</f>
        <v>1739801.006875001</v>
      </c>
      <c r="J92" s="280"/>
      <c r="K92" s="15"/>
      <c r="L92" s="23"/>
    </row>
    <row r="93" spans="2:12" s="3" customFormat="1" ht="18" customHeight="1">
      <c r="B93" s="282">
        <f>rendimiento*1.1</f>
        <v>31900.000000000004</v>
      </c>
      <c r="C93" s="282"/>
      <c r="D93" s="282"/>
      <c r="E93" s="280">
        <f>E$90*$B$93-total_costos</f>
        <v>1133701.006875001</v>
      </c>
      <c r="F93" s="280"/>
      <c r="G93" s="280">
        <f>G$90*$B$93-total_costos</f>
        <v>1739801.006875001</v>
      </c>
      <c r="H93" s="280"/>
      <c r="I93" s="280">
        <f>I$90*$B$93-total_costos</f>
        <v>2345901.006875002</v>
      </c>
      <c r="J93" s="280"/>
      <c r="K93" s="15"/>
      <c r="L93" s="23"/>
    </row>
    <row r="94" spans="2:12" s="3" customFormat="1" ht="18" customHeight="1">
      <c r="B94" s="33"/>
      <c r="C94" s="33"/>
      <c r="D94" s="34"/>
      <c r="E94" s="34"/>
      <c r="F94" s="34"/>
      <c r="G94" s="35"/>
      <c r="H94" s="11"/>
      <c r="I94" s="14"/>
      <c r="J94" s="14"/>
      <c r="K94" s="15"/>
      <c r="L94" s="23"/>
    </row>
    <row r="95" spans="2:12" s="3" customFormat="1" ht="18" customHeight="1">
      <c r="B95" s="321" t="s">
        <v>136</v>
      </c>
      <c r="C95" s="322"/>
      <c r="D95" s="322"/>
      <c r="E95" s="322"/>
      <c r="F95" s="322"/>
      <c r="G95" s="322"/>
      <c r="H95" s="322"/>
      <c r="I95" s="322"/>
      <c r="J95" s="323"/>
      <c r="K95" s="15"/>
      <c r="L95" s="23"/>
    </row>
    <row r="96" spans="2:12" s="3" customFormat="1" ht="18" customHeight="1">
      <c r="B96" s="233"/>
      <c r="C96" s="234"/>
      <c r="D96" s="234"/>
      <c r="E96" s="234"/>
      <c r="F96" s="234"/>
      <c r="G96" s="234"/>
      <c r="H96" s="234"/>
      <c r="I96" s="234"/>
      <c r="J96" s="235"/>
      <c r="K96" s="15"/>
      <c r="L96" s="23"/>
    </row>
    <row r="97" spans="2:12" s="3" customFormat="1" ht="18" customHeight="1">
      <c r="B97" s="315" t="s">
        <v>85</v>
      </c>
      <c r="C97" s="316"/>
      <c r="D97" s="316"/>
      <c r="E97" s="293">
        <f>B91</f>
        <v>26100</v>
      </c>
      <c r="F97" s="293"/>
      <c r="G97" s="293">
        <f>B92</f>
        <v>29000</v>
      </c>
      <c r="H97" s="293"/>
      <c r="I97" s="293">
        <f>B93</f>
        <v>31900.000000000004</v>
      </c>
      <c r="J97" s="319"/>
      <c r="K97" s="15"/>
      <c r="L97" s="23"/>
    </row>
    <row r="98" spans="2:12" ht="18" customHeight="1">
      <c r="B98" s="317"/>
      <c r="C98" s="318"/>
      <c r="D98" s="318"/>
      <c r="E98" s="294"/>
      <c r="F98" s="294"/>
      <c r="G98" s="294"/>
      <c r="H98" s="294"/>
      <c r="I98" s="294"/>
      <c r="J98" s="320"/>
      <c r="K98" s="15"/>
      <c r="L98" s="23"/>
    </row>
    <row r="99" spans="2:12" ht="18" customHeight="1">
      <c r="B99" s="298" t="s">
        <v>104</v>
      </c>
      <c r="C99" s="299"/>
      <c r="D99" s="299"/>
      <c r="E99" s="289">
        <f>total_costos/E97</f>
        <v>165.5631798132184</v>
      </c>
      <c r="F99" s="289"/>
      <c r="G99" s="291">
        <f>total_costos/$G$97</f>
        <v>149.00686183189654</v>
      </c>
      <c r="H99" s="291"/>
      <c r="I99" s="289">
        <f>total_costos/I97</f>
        <v>135.46078348354231</v>
      </c>
      <c r="J99" s="290"/>
      <c r="K99" s="15"/>
      <c r="L99" s="23"/>
    </row>
    <row r="100" spans="2:12" ht="18" customHeight="1">
      <c r="B100" s="300"/>
      <c r="C100" s="301"/>
      <c r="D100" s="301"/>
      <c r="E100" s="291"/>
      <c r="F100" s="291"/>
      <c r="G100" s="291"/>
      <c r="H100" s="291"/>
      <c r="I100" s="291"/>
      <c r="J100" s="292"/>
      <c r="K100" s="15"/>
      <c r="L100" s="23"/>
    </row>
    <row r="101" spans="2:12" ht="18" customHeight="1">
      <c r="B101" s="43"/>
      <c r="C101" s="1"/>
      <c r="D101" s="3"/>
      <c r="E101" s="3"/>
      <c r="F101" s="86"/>
      <c r="G101" s="86"/>
      <c r="H101" s="86"/>
      <c r="I101" s="14"/>
      <c r="J101" s="14"/>
      <c r="K101" s="15"/>
      <c r="L101" s="23"/>
    </row>
    <row r="102" spans="2:11" s="3" customFormat="1" ht="18" customHeight="1">
      <c r="B102" s="312" t="s">
        <v>15</v>
      </c>
      <c r="C102" s="313"/>
      <c r="D102" s="313"/>
      <c r="E102" s="313"/>
      <c r="F102" s="313"/>
      <c r="G102" s="313"/>
      <c r="H102" s="313"/>
      <c r="I102" s="313"/>
      <c r="J102" s="314"/>
      <c r="K102" s="76"/>
    </row>
    <row r="103" spans="2:11" s="3" customFormat="1" ht="18" customHeight="1">
      <c r="B103" s="347" t="s">
        <v>122</v>
      </c>
      <c r="C103" s="348"/>
      <c r="D103" s="348"/>
      <c r="E103" s="348"/>
      <c r="F103" s="348"/>
      <c r="G103" s="348"/>
      <c r="H103" s="348"/>
      <c r="I103" s="348"/>
      <c r="J103" s="349"/>
      <c r="K103" s="76"/>
    </row>
    <row r="104" spans="2:14" s="3" customFormat="1" ht="18">
      <c r="B104" s="295" t="s">
        <v>144</v>
      </c>
      <c r="C104" s="296"/>
      <c r="D104" s="296"/>
      <c r="E104" s="296"/>
      <c r="F104" s="296"/>
      <c r="G104" s="296"/>
      <c r="H104" s="296"/>
      <c r="I104" s="296"/>
      <c r="J104" s="297"/>
      <c r="K104" s="76"/>
      <c r="N104" s="87"/>
    </row>
    <row r="105" spans="2:11" s="3" customFormat="1" ht="35.25" customHeight="1">
      <c r="B105" s="305" t="s">
        <v>153</v>
      </c>
      <c r="C105" s="306"/>
      <c r="D105" s="306"/>
      <c r="E105" s="306"/>
      <c r="F105" s="306"/>
      <c r="G105" s="306"/>
      <c r="H105" s="306"/>
      <c r="I105" s="306"/>
      <c r="J105" s="307"/>
      <c r="K105" s="76"/>
    </row>
    <row r="106" spans="2:11" s="3" customFormat="1" ht="18">
      <c r="B106" s="305" t="s">
        <v>123</v>
      </c>
      <c r="C106" s="331"/>
      <c r="D106" s="331"/>
      <c r="E106" s="331"/>
      <c r="F106" s="331"/>
      <c r="G106" s="331"/>
      <c r="H106" s="331"/>
      <c r="I106" s="331"/>
      <c r="J106" s="332"/>
      <c r="K106" s="76"/>
    </row>
    <row r="107" spans="2:11" s="3" customFormat="1" ht="35.25" customHeight="1">
      <c r="B107" s="324" t="s">
        <v>124</v>
      </c>
      <c r="C107" s="306"/>
      <c r="D107" s="306"/>
      <c r="E107" s="306"/>
      <c r="F107" s="306"/>
      <c r="G107" s="306"/>
      <c r="H107" s="306"/>
      <c r="I107" s="306"/>
      <c r="J107" s="307"/>
      <c r="K107" s="76"/>
    </row>
    <row r="108" spans="2:11" s="3" customFormat="1" ht="18">
      <c r="B108" s="302" t="s">
        <v>125</v>
      </c>
      <c r="C108" s="303"/>
      <c r="D108" s="303"/>
      <c r="E108" s="303"/>
      <c r="F108" s="303"/>
      <c r="G108" s="303"/>
      <c r="H108" s="303"/>
      <c r="I108" s="303"/>
      <c r="J108" s="304"/>
      <c r="K108" s="76"/>
    </row>
    <row r="109" spans="2:11" s="3" customFormat="1" ht="18">
      <c r="B109" s="286" t="s">
        <v>126</v>
      </c>
      <c r="C109" s="287"/>
      <c r="D109" s="287"/>
      <c r="E109" s="287"/>
      <c r="F109" s="287"/>
      <c r="G109" s="287"/>
      <c r="H109" s="287"/>
      <c r="I109" s="287"/>
      <c r="J109" s="288"/>
      <c r="K109" s="76"/>
    </row>
    <row r="110" spans="2:11" s="3" customFormat="1" ht="18">
      <c r="B110" s="286" t="s">
        <v>127</v>
      </c>
      <c r="C110" s="287"/>
      <c r="D110" s="287"/>
      <c r="E110" s="287"/>
      <c r="F110" s="287"/>
      <c r="G110" s="287"/>
      <c r="H110" s="287"/>
      <c r="I110" s="287"/>
      <c r="J110" s="288"/>
      <c r="K110" s="76"/>
    </row>
    <row r="111" spans="2:11" s="3" customFormat="1" ht="18.75">
      <c r="B111" s="309" t="s">
        <v>128</v>
      </c>
      <c r="C111" s="310"/>
      <c r="D111" s="310"/>
      <c r="E111" s="310"/>
      <c r="F111" s="310"/>
      <c r="G111" s="310"/>
      <c r="H111" s="310"/>
      <c r="I111" s="310"/>
      <c r="J111" s="311"/>
      <c r="K111" s="77"/>
    </row>
    <row r="112" spans="2:11" s="3" customFormat="1" ht="18.75">
      <c r="B112" s="168"/>
      <c r="C112" s="168"/>
      <c r="D112" s="168"/>
      <c r="E112" s="168"/>
      <c r="F112" s="168"/>
      <c r="G112" s="168"/>
      <c r="H112" s="168"/>
      <c r="I112" s="168"/>
      <c r="J112" s="168"/>
      <c r="K112" s="77"/>
    </row>
    <row r="113" spans="2:11" s="3" customFormat="1" ht="18.75">
      <c r="B113" s="168"/>
      <c r="C113" s="168"/>
      <c r="D113" s="168"/>
      <c r="E113" s="168"/>
      <c r="F113" s="168"/>
      <c r="G113" s="168"/>
      <c r="H113" s="168"/>
      <c r="I113" s="168"/>
      <c r="J113" s="168"/>
      <c r="K113" s="77"/>
    </row>
    <row r="114" spans="2:11" s="3" customFormat="1" ht="18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2"/>
    </row>
    <row r="115" spans="2:11" s="3" customFormat="1" ht="16.5" customHeight="1">
      <c r="B115" s="38"/>
      <c r="C115" s="38"/>
      <c r="D115" s="38"/>
      <c r="E115" s="38"/>
      <c r="F115" s="38"/>
      <c r="G115" s="39"/>
      <c r="H115" s="38"/>
      <c r="I115" s="38"/>
      <c r="J115" s="38"/>
      <c r="K115" s="9"/>
    </row>
    <row r="116" spans="2:11" s="3" customFormat="1" ht="15">
      <c r="B116" s="4"/>
      <c r="C116" s="4"/>
      <c r="D116" s="4"/>
      <c r="E116" s="4"/>
      <c r="F116" s="4"/>
      <c r="G116" s="5"/>
      <c r="H116" s="4"/>
      <c r="I116" s="4"/>
      <c r="J116" s="4"/>
      <c r="K116" s="9"/>
    </row>
    <row r="117" spans="2:11" s="3" customFormat="1" ht="15">
      <c r="B117" s="6"/>
      <c r="C117" s="6"/>
      <c r="D117" s="6"/>
      <c r="E117" s="6"/>
      <c r="F117" s="6"/>
      <c r="G117" s="7"/>
      <c r="H117" s="6"/>
      <c r="I117" s="6"/>
      <c r="J117" s="6"/>
      <c r="K117" s="9"/>
    </row>
    <row r="118" spans="2:11" s="3" customFormat="1" ht="15">
      <c r="B118" s="6"/>
      <c r="C118" s="6"/>
      <c r="D118" s="6"/>
      <c r="E118" s="6"/>
      <c r="F118" s="6"/>
      <c r="G118" s="7"/>
      <c r="H118" s="6"/>
      <c r="I118" s="6"/>
      <c r="J118" s="6"/>
      <c r="K118" s="9"/>
    </row>
    <row r="119" spans="2:11" s="3" customFormat="1" ht="15">
      <c r="B119" s="6"/>
      <c r="C119" s="6"/>
      <c r="D119" s="6"/>
      <c r="E119" s="6"/>
      <c r="F119" s="6"/>
      <c r="G119" s="7"/>
      <c r="H119" s="6"/>
      <c r="I119" s="6"/>
      <c r="J119" s="6"/>
      <c r="K119" s="9"/>
    </row>
    <row r="120" spans="2:12" s="3" customFormat="1" ht="15">
      <c r="B120" s="63"/>
      <c r="C120" s="63"/>
      <c r="D120" s="63"/>
      <c r="E120" s="63"/>
      <c r="F120" s="63"/>
      <c r="G120" s="64"/>
      <c r="H120" s="63"/>
      <c r="I120" s="63"/>
      <c r="J120" s="63"/>
      <c r="K120" s="65"/>
      <c r="L120" s="63"/>
    </row>
    <row r="121" spans="2:12" s="3" customFormat="1" ht="15">
      <c r="B121" s="63"/>
      <c r="C121" s="63"/>
      <c r="D121" s="63"/>
      <c r="E121" s="63"/>
      <c r="F121" s="63"/>
      <c r="G121" s="64"/>
      <c r="H121" s="63"/>
      <c r="I121" s="63"/>
      <c r="J121" s="63"/>
      <c r="K121" s="65"/>
      <c r="L121" s="63"/>
    </row>
    <row r="122" spans="2:12" s="3" customFormat="1" ht="15">
      <c r="B122" s="63"/>
      <c r="C122" s="63"/>
      <c r="D122" s="63"/>
      <c r="E122" s="63"/>
      <c r="F122" s="63"/>
      <c r="G122" s="64"/>
      <c r="H122" s="63"/>
      <c r="I122" s="63"/>
      <c r="J122" s="63"/>
      <c r="K122" s="65"/>
      <c r="L122" s="63"/>
    </row>
    <row r="123" spans="2:12" s="3" customFormat="1" ht="15">
      <c r="B123" s="63"/>
      <c r="C123" s="63"/>
      <c r="D123" s="63"/>
      <c r="E123" s="63"/>
      <c r="F123" s="63"/>
      <c r="G123" s="64"/>
      <c r="H123" s="63"/>
      <c r="I123" s="63"/>
      <c r="J123" s="63"/>
      <c r="K123" s="65"/>
      <c r="L123" s="63"/>
    </row>
    <row r="124" spans="2:12" ht="18">
      <c r="B124" s="52"/>
      <c r="C124" s="52"/>
      <c r="D124" s="53"/>
      <c r="E124" s="53"/>
      <c r="F124" s="54"/>
      <c r="G124" s="54"/>
      <c r="H124" s="54"/>
      <c r="I124" s="63"/>
      <c r="J124" s="63"/>
      <c r="K124" s="65"/>
      <c r="L124" s="63"/>
    </row>
    <row r="125" spans="2:12" ht="18">
      <c r="B125" s="52"/>
      <c r="C125" s="55"/>
      <c r="D125" s="55"/>
      <c r="E125" s="56"/>
      <c r="F125" s="55"/>
      <c r="G125" s="57"/>
      <c r="H125" s="58"/>
      <c r="I125" s="63"/>
      <c r="J125" s="63"/>
      <c r="K125" s="65"/>
      <c r="L125" s="63"/>
    </row>
    <row r="126" spans="2:12" ht="18">
      <c r="B126" s="53"/>
      <c r="C126" s="53"/>
      <c r="D126" s="53"/>
      <c r="E126" s="53"/>
      <c r="F126" s="53"/>
      <c r="G126" s="53"/>
      <c r="H126" s="53"/>
      <c r="I126" s="63"/>
      <c r="J126" s="63"/>
      <c r="K126" s="65"/>
      <c r="L126" s="63"/>
    </row>
    <row r="127" spans="2:12" ht="18">
      <c r="B127" s="52"/>
      <c r="C127" s="53"/>
      <c r="D127" s="53"/>
      <c r="E127" s="53"/>
      <c r="F127" s="53"/>
      <c r="G127" s="53"/>
      <c r="H127" s="53"/>
      <c r="I127" s="63"/>
      <c r="J127" s="63"/>
      <c r="K127" s="65"/>
      <c r="L127" s="63"/>
    </row>
    <row r="128" spans="2:12" ht="18">
      <c r="B128" s="66"/>
      <c r="C128" s="67"/>
      <c r="D128" s="67"/>
      <c r="E128" s="59"/>
      <c r="F128" s="59"/>
      <c r="G128" s="59"/>
      <c r="H128" s="59"/>
      <c r="I128" s="63"/>
      <c r="J128" s="65"/>
      <c r="K128" s="65"/>
      <c r="L128" s="63"/>
    </row>
    <row r="129" spans="2:12" ht="18">
      <c r="B129" s="66"/>
      <c r="C129" s="67"/>
      <c r="D129" s="67"/>
      <c r="E129" s="59"/>
      <c r="F129" s="59"/>
      <c r="G129" s="59"/>
      <c r="H129" s="59"/>
      <c r="I129" s="63"/>
      <c r="J129" s="65"/>
      <c r="K129" s="65"/>
      <c r="L129" s="63"/>
    </row>
    <row r="130" spans="2:12" ht="18">
      <c r="B130" s="60"/>
      <c r="C130" s="61"/>
      <c r="D130" s="61"/>
      <c r="E130" s="60"/>
      <c r="F130" s="60"/>
      <c r="G130" s="60"/>
      <c r="H130" s="62"/>
      <c r="I130" s="63"/>
      <c r="J130" s="63"/>
      <c r="K130" s="65"/>
      <c r="L130" s="63"/>
    </row>
    <row r="131" spans="2:12" ht="18">
      <c r="B131" s="53"/>
      <c r="C131" s="53"/>
      <c r="D131" s="53"/>
      <c r="E131" s="53"/>
      <c r="F131" s="53"/>
      <c r="G131" s="53"/>
      <c r="H131" s="53"/>
      <c r="I131" s="63"/>
      <c r="J131" s="63"/>
      <c r="K131" s="65"/>
      <c r="L131" s="63"/>
    </row>
    <row r="132" spans="2:12" ht="18">
      <c r="B132" s="52"/>
      <c r="C132" s="53"/>
      <c r="D132" s="53"/>
      <c r="E132" s="53"/>
      <c r="F132" s="53"/>
      <c r="G132" s="53"/>
      <c r="H132" s="53"/>
      <c r="I132" s="63"/>
      <c r="J132" s="63"/>
      <c r="K132" s="65"/>
      <c r="L132" s="63"/>
    </row>
    <row r="133" spans="2:12" ht="18">
      <c r="B133" s="68"/>
      <c r="C133" s="69"/>
      <c r="D133" s="70"/>
      <c r="E133" s="71"/>
      <c r="F133" s="70"/>
      <c r="G133" s="72"/>
      <c r="H133" s="72"/>
      <c r="I133" s="63"/>
      <c r="J133" s="63"/>
      <c r="K133" s="65"/>
      <c r="L133" s="63"/>
    </row>
    <row r="134" spans="2:12" ht="18">
      <c r="B134" s="68"/>
      <c r="C134" s="69"/>
      <c r="D134" s="70"/>
      <c r="E134" s="71"/>
      <c r="F134" s="70"/>
      <c r="G134" s="72"/>
      <c r="H134" s="72"/>
      <c r="I134" s="63"/>
      <c r="J134" s="63"/>
      <c r="K134" s="65"/>
      <c r="L134" s="63"/>
    </row>
    <row r="135" spans="2:12" ht="18">
      <c r="B135" s="308"/>
      <c r="C135" s="308"/>
      <c r="D135" s="70"/>
      <c r="E135" s="71"/>
      <c r="F135" s="70"/>
      <c r="G135" s="72"/>
      <c r="H135" s="72"/>
      <c r="I135" s="63"/>
      <c r="J135" s="63"/>
      <c r="K135" s="65"/>
      <c r="L135" s="63"/>
    </row>
    <row r="136" spans="2:12" ht="18">
      <c r="B136" s="68"/>
      <c r="C136" s="69"/>
      <c r="D136" s="70"/>
      <c r="E136" s="71"/>
      <c r="F136" s="70"/>
      <c r="G136" s="72"/>
      <c r="H136" s="72"/>
      <c r="I136" s="63"/>
      <c r="J136" s="63"/>
      <c r="K136" s="65"/>
      <c r="L136" s="63"/>
    </row>
    <row r="137" spans="2:12" ht="18">
      <c r="B137" s="68"/>
      <c r="C137" s="69"/>
      <c r="D137" s="70"/>
      <c r="E137" s="71"/>
      <c r="F137" s="70"/>
      <c r="G137" s="72"/>
      <c r="H137" s="72"/>
      <c r="I137" s="63"/>
      <c r="J137" s="63"/>
      <c r="K137" s="65"/>
      <c r="L137" s="63"/>
    </row>
    <row r="138" spans="2:12" ht="18">
      <c r="B138" s="68"/>
      <c r="C138" s="69"/>
      <c r="D138" s="70"/>
      <c r="E138" s="71"/>
      <c r="F138" s="70"/>
      <c r="G138" s="72"/>
      <c r="H138" s="72"/>
      <c r="I138" s="63"/>
      <c r="J138" s="63"/>
      <c r="K138" s="65"/>
      <c r="L138" s="63"/>
    </row>
    <row r="139" spans="2:12" ht="18">
      <c r="B139" s="68"/>
      <c r="C139" s="69"/>
      <c r="D139" s="70"/>
      <c r="E139" s="71"/>
      <c r="F139" s="70"/>
      <c r="G139" s="72"/>
      <c r="H139" s="72"/>
      <c r="I139" s="63"/>
      <c r="J139" s="63"/>
      <c r="K139" s="65"/>
      <c r="L139" s="63"/>
    </row>
    <row r="140" spans="2:12" ht="18">
      <c r="B140" s="68"/>
      <c r="C140" s="69"/>
      <c r="D140" s="70"/>
      <c r="E140" s="71"/>
      <c r="F140" s="70"/>
      <c r="G140" s="72"/>
      <c r="H140" s="72"/>
      <c r="I140" s="63"/>
      <c r="J140" s="63"/>
      <c r="K140" s="65"/>
      <c r="L140" s="63"/>
    </row>
    <row r="141" spans="2:12" ht="18">
      <c r="B141" s="68"/>
      <c r="C141" s="69"/>
      <c r="D141" s="70"/>
      <c r="E141" s="71"/>
      <c r="F141" s="70"/>
      <c r="G141" s="72"/>
      <c r="H141" s="72"/>
      <c r="I141" s="63"/>
      <c r="J141" s="63"/>
      <c r="K141" s="65"/>
      <c r="L141" s="63"/>
    </row>
    <row r="142" spans="2:12" ht="18">
      <c r="B142" s="68"/>
      <c r="C142" s="69"/>
      <c r="D142" s="70"/>
      <c r="E142" s="71"/>
      <c r="F142" s="70"/>
      <c r="G142" s="72"/>
      <c r="H142" s="72"/>
      <c r="I142" s="63"/>
      <c r="J142" s="63"/>
      <c r="K142" s="65"/>
      <c r="L142" s="63"/>
    </row>
    <row r="143" spans="2:12" ht="18">
      <c r="B143" s="68"/>
      <c r="C143" s="69"/>
      <c r="D143" s="70"/>
      <c r="E143" s="71"/>
      <c r="F143" s="70"/>
      <c r="G143" s="72"/>
      <c r="H143" s="72"/>
      <c r="I143" s="63"/>
      <c r="J143" s="63"/>
      <c r="K143" s="65"/>
      <c r="L143" s="63"/>
    </row>
    <row r="144" spans="2:12" ht="18">
      <c r="B144" s="68"/>
      <c r="C144" s="69"/>
      <c r="D144" s="70"/>
      <c r="E144" s="71"/>
      <c r="F144" s="70"/>
      <c r="G144" s="72"/>
      <c r="H144" s="72"/>
      <c r="I144" s="63"/>
      <c r="J144" s="63"/>
      <c r="K144" s="65"/>
      <c r="L144" s="63"/>
    </row>
    <row r="145" spans="2:12" ht="18">
      <c r="B145" s="68"/>
      <c r="C145" s="69"/>
      <c r="D145" s="70"/>
      <c r="E145" s="71"/>
      <c r="F145" s="70"/>
      <c r="G145" s="72"/>
      <c r="H145" s="72"/>
      <c r="I145" s="63"/>
      <c r="J145" s="63"/>
      <c r="K145" s="65"/>
      <c r="L145" s="63"/>
    </row>
    <row r="146" spans="2:12" ht="18">
      <c r="B146" s="60"/>
      <c r="C146" s="61"/>
      <c r="D146" s="61"/>
      <c r="E146" s="60"/>
      <c r="F146" s="60"/>
      <c r="G146" s="60"/>
      <c r="H146" s="62"/>
      <c r="I146" s="63"/>
      <c r="J146" s="63"/>
      <c r="K146" s="65"/>
      <c r="L146" s="63"/>
    </row>
    <row r="147" spans="2:12" ht="18">
      <c r="B147" s="53"/>
      <c r="C147" s="53"/>
      <c r="D147" s="53"/>
      <c r="E147" s="53"/>
      <c r="F147" s="53"/>
      <c r="G147" s="53"/>
      <c r="H147" s="53"/>
      <c r="I147" s="63"/>
      <c r="J147" s="63"/>
      <c r="K147" s="65"/>
      <c r="L147" s="63"/>
    </row>
    <row r="148" spans="2:12" ht="18">
      <c r="B148" s="60"/>
      <c r="C148" s="61"/>
      <c r="D148" s="61"/>
      <c r="E148" s="60"/>
      <c r="F148" s="60"/>
      <c r="G148" s="60"/>
      <c r="H148" s="62"/>
      <c r="I148" s="63"/>
      <c r="J148" s="63"/>
      <c r="K148" s="65"/>
      <c r="L148" s="63"/>
    </row>
    <row r="149" spans="2:12" s="3" customFormat="1" ht="15">
      <c r="B149" s="63"/>
      <c r="C149" s="63"/>
      <c r="D149" s="63"/>
      <c r="E149" s="63"/>
      <c r="F149" s="63"/>
      <c r="G149" s="64"/>
      <c r="H149" s="63"/>
      <c r="I149" s="63"/>
      <c r="J149" s="63"/>
      <c r="K149" s="65"/>
      <c r="L149" s="63"/>
    </row>
    <row r="150" spans="2:12" s="3" customFormat="1" ht="15">
      <c r="B150" s="63"/>
      <c r="C150" s="63"/>
      <c r="D150" s="63"/>
      <c r="E150" s="63"/>
      <c r="F150" s="63"/>
      <c r="G150" s="64"/>
      <c r="H150" s="63"/>
      <c r="I150" s="63"/>
      <c r="J150" s="63"/>
      <c r="K150" s="65"/>
      <c r="L150" s="63"/>
    </row>
    <row r="151" spans="2:12" s="3" customFormat="1" ht="15">
      <c r="B151" s="63"/>
      <c r="C151" s="63"/>
      <c r="D151" s="63"/>
      <c r="E151" s="63"/>
      <c r="F151" s="63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63"/>
      <c r="C153" s="63"/>
      <c r="D153" s="63"/>
      <c r="E153" s="63"/>
      <c r="F153" s="63"/>
      <c r="G153" s="64"/>
      <c r="H153" s="63"/>
      <c r="I153" s="63"/>
      <c r="J153" s="63"/>
      <c r="K153" s="65"/>
      <c r="L153" s="63"/>
    </row>
    <row r="154" spans="2:12" s="3" customFormat="1" ht="15">
      <c r="B154" s="63"/>
      <c r="C154" s="63"/>
      <c r="D154" s="63"/>
      <c r="E154" s="63"/>
      <c r="F154" s="6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3"/>
      <c r="D156" s="63"/>
      <c r="E156" s="63"/>
      <c r="F156" s="63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3"/>
      <c r="D157" s="63"/>
      <c r="E157" s="63"/>
      <c r="F157" s="63"/>
      <c r="G157" s="64"/>
      <c r="H157" s="63"/>
      <c r="I157" s="63"/>
      <c r="J157" s="63"/>
      <c r="K157" s="65"/>
      <c r="L157" s="63"/>
    </row>
    <row r="158" spans="2:12" s="3" customFormat="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73"/>
      <c r="C159" s="73"/>
      <c r="D159" s="73"/>
      <c r="E159" s="73"/>
      <c r="F159" s="73"/>
      <c r="G159" s="64"/>
      <c r="H159" s="63"/>
      <c r="I159" s="63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63"/>
      <c r="C161" s="63"/>
      <c r="D161" s="63"/>
      <c r="E161" s="63"/>
      <c r="F161" s="63"/>
      <c r="G161" s="64"/>
      <c r="H161" s="63"/>
      <c r="I161" s="63"/>
      <c r="J161" s="63"/>
      <c r="K161" s="65"/>
      <c r="L161" s="63"/>
    </row>
    <row r="162" spans="2:12" s="3" customFormat="1" ht="15">
      <c r="B162" s="63"/>
      <c r="C162" s="65"/>
      <c r="D162" s="65"/>
      <c r="E162" s="65"/>
      <c r="F162" s="65"/>
      <c r="G162" s="64"/>
      <c r="H162" s="63"/>
      <c r="I162" s="63"/>
      <c r="J162" s="63"/>
      <c r="K162" s="65"/>
      <c r="L162" s="63"/>
    </row>
    <row r="163" spans="2:12" s="3" customFormat="1" ht="15">
      <c r="B163" s="63"/>
      <c r="C163" s="63"/>
      <c r="D163" s="63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3"/>
      <c r="D164" s="63"/>
      <c r="E164" s="63"/>
      <c r="F164" s="63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5">
      <c r="B167" s="63"/>
      <c r="C167" s="63"/>
      <c r="D167" s="63"/>
      <c r="E167" s="63"/>
      <c r="F167" s="63"/>
      <c r="G167" s="64"/>
      <c r="H167" s="63"/>
      <c r="I167" s="63"/>
      <c r="J167" s="63"/>
      <c r="K167" s="65"/>
      <c r="L167" s="63"/>
    </row>
    <row r="168" spans="2:12" s="3" customFormat="1" ht="15">
      <c r="B168" s="63"/>
      <c r="C168" s="63"/>
      <c r="D168" s="65"/>
      <c r="E168" s="63"/>
      <c r="F168" s="63"/>
      <c r="G168" s="64"/>
      <c r="H168" s="63"/>
      <c r="I168" s="63"/>
      <c r="J168" s="63"/>
      <c r="K168" s="65"/>
      <c r="L168" s="63"/>
    </row>
    <row r="169" spans="2:12" s="3" customFormat="1" ht="15">
      <c r="B169" s="63"/>
      <c r="C169" s="65"/>
      <c r="D169" s="65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5">
      <c r="B170" s="63"/>
      <c r="C170" s="63"/>
      <c r="D170" s="63"/>
      <c r="E170" s="63"/>
      <c r="F170" s="63"/>
      <c r="G170" s="64"/>
      <c r="H170" s="63"/>
      <c r="I170" s="63"/>
      <c r="J170" s="63"/>
      <c r="K170" s="65"/>
      <c r="L170" s="63"/>
    </row>
    <row r="171" spans="2:12" s="3" customFormat="1" ht="15">
      <c r="B171" s="63"/>
      <c r="C171" s="63"/>
      <c r="D171" s="63"/>
      <c r="E171" s="63"/>
      <c r="F171" s="63"/>
      <c r="G171" s="64"/>
      <c r="H171" s="63"/>
      <c r="I171" s="63"/>
      <c r="J171" s="63"/>
      <c r="K171" s="65"/>
      <c r="L171" s="63"/>
    </row>
    <row r="172" spans="2:12" s="3" customFormat="1" ht="15">
      <c r="B172" s="63"/>
      <c r="C172" s="63"/>
      <c r="D172" s="63"/>
      <c r="E172" s="63"/>
      <c r="F172" s="63"/>
      <c r="G172" s="64"/>
      <c r="H172" s="63"/>
      <c r="I172" s="63"/>
      <c r="J172" s="63"/>
      <c r="K172" s="65"/>
      <c r="L172" s="63"/>
    </row>
    <row r="173" spans="2:12" s="3" customFormat="1" ht="15">
      <c r="B173" s="63"/>
      <c r="C173" s="63"/>
      <c r="D173" s="63"/>
      <c r="E173" s="63"/>
      <c r="F173" s="63"/>
      <c r="G173" s="64"/>
      <c r="H173" s="63"/>
      <c r="I173" s="64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3"/>
      <c r="I175" s="63"/>
      <c r="J175" s="63"/>
      <c r="K175" s="65"/>
      <c r="L175" s="63"/>
    </row>
    <row r="176" spans="2:12" s="3" customFormat="1" ht="15">
      <c r="B176" s="63"/>
      <c r="C176" s="63"/>
      <c r="D176" s="63"/>
      <c r="E176" s="63"/>
      <c r="F176" s="63"/>
      <c r="G176" s="64"/>
      <c r="H176" s="63"/>
      <c r="I176" s="63"/>
      <c r="J176" s="63"/>
      <c r="K176" s="65"/>
      <c r="L176" s="63"/>
    </row>
    <row r="177" spans="2:12" s="3" customFormat="1" ht="15">
      <c r="B177" s="63"/>
      <c r="C177" s="63"/>
      <c r="D177" s="63"/>
      <c r="E177" s="63"/>
      <c r="F177" s="63"/>
      <c r="G177" s="64"/>
      <c r="H177" s="63"/>
      <c r="I177" s="63"/>
      <c r="J177" s="63"/>
      <c r="K177" s="65"/>
      <c r="L177" s="63"/>
    </row>
    <row r="178" spans="2:12" s="3" customFormat="1" ht="15">
      <c r="B178" s="63"/>
      <c r="C178" s="63"/>
      <c r="D178" s="63"/>
      <c r="E178" s="63"/>
      <c r="F178" s="63"/>
      <c r="G178" s="64"/>
      <c r="H178" s="63"/>
      <c r="I178" s="63"/>
      <c r="J178" s="63"/>
      <c r="K178" s="65"/>
      <c r="L178" s="63"/>
    </row>
    <row r="179" spans="2:12" s="3" customFormat="1" ht="15">
      <c r="B179" s="63"/>
      <c r="C179" s="63"/>
      <c r="D179" s="63"/>
      <c r="E179" s="63"/>
      <c r="F179" s="63"/>
      <c r="G179" s="64"/>
      <c r="H179" s="63"/>
      <c r="I179" s="63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3"/>
      <c r="I180" s="63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3"/>
      <c r="I181" s="63"/>
      <c r="J181" s="63"/>
      <c r="K181" s="65"/>
      <c r="L181" s="63"/>
    </row>
    <row r="182" spans="2:12" s="3" customFormat="1" ht="15">
      <c r="B182" s="65"/>
      <c r="C182" s="65"/>
      <c r="D182" s="65"/>
      <c r="E182" s="65"/>
      <c r="F182" s="65"/>
      <c r="G182" s="65"/>
      <c r="H182" s="65"/>
      <c r="I182" s="65"/>
      <c r="J182" s="63"/>
      <c r="K182" s="65"/>
      <c r="L182" s="63"/>
    </row>
    <row r="183" spans="2:12" s="3" customFormat="1" ht="15">
      <c r="B183" s="65"/>
      <c r="C183" s="65"/>
      <c r="D183" s="65"/>
      <c r="E183" s="65"/>
      <c r="F183" s="65"/>
      <c r="G183" s="74"/>
      <c r="H183" s="65"/>
      <c r="I183" s="65"/>
      <c r="J183" s="63"/>
      <c r="K183" s="65"/>
      <c r="L183" s="74"/>
    </row>
    <row r="184" spans="2:12" s="3" customFormat="1" ht="15">
      <c r="B184" s="65"/>
      <c r="C184" s="65"/>
      <c r="D184" s="65"/>
      <c r="E184" s="65"/>
      <c r="F184" s="65"/>
      <c r="G184" s="65"/>
      <c r="H184" s="65"/>
      <c r="I184" s="75"/>
      <c r="J184" s="63"/>
      <c r="K184" s="65"/>
      <c r="L184" s="63"/>
    </row>
    <row r="185" spans="2:12" s="3" customFormat="1" ht="15">
      <c r="B185" s="63"/>
      <c r="C185" s="63"/>
      <c r="D185" s="63"/>
      <c r="E185" s="63"/>
      <c r="F185" s="63"/>
      <c r="G185" s="64"/>
      <c r="H185" s="63"/>
      <c r="I185" s="63"/>
      <c r="J185" s="63"/>
      <c r="K185" s="65"/>
      <c r="L185" s="63"/>
    </row>
    <row r="186" spans="2:12" s="3" customFormat="1" ht="15">
      <c r="B186" s="63"/>
      <c r="C186" s="63"/>
      <c r="D186" s="63"/>
      <c r="E186" s="63"/>
      <c r="F186" s="63"/>
      <c r="G186" s="64"/>
      <c r="H186" s="63"/>
      <c r="I186" s="63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3"/>
      <c r="I187" s="63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3"/>
      <c r="I188" s="63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3"/>
      <c r="I189" s="63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3"/>
      <c r="I190" s="63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5"/>
      <c r="I191" s="65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5"/>
      <c r="I192" s="65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5"/>
      <c r="I193" s="65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3"/>
      <c r="I194" s="63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3"/>
      <c r="I195" s="63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3"/>
      <c r="I196" s="63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3"/>
      <c r="I197" s="63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5"/>
      <c r="I200" s="65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5"/>
      <c r="I201" s="65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5"/>
      <c r="I202" s="65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3"/>
      <c r="I203" s="63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3"/>
      <c r="I204" s="63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s="3" customFormat="1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s="3" customFormat="1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s="3" customFormat="1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s="3" customFormat="1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s="3" customFormat="1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s="3" customFormat="1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s="3" customFormat="1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s="3" customFormat="1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s="3" customFormat="1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s="3" customFormat="1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s="3" customFormat="1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s="3" customFormat="1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s="3" customFormat="1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s="3" customFormat="1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  <row r="314" spans="2:12" ht="15">
      <c r="B314" s="63"/>
      <c r="C314" s="63"/>
      <c r="D314" s="63"/>
      <c r="E314" s="63"/>
      <c r="F314" s="63"/>
      <c r="G314" s="64"/>
      <c r="H314" s="63"/>
      <c r="I314" s="63"/>
      <c r="J314" s="63"/>
      <c r="K314" s="65"/>
      <c r="L314" s="63"/>
    </row>
    <row r="315" spans="2:12" ht="15">
      <c r="B315" s="63"/>
      <c r="C315" s="63"/>
      <c r="D315" s="63"/>
      <c r="E315" s="63"/>
      <c r="F315" s="63"/>
      <c r="G315" s="64"/>
      <c r="H315" s="63"/>
      <c r="I315" s="63"/>
      <c r="J315" s="63"/>
      <c r="K315" s="65"/>
      <c r="L315" s="63"/>
    </row>
    <row r="316" spans="2:12" ht="15">
      <c r="B316" s="63"/>
      <c r="C316" s="63"/>
      <c r="D316" s="63"/>
      <c r="E316" s="63"/>
      <c r="F316" s="63"/>
      <c r="G316" s="64"/>
      <c r="H316" s="63"/>
      <c r="I316" s="63"/>
      <c r="J316" s="63"/>
      <c r="K316" s="65"/>
      <c r="L316" s="63"/>
    </row>
    <row r="317" spans="2:12" ht="15">
      <c r="B317" s="63"/>
      <c r="C317" s="63"/>
      <c r="D317" s="63"/>
      <c r="E317" s="63"/>
      <c r="F317" s="63"/>
      <c r="G317" s="64"/>
      <c r="H317" s="63"/>
      <c r="I317" s="63"/>
      <c r="J317" s="63"/>
      <c r="K317" s="65"/>
      <c r="L317" s="63"/>
    </row>
    <row r="318" spans="2:12" ht="15">
      <c r="B318" s="63"/>
      <c r="C318" s="63"/>
      <c r="D318" s="63"/>
      <c r="E318" s="63"/>
      <c r="F318" s="63"/>
      <c r="G318" s="64"/>
      <c r="H318" s="63"/>
      <c r="I318" s="63"/>
      <c r="J318" s="63"/>
      <c r="K318" s="65"/>
      <c r="L318" s="63"/>
    </row>
    <row r="319" spans="2:12" ht="15">
      <c r="B319" s="63"/>
      <c r="C319" s="63"/>
      <c r="D319" s="63"/>
      <c r="E319" s="63"/>
      <c r="F319" s="63"/>
      <c r="G319" s="64"/>
      <c r="H319" s="63"/>
      <c r="I319" s="63"/>
      <c r="J319" s="63"/>
      <c r="K319" s="65"/>
      <c r="L319" s="63"/>
    </row>
    <row r="320" spans="2:12" ht="15">
      <c r="B320" s="63"/>
      <c r="C320" s="63"/>
      <c r="D320" s="63"/>
      <c r="E320" s="63"/>
      <c r="F320" s="63"/>
      <c r="G320" s="64"/>
      <c r="H320" s="63"/>
      <c r="I320" s="63"/>
      <c r="J320" s="63"/>
      <c r="K320" s="65"/>
      <c r="L320" s="63"/>
    </row>
    <row r="321" spans="2:12" ht="15">
      <c r="B321" s="63"/>
      <c r="C321" s="63"/>
      <c r="D321" s="63"/>
      <c r="E321" s="63"/>
      <c r="F321" s="63"/>
      <c r="G321" s="64"/>
      <c r="H321" s="63"/>
      <c r="I321" s="63"/>
      <c r="J321" s="63"/>
      <c r="K321" s="65"/>
      <c r="L321" s="63"/>
    </row>
    <row r="322" spans="2:12" ht="15">
      <c r="B322" s="63"/>
      <c r="C322" s="63"/>
      <c r="D322" s="63"/>
      <c r="E322" s="63"/>
      <c r="F322" s="63"/>
      <c r="G322" s="64"/>
      <c r="H322" s="63"/>
      <c r="I322" s="63"/>
      <c r="J322" s="63"/>
      <c r="K322" s="65"/>
      <c r="L322" s="63"/>
    </row>
    <row r="323" spans="2:12" ht="15">
      <c r="B323" s="63"/>
      <c r="C323" s="63"/>
      <c r="D323" s="63"/>
      <c r="E323" s="63"/>
      <c r="F323" s="63"/>
      <c r="G323" s="64"/>
      <c r="H323" s="63"/>
      <c r="I323" s="63"/>
      <c r="J323" s="63"/>
      <c r="K323" s="65"/>
      <c r="L323" s="63"/>
    </row>
    <row r="324" spans="2:12" ht="15">
      <c r="B324" s="63"/>
      <c r="C324" s="63"/>
      <c r="D324" s="63"/>
      <c r="E324" s="63"/>
      <c r="F324" s="63"/>
      <c r="G324" s="64"/>
      <c r="H324" s="63"/>
      <c r="I324" s="63"/>
      <c r="J324" s="63"/>
      <c r="K324" s="65"/>
      <c r="L324" s="63"/>
    </row>
    <row r="325" spans="2:12" ht="15">
      <c r="B325" s="63"/>
      <c r="C325" s="63"/>
      <c r="D325" s="63"/>
      <c r="E325" s="63"/>
      <c r="F325" s="63"/>
      <c r="G325" s="64"/>
      <c r="H325" s="63"/>
      <c r="I325" s="63"/>
      <c r="J325" s="63"/>
      <c r="K325" s="65"/>
      <c r="L325" s="63"/>
    </row>
    <row r="326" spans="2:12" ht="15">
      <c r="B326" s="63"/>
      <c r="C326" s="63"/>
      <c r="D326" s="63"/>
      <c r="E326" s="63"/>
      <c r="F326" s="63"/>
      <c r="G326" s="64"/>
      <c r="H326" s="63"/>
      <c r="I326" s="63"/>
      <c r="J326" s="63"/>
      <c r="K326" s="65"/>
      <c r="L326" s="63"/>
    </row>
    <row r="327" spans="2:12" ht="15">
      <c r="B327" s="63"/>
      <c r="C327" s="63"/>
      <c r="D327" s="63"/>
      <c r="E327" s="63"/>
      <c r="F327" s="63"/>
      <c r="G327" s="64"/>
      <c r="H327" s="63"/>
      <c r="I327" s="63"/>
      <c r="J327" s="63"/>
      <c r="K327" s="65"/>
      <c r="L327" s="63"/>
    </row>
  </sheetData>
  <sheetProtection/>
  <mergeCells count="47">
    <mergeCell ref="I93:J93"/>
    <mergeCell ref="L78:O78"/>
    <mergeCell ref="E20:F20"/>
    <mergeCell ref="B92:D92"/>
    <mergeCell ref="E89:J89"/>
    <mergeCell ref="B89:D90"/>
    <mergeCell ref="I91:J91"/>
    <mergeCell ref="B12:E12"/>
    <mergeCell ref="G92:H92"/>
    <mergeCell ref="B91:D91"/>
    <mergeCell ref="B88:J88"/>
    <mergeCell ref="B106:J106"/>
    <mergeCell ref="G12:J12"/>
    <mergeCell ref="G91:H91"/>
    <mergeCell ref="E91:F91"/>
    <mergeCell ref="B87:J87"/>
    <mergeCell ref="E92:F92"/>
    <mergeCell ref="B135:C135"/>
    <mergeCell ref="B111:J111"/>
    <mergeCell ref="B102:J102"/>
    <mergeCell ref="B97:D98"/>
    <mergeCell ref="I97:J98"/>
    <mergeCell ref="B93:D93"/>
    <mergeCell ref="E99:F100"/>
    <mergeCell ref="B110:J110"/>
    <mergeCell ref="B95:J95"/>
    <mergeCell ref="B107:J107"/>
    <mergeCell ref="B109:J109"/>
    <mergeCell ref="I99:J100"/>
    <mergeCell ref="G99:H100"/>
    <mergeCell ref="E97:F98"/>
    <mergeCell ref="B104:J104"/>
    <mergeCell ref="B99:D100"/>
    <mergeCell ref="G97:H98"/>
    <mergeCell ref="B108:J108"/>
    <mergeCell ref="B105:J105"/>
    <mergeCell ref="B103:J103"/>
    <mergeCell ref="D2:J2"/>
    <mergeCell ref="D3:J3"/>
    <mergeCell ref="D4:J4"/>
    <mergeCell ref="I92:J92"/>
    <mergeCell ref="G93:H93"/>
    <mergeCell ref="E93:F93"/>
    <mergeCell ref="G90:H90"/>
    <mergeCell ref="I90:J90"/>
    <mergeCell ref="E90:F90"/>
    <mergeCell ref="D6:J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74" max="10" man="1"/>
  </rowBreaks>
  <ignoredErrors>
    <ignoredError sqref="G41:G42 G27:G28 I22:I26 G6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37</v>
      </c>
      <c r="C1" s="47">
        <v>32000</v>
      </c>
    </row>
    <row r="2" spans="2:3" ht="15">
      <c r="B2" s="44" t="s">
        <v>38</v>
      </c>
      <c r="C2" s="112">
        <f>((rendimiento-$C$1)/$C$1)+1</f>
        <v>0.90625</v>
      </c>
    </row>
    <row r="3" ht="18">
      <c r="B3" s="12"/>
    </row>
    <row r="4" spans="2:12" ht="18">
      <c r="B4" s="345" t="s">
        <v>18</v>
      </c>
      <c r="C4" s="345"/>
      <c r="E4" s="3" t="s">
        <v>46</v>
      </c>
      <c r="K4" s="114"/>
      <c r="L4" s="9"/>
    </row>
    <row r="5" spans="1:5" ht="18">
      <c r="A5" s="115" t="s">
        <v>39</v>
      </c>
      <c r="B5" s="116" t="s">
        <v>57</v>
      </c>
      <c r="C5" s="117"/>
      <c r="D5" s="117"/>
      <c r="E5" s="118">
        <v>32000</v>
      </c>
    </row>
    <row r="6" spans="1:5" ht="18">
      <c r="A6" s="115" t="s">
        <v>39</v>
      </c>
      <c r="B6" s="116" t="s">
        <v>56</v>
      </c>
      <c r="C6" s="119"/>
      <c r="D6" s="119"/>
      <c r="E6" s="118">
        <v>32000</v>
      </c>
    </row>
    <row r="7" spans="1:5" ht="18">
      <c r="A7" s="115" t="s">
        <v>39</v>
      </c>
      <c r="B7" s="116" t="s">
        <v>42</v>
      </c>
      <c r="C7" s="119"/>
      <c r="D7" s="119"/>
      <c r="E7" s="118"/>
    </row>
    <row r="8" spans="1:5" ht="18">
      <c r="A8" s="120" t="s">
        <v>40</v>
      </c>
      <c r="B8" s="121" t="s">
        <v>60</v>
      </c>
      <c r="C8" s="124"/>
      <c r="D8" s="124"/>
      <c r="E8" s="123">
        <v>32000</v>
      </c>
    </row>
    <row r="9" spans="1:5" ht="18">
      <c r="A9" s="120" t="s">
        <v>40</v>
      </c>
      <c r="B9" s="121" t="s">
        <v>63</v>
      </c>
      <c r="C9" s="124"/>
      <c r="D9" s="124"/>
      <c r="E9" s="123">
        <v>32000</v>
      </c>
    </row>
    <row r="10" spans="1:5" ht="18">
      <c r="A10" s="120" t="s">
        <v>40</v>
      </c>
      <c r="B10" s="121" t="s">
        <v>43</v>
      </c>
      <c r="C10" s="122"/>
      <c r="D10" s="122"/>
      <c r="E10" s="123"/>
    </row>
    <row r="11" spans="1:5" ht="18">
      <c r="A11" s="115" t="s">
        <v>41</v>
      </c>
      <c r="B11" s="116" t="s">
        <v>64</v>
      </c>
      <c r="C11" s="117"/>
      <c r="D11" s="117"/>
      <c r="E11" s="118">
        <v>640</v>
      </c>
    </row>
    <row r="12" spans="1:5" ht="18">
      <c r="A12" s="115" t="s">
        <v>41</v>
      </c>
      <c r="B12" s="116" t="s">
        <v>44</v>
      </c>
      <c r="C12" s="117"/>
      <c r="D12" s="117"/>
      <c r="E12" s="118"/>
    </row>
    <row r="13" spans="1:5" ht="18">
      <c r="A13" s="115" t="s">
        <v>41</v>
      </c>
      <c r="B13" s="116" t="s">
        <v>45</v>
      </c>
      <c r="C13" s="125"/>
      <c r="D13" s="125"/>
      <c r="E13" s="118"/>
    </row>
    <row r="18" spans="2:4" ht="15">
      <c r="B18" s="346" t="s">
        <v>14</v>
      </c>
      <c r="C18" s="346"/>
      <c r="D18" s="346"/>
    </row>
    <row r="20" spans="2:4" ht="18">
      <c r="B20" s="46" t="s">
        <v>16</v>
      </c>
      <c r="C20" s="45">
        <f>'papa_ guarda_ secano_araucania'!B91</f>
        <v>26100</v>
      </c>
      <c r="D20" s="45">
        <f>'papa_ guarda_ secano_araucania'!B93</f>
        <v>31900.000000000004</v>
      </c>
    </row>
    <row r="21" ht="15">
      <c r="B21" s="23"/>
    </row>
    <row r="22" spans="2:4" ht="15">
      <c r="B22" s="44" t="s">
        <v>17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6"/>
      <c r="C23" s="45"/>
      <c r="D23" s="45"/>
    </row>
    <row r="24" spans="2:6" ht="18">
      <c r="B24" s="46" t="s">
        <v>7</v>
      </c>
      <c r="C24" s="45"/>
      <c r="D24" s="45"/>
      <c r="E24" s="9"/>
      <c r="F24" s="9"/>
    </row>
    <row r="25" spans="2:5" ht="18">
      <c r="B25" s="16" t="s">
        <v>19</v>
      </c>
      <c r="C25" s="9">
        <f>SUM('papa_ guarda_ secano_araucania'!J22:J28)-_xlfn.IFERROR(INDEX('papa_ guarda_ secano_araucania'!$J$22:$J$28,MATCH(B5,'papa_ guarda_ secano_araucania'!$B$22:$B$28,0)),"0")-_xlfn.IFERROR(INDEX('papa_ guarda_ secano_araucania'!$J$22:$J$28,MATCH(B6,'papa_ guarda_ secano_araucania'!$B$22:$B$28,0)),"0")-_xlfn.IFERROR(INDEX('papa_ guarda_ secano_araucania'!$J$22:$J$28,MATCH(B7,'papa_ guarda_ secano_araucania'!$B$22:$B$28,0)),"0")</f>
        <v>753000</v>
      </c>
      <c r="D25" s="9">
        <f>SUM('papa_ guarda_ secano_araucania'!J22:J28)-_xlfn.IFERROR(INDEX('papa_ guarda_ secano_araucania'!$J$22:$J$28,MATCH(B5,'papa_ guarda_ secano_araucania'!$B$22:$B$28,0)),"0")-_xlfn.IFERROR(INDEX('papa_ guarda_ secano_araucania'!$J$22:$J$28,MATCH(B6,'papa_ guarda_ secano_araucania'!$B$22:$B$28,0)),"0")-_xlfn.IFERROR(INDEX('papa_ guarda_ secano_araucania'!$J$22:$J$28,MATCH(B7,'papa_ guarda_ secano_araucania'!$B$22:$B$28,0)),"0")</f>
        <v>753000</v>
      </c>
      <c r="E25" s="9"/>
    </row>
    <row r="26" spans="2:4" ht="18">
      <c r="B26" s="48" t="s">
        <v>20</v>
      </c>
      <c r="C26" s="113">
        <f>C22*(_xlfn.IFERROR(INDEX('papa_ guarda_ secano_araucania'!$J$22:$J$28,MATCH(B5,'papa_ guarda_ secano_araucania'!$B$22:$B$28,0)),"0")+_xlfn.IFERROR(INDEX('papa_ guarda_ secano_araucania'!$J$22:$J$28,MATCH(B6,'papa_ guarda_ secano_araucania'!$B$22:$B$28,0)),"0")+_xlfn.IFERROR(INDEX('papa_ guarda_ secano_araucania'!$J$22:$J$28,MATCH(B7,'papa_ guarda_ secano_araucania'!$B$22:$B$28,0)),"0"))</f>
        <v>78300</v>
      </c>
      <c r="D26" s="113">
        <f>D22*(_xlfn.IFERROR(INDEX('papa_ guarda_ secano_araucania'!$J$22:$J$28,MATCH(B5,'papa_ guarda_ secano_araucania'!$B$22:$B$28,0)),"0")+_xlfn.IFERROR(INDEX('papa_ guarda_ secano_araucania'!$J$22:$J$28,MATCH(B6,'papa_ guarda_ secano_araucania'!$B$22:$B$28,0)),"0")+_xlfn.IFERROR(INDEX('papa_ guarda_ secano_araucania'!$J$22:$J$28,MATCH(B7,'papa_ guarda_ secano_araucania'!$B$22:$B$28,0)),"0"))</f>
        <v>95700.00000000001</v>
      </c>
    </row>
    <row r="27" spans="2:4" ht="18">
      <c r="B27" s="16" t="s">
        <v>21</v>
      </c>
      <c r="C27" s="9">
        <f>SUM(C25:C26)</f>
        <v>831300</v>
      </c>
      <c r="D27" s="9">
        <f>SUM(D25:D26)</f>
        <v>848700</v>
      </c>
    </row>
    <row r="28" ht="18">
      <c r="B28" s="16"/>
    </row>
    <row r="29" ht="18">
      <c r="B29" s="46" t="s">
        <v>9</v>
      </c>
    </row>
    <row r="30" spans="2:4" ht="18">
      <c r="B30" s="16" t="s">
        <v>19</v>
      </c>
      <c r="C30" s="9">
        <f>SUM('papa_ guarda_ secano_araucania'!J32:J42)-_xlfn.IFERROR(INDEX('papa_ guarda_ secano_araucania'!$J$32:$J$42,MATCH(B8,'papa_ guarda_ secano_araucania'!$B$32:$B$42,0)),"0")-_xlfn.IFERROR(INDEX('papa_ guarda_ secano_araucania'!$J$32:$J$42,MATCH(B9,'papa_ guarda_ secano_araucania'!$B$32:$B$42,0)),"0")-_xlfn.IFERROR(INDEX('papa_ guarda_ secano_araucania'!$J$32:$J$42,MATCH(B10,'papa_ guarda_ secano_araucania'!$B$32:$B$42,0)),"0")</f>
        <v>426000</v>
      </c>
      <c r="D30" s="9">
        <f>SUM('papa_ guarda_ secano_araucania'!J32:J42)-_xlfn.IFERROR(INDEX('papa_ guarda_ secano_araucania'!$J$32:$J$42,MATCH(B8,'papa_ guarda_ secano_araucania'!$B$32:$B$42,0)),"0")-_xlfn.IFERROR(INDEX('papa_ guarda_ secano_araucania'!$J$32:$J$42,MATCH(B9,'papa_ guarda_ secano_araucania'!$B$32:$B$42,0)),"0")-_xlfn.IFERROR(INDEX('papa_ guarda_ secano_araucania'!$J$32:$J$42,MATCH(B10,'papa_ guarda_ secano_araucania'!$B$32:$B$42,0)),"0")</f>
        <v>426000</v>
      </c>
    </row>
    <row r="31" spans="2:4" ht="18">
      <c r="B31" s="48" t="s">
        <v>20</v>
      </c>
      <c r="C31" s="113">
        <f>C22*(_xlfn.IFERROR(INDEX('papa_ guarda_ secano_araucania'!$J$32:$J$42,MATCH(B8,'papa_ guarda_ secano_araucania'!$B$32:$B$42,0)),"0")+_xlfn.IFERROR(INDEX('papa_ guarda_ secano_araucania'!$J$32:$J$42,MATCH(B9,'papa_ guarda_ secano_araucania'!$B$32:$B$42,0)),"0")+_xlfn.IFERROR(INDEX('papa_ guarda_ secano_araucania'!$J$32:$J$42,MATCH(B10,'papa_ guarda_ secano_araucania'!$B$32:$B$42,0)),"0"))</f>
        <v>313200</v>
      </c>
      <c r="D31" s="113">
        <f>D22*(_xlfn.IFERROR(INDEX('papa_ guarda_ secano_araucania'!$J$32:$J$42,MATCH(B8,'papa_ guarda_ secano_araucania'!$B$32:$B$42,0)),"0")+_xlfn.IFERROR(INDEX('papa_ guarda_ secano_araucania'!$J$32:$J$42,MATCH(B9,'papa_ guarda_ secano_araucania'!$B$32:$B$42,0)),"0")+_xlfn.IFERROR(INDEX('papa_ guarda_ secano_araucania'!$J$32:$J$42,MATCH(B10,'papa_ guarda_ secano_araucania'!$B$32:$B$42,0)),"0"))</f>
        <v>382800.00000000006</v>
      </c>
    </row>
    <row r="32" spans="2:4" ht="18">
      <c r="B32" s="16" t="s">
        <v>21</v>
      </c>
      <c r="C32" s="9">
        <f>SUM(C30:C31)</f>
        <v>739200</v>
      </c>
      <c r="D32" s="9">
        <f>SUM(D30:D31)</f>
        <v>808800</v>
      </c>
    </row>
    <row r="34" ht="18">
      <c r="B34" s="46" t="s">
        <v>22</v>
      </c>
    </row>
    <row r="35" spans="2:4" ht="18">
      <c r="B35" s="16" t="s">
        <v>19</v>
      </c>
      <c r="C35" s="9">
        <f>SUM('papa_ guarda_ secano_araucania'!J46:J67)-_xlfn.IFERROR(INDEX('papa_ guarda_ secano_araucania'!$J$46:$J$67,MATCH(B11,'papa_ guarda_ secano_araucania'!$B$46:$B$67,0)),"0")-_xlfn.IFERROR(INDEX('papa_ guarda_ secano_araucania'!$J$46:$J$67,MATCH(B12,'papa_ guarda_ secano_araucania'!$B$46:$B$67,0)),"0")-_xlfn.IFERROR(INDEX('papa_ guarda_ secano_araucania'!$J$46:$J$67,MATCH(B13,'papa_ guarda_ secano_araucania'!$B$46:$B$67,0)),"0")</f>
        <v>2296145</v>
      </c>
      <c r="D35" s="9">
        <f>SUM('papa_ guarda_ secano_araucania'!J46:J67)-_xlfn.IFERROR(INDEX('papa_ guarda_ secano_araucania'!$J$46:$J$67,MATCH(B11,'papa_ guarda_ secano_araucania'!$B$46:$B$67,0)),"0")-_xlfn.IFERROR(INDEX('papa_ guarda_ secano_araucania'!$J$46:$J$67,MATCH(B12,'papa_ guarda_ secano_araucania'!$B$46:$B$67,0)),"0")-_xlfn.IFERROR(INDEX('papa_ guarda_ secano_araucania'!$J$46:$J$67,MATCH(B13,'papa_ guarda_ secano_araucania'!$B$46:$B$67,0)),"0")</f>
        <v>2296145</v>
      </c>
    </row>
    <row r="36" spans="2:4" ht="18">
      <c r="B36" s="48" t="s">
        <v>20</v>
      </c>
      <c r="C36" s="113">
        <f>C22*(_xlfn.IFERROR(INDEX('papa_ guarda_ secano_araucania'!$J$46:$J$67,MATCH(B11,'papa_ guarda_ secano_araucania'!$B$46:$B$67,0)),"0")+_xlfn.IFERROR(INDEX('papa_ guarda_ secano_araucania'!$J$46:$J$67,MATCH(B12,'papa_ guarda_ secano_araucania'!$B$46:$B$67,0)),"0")+_xlfn.IFERROR(INDEX('papa_ guarda_ secano_araucania'!$J$46:$J$67,MATCH(B13,'papa_ guarda_ secano_araucania'!$B$46:$B$67,0)),"0"))</f>
        <v>0</v>
      </c>
      <c r="D36" s="113">
        <f>D22*(_xlfn.IFERROR(INDEX('papa_ guarda_ secano_araucania'!$J$46:$J$67,MATCH(B11,'papa_ guarda_ secano_araucania'!$B$46:$B$67,0)),"0")+_xlfn.IFERROR(INDEX('papa_ guarda_ secano_araucania'!$J$46:$J$67,MATCH(B12,'papa_ guarda_ secano_araucania'!$B$46:$B$67,0)),"0")+_xlfn.IFERROR(INDEX('papa_ guarda_ secano_araucania'!$J$46:$J$67,MATCH(B13,'papa_ guarda_ secano_araucania'!$B$46:$B$67,0)),"0"))</f>
        <v>0</v>
      </c>
    </row>
    <row r="37" spans="2:4" ht="18">
      <c r="B37" s="16" t="s">
        <v>21</v>
      </c>
      <c r="C37" s="9">
        <f>SUM(C35:C36)</f>
        <v>2296145</v>
      </c>
      <c r="D37" s="9">
        <f>SUM(D35:D36)</f>
        <v>2296145</v>
      </c>
    </row>
    <row r="38" spans="2:4" ht="15">
      <c r="B38" s="23"/>
      <c r="C38" s="27"/>
      <c r="D38" s="27"/>
    </row>
    <row r="39" spans="2:4" ht="18">
      <c r="B39" s="50" t="s">
        <v>23</v>
      </c>
      <c r="C39" s="51">
        <f>C27+C32+C37</f>
        <v>3866645</v>
      </c>
      <c r="D39" s="51">
        <f>D27+D32+D37</f>
        <v>3953645</v>
      </c>
    </row>
    <row r="40" ht="15">
      <c r="B40" s="23"/>
    </row>
    <row r="41" spans="2:4" ht="18">
      <c r="B41" s="49" t="s">
        <v>0</v>
      </c>
      <c r="C41" s="9" t="e">
        <f>C39*'papa_ guarda_ secano_araucania'!#REF!</f>
        <v>#REF!</v>
      </c>
      <c r="D41" s="9" t="e">
        <f>D39*'papa_ guarda_ secano_araucania'!#REF!</f>
        <v>#REF!</v>
      </c>
    </row>
    <row r="42" spans="2:4" ht="18">
      <c r="B42" s="49" t="s">
        <v>12</v>
      </c>
      <c r="C42" s="9">
        <f>C39*tasa_interes_mensual*meses_financiamiento*0.5</f>
        <v>202998.8625</v>
      </c>
      <c r="D42" s="9">
        <f>D39*tasa_interes_mensual*meses_financiamiento*0.5</f>
        <v>207566.3625</v>
      </c>
    </row>
    <row r="43" ht="15">
      <c r="B43" s="23"/>
    </row>
    <row r="44" spans="2:4" ht="18">
      <c r="B44" s="50" t="s">
        <v>13</v>
      </c>
      <c r="C44" s="51" t="e">
        <f>C39+C41+C42</f>
        <v>#REF!</v>
      </c>
      <c r="D44" s="51" t="e">
        <f>D39+D41+D42</f>
        <v>#REF!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2019-07-01T20:21:58Z</cp:lastPrinted>
  <dcterms:created xsi:type="dcterms:W3CDTF">2012-07-09T18:51:50Z</dcterms:created>
  <dcterms:modified xsi:type="dcterms:W3CDTF">2021-07-28T21:07:15Z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</Properties>
</file>