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trigo" sheetId="1" r:id="rId1"/>
    <sheet name="rdto_variable" sheetId="2" state="hidden" r:id="rId2"/>
  </sheets>
  <definedNames>
    <definedName name="_xlfn.IFERROR" hidden="1">#NAME?</definedName>
    <definedName name="_xlnm.Print_Area" localSheetId="0">'trigo'!$A$1:$K$101</definedName>
    <definedName name="costo_financiero">'trigo'!$J$67</definedName>
    <definedName name="imprevistos">'trigo'!$J$63</definedName>
    <definedName name="meses_financiamiento">'trigo'!$E$17</definedName>
    <definedName name="precio_de_venta">'trigo'!$E$14</definedName>
    <definedName name="rendimiento">'trigo'!$E$13</definedName>
    <definedName name="tasa_interes_mensual">'trigo'!$E$16</definedName>
    <definedName name="total_costos">'trigo'!$J$73</definedName>
    <definedName name="total_costos_directos">'trigo'!$J$61</definedName>
    <definedName name="total_costos_indirectos">'trigo'!$J$71</definedName>
    <definedName name="total_insumos">'trigo'!$J$59</definedName>
    <definedName name="total_mano_obra">'trigo'!$J$27</definedName>
    <definedName name="total_maquinaria">'trigo'!$J$37</definedName>
  </definedNames>
  <calcPr fullCalcOnLoad="1"/>
</workbook>
</file>

<file path=xl/sharedStrings.xml><?xml version="1.0" encoding="utf-8"?>
<sst xmlns="http://schemas.openxmlformats.org/spreadsheetml/2006/main" count="183" uniqueCount="138">
  <si>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</si>
  <si>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</si>
  <si>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</si>
  <si>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</si>
  <si>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</si>
  <si>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</si>
  <si>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</si>
  <si>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</si>
  <si>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</si>
  <si>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</si>
  <si>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</si>
  <si>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</si>
  <si>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</si>
  <si>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</si>
  <si>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</si>
  <si>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</si>
  <si>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</si>
  <si>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</si>
  <si>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</si>
  <si>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</si>
  <si>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</si>
  <si>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</si>
  <si>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</si>
  <si>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</si>
  <si>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</si>
  <si>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</si>
  <si>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</si>
  <si>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</si>
  <si>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</si>
  <si>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</si>
  <si>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</si>
  <si>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</si>
  <si>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</si>
  <si>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</si>
  <si>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</si>
  <si>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</si>
  <si>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</si>
  <si>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</si>
  <si>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</si>
  <si>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</si>
  <si>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</si>
  <si>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Fungicidas:</t>
  </si>
  <si>
    <t>Insecticidas:</t>
  </si>
  <si>
    <t>Kg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</si>
  <si>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</si>
  <si>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</si>
  <si>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</si>
  <si>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</si>
  <si>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</si>
  <si>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</si>
  <si>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</si>
  <si>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</si>
  <si>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</si>
  <si>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</si>
  <si>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</si>
  <si>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</si>
  <si>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</si>
  <si>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</si>
  <si>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</si>
  <si>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</si>
  <si>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</si>
  <si>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</si>
  <si>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</si>
  <si>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</si>
  <si>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</si>
  <si>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</si>
  <si>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</si>
  <si>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</si>
  <si>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</si>
  <si>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</si>
  <si>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</si>
  <si>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</si>
  <si>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</si>
  <si>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</si>
  <si>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</si>
  <si>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</si>
  <si>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</si>
  <si>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Septiembre-octubre</t>
  </si>
  <si>
    <t>Octubre-noviembre</t>
  </si>
  <si>
    <t>(3) La dosis de fertilización promedio podría variar de acuerdo a los resultados del análisis foliar.</t>
  </si>
  <si>
    <t>(4) 1,5% mensual simple, tasa de interés promedio de las empresas distribuidoras de insumos</t>
  </si>
  <si>
    <r>
      <t xml:space="preserve">Análisis suelo </t>
    </r>
    <r>
      <rPr>
        <vertAlign val="superscript"/>
        <sz val="14"/>
        <rFont val="Arial"/>
        <family val="2"/>
      </rPr>
      <t>(3)</t>
    </r>
  </si>
  <si>
    <t>Mayo-julio</t>
  </si>
  <si>
    <t>Agosto-septiembre</t>
  </si>
  <si>
    <t>Trigo</t>
  </si>
  <si>
    <t>Región del BíoBío</t>
  </si>
  <si>
    <t>Densidad (Plantas/ha): s/i</t>
  </si>
  <si>
    <t xml:space="preserve">1 hectárea agosto 2016 </t>
  </si>
  <si>
    <t>Desinfección de semilla</t>
  </si>
  <si>
    <t>Julio-agosto</t>
  </si>
  <si>
    <t>Apoyo a la siembra</t>
  </si>
  <si>
    <t>Pulverizaciones</t>
  </si>
  <si>
    <t>Apoyo a la cosecha</t>
  </si>
  <si>
    <t>Diciembre-enero</t>
  </si>
  <si>
    <t>Arado Cincel</t>
  </si>
  <si>
    <t>Rastraje</t>
  </si>
  <si>
    <t>Aplicación herbicidas</t>
  </si>
  <si>
    <t>Mayo-septiembre</t>
  </si>
  <si>
    <t>Siembra y fertilización</t>
  </si>
  <si>
    <t>Trilla automotriz</t>
  </si>
  <si>
    <t xml:space="preserve">Urea </t>
  </si>
  <si>
    <t>Force 20 CS (aplicado a la semilla de trigo)</t>
  </si>
  <si>
    <t>Engeo</t>
  </si>
  <si>
    <t>Tebuconazole</t>
  </si>
  <si>
    <t xml:space="preserve">Ciproconazole/Trifloxistrobin </t>
  </si>
  <si>
    <t>Septiembre</t>
  </si>
  <si>
    <t>Mayo-junio</t>
  </si>
  <si>
    <t>Agosto-noviembre</t>
  </si>
  <si>
    <t>Julio-septiembre</t>
  </si>
  <si>
    <t>Mezcla NPK</t>
  </si>
  <si>
    <t>Variedad: Ciko - Inia</t>
  </si>
  <si>
    <t>Abril-junio</t>
  </si>
  <si>
    <t>Mayo-agosto</t>
  </si>
  <si>
    <t>Sobre</t>
  </si>
  <si>
    <t>Sal Dimetilamina de MCPA</t>
  </si>
  <si>
    <t>Aplicación pesticida</t>
  </si>
  <si>
    <t>Julio-noviembre</t>
  </si>
  <si>
    <t>Junio-noviembre</t>
  </si>
  <si>
    <t>Fertilizantes:</t>
  </si>
  <si>
    <t>Herbicidas:</t>
  </si>
  <si>
    <t>(5) Margen neto corresponde a ingresos totales (precio venta x rendimiento) menos los costos totales.</t>
  </si>
  <si>
    <t>(6) Representa el precio de venta mínimo para cubrir los costos totales de producción.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</si>
  <si>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</si>
  <si>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(1) El precio del trigo utilizado  en el análisis de sensibilidad corresponde al precio promedio regional durante junio de 2016 (precio informado por Cotrisa).</t>
  </si>
  <si>
    <t>Metsulfuron Metil-sodio</t>
  </si>
  <si>
    <t>Cosecha: diciembre-enero</t>
  </si>
  <si>
    <t>Fecha siembra: mayo-junio</t>
  </si>
  <si>
    <t>Tecnología de riego: secano</t>
  </si>
  <si>
    <t>Destino de producción: industria molinera</t>
  </si>
  <si>
    <t xml:space="preserve">Semilla trigo </t>
  </si>
  <si>
    <t>Aplicación nitrógeno (trompo)</t>
  </si>
  <si>
    <t>Hacer regueros, desagües</t>
  </si>
  <si>
    <t>Rendimiento (qq/ha):</t>
  </si>
  <si>
    <t>Rendimiento (qq/ha)</t>
  </si>
  <si>
    <t>Precio ($/qq)</t>
  </si>
  <si>
    <t>Costo Unitario ($/qq)</t>
  </si>
  <si>
    <r>
      <t xml:space="preserve">Precio de venta a productor ($/qq): </t>
    </r>
    <r>
      <rPr>
        <vertAlign val="superscript"/>
        <sz val="14"/>
        <rFont val="Arial"/>
        <family val="2"/>
      </rPr>
      <t>(1)</t>
    </r>
  </si>
  <si>
    <r>
      <t xml:space="preserve">Costo Unitario ($/qq) </t>
    </r>
    <r>
      <rPr>
        <b/>
        <vertAlign val="superscript"/>
        <sz val="14"/>
        <color indexed="9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</si>
</sst>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4" fillId="0" borderId="10" applyNumberFormat="0" applyFill="0" applyAlignment="0" applyProtection="0"/>
  </cellStyleXfs>
  <cellXfs count="329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4" fillId="0" borderId="0" xfId="58" applyFont="1" applyFill="1" applyBorder="1" applyAlignment="1">
      <alignment horizontal="left"/>
      <protection/>
    </xf>
    <xf numFmtId="0" fontId="64" fillId="0" borderId="0" xfId="58" applyFont="1" applyFill="1" applyBorder="1" applyAlignment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1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4" fillId="23" borderId="19" xfId="58" applyNumberFormat="1" applyFont="1" applyFill="1" applyBorder="1" applyAlignment="1" applyProtection="1">
      <alignment horizontal="center" vertical="center" wrapText="1"/>
      <protection/>
    </xf>
    <xf numFmtId="0" fontId="64" fillId="23" borderId="19" xfId="58" applyFont="1" applyFill="1" applyBorder="1" applyAlignment="1" applyProtection="1">
      <alignment horizontal="center" vertical="center" wrapText="1"/>
      <protection/>
    </xf>
    <xf numFmtId="3" fontId="64" fillId="23" borderId="19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2" fontId="61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0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5" fillId="34" borderId="21" xfId="69" applyNumberFormat="1" applyFont="1" applyFill="1" applyBorder="1" applyAlignment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6" fillId="34" borderId="19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4" fillId="23" borderId="21" xfId="58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5" fillId="34" borderId="18" xfId="0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1" fontId="9" fillId="34" borderId="20" xfId="58" applyNumberFormat="1" applyFont="1" applyFill="1" applyBorder="1" applyAlignment="1" applyProtection="1">
      <alignment horizontal="right"/>
      <protection locked="0"/>
    </xf>
    <xf numFmtId="3" fontId="9" fillId="34" borderId="20" xfId="69" applyNumberFormat="1" applyFont="1" applyFill="1" applyBorder="1" applyAlignment="1" applyProtection="1">
      <alignment horizontal="right"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181" fontId="9" fillId="34" borderId="21" xfId="58" applyNumberFormat="1" applyFont="1" applyFill="1" applyBorder="1" applyAlignment="1" applyProtection="1">
      <alignment horizontal="right"/>
      <protection locked="0"/>
    </xf>
    <xf numFmtId="2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1" xfId="58" applyFont="1" applyFill="1" applyBorder="1" applyAlignment="1" applyProtection="1">
      <alignment/>
      <protection locked="0"/>
    </xf>
    <xf numFmtId="3" fontId="9" fillId="34" borderId="20" xfId="58" applyNumberFormat="1" applyFont="1" applyFill="1" applyBorder="1" applyAlignment="1" applyProtection="1">
      <alignment horizontal="right"/>
      <protection locked="0"/>
    </xf>
    <xf numFmtId="3" fontId="9" fillId="34" borderId="23" xfId="58" applyNumberFormat="1" applyFont="1" applyFill="1" applyBorder="1" applyAlignment="1" applyProtection="1">
      <alignment horizontal="right"/>
      <protection/>
    </xf>
    <xf numFmtId="3" fontId="9" fillId="34" borderId="22" xfId="58" applyNumberFormat="1" applyFont="1" applyFill="1" applyBorder="1" applyAlignment="1" applyProtection="1">
      <alignment horizontal="right"/>
      <protection/>
    </xf>
    <xf numFmtId="3" fontId="9" fillId="34" borderId="24" xfId="58" applyNumberFormat="1" applyFont="1" applyFill="1" applyBorder="1" applyAlignment="1" applyProtection="1">
      <alignment horizontal="right"/>
      <protection/>
    </xf>
    <xf numFmtId="3" fontId="9" fillId="0" borderId="14" xfId="58" applyNumberFormat="1" applyFont="1" applyFill="1" applyBorder="1" applyAlignment="1" applyProtection="1">
      <alignment horizontal="right"/>
      <protection locked="0"/>
    </xf>
    <xf numFmtId="3" fontId="9" fillId="0" borderId="0" xfId="58" applyNumberFormat="1" applyFont="1" applyFill="1" applyBorder="1" applyAlignment="1" applyProtection="1">
      <alignment horizontal="right"/>
      <protection locked="0"/>
    </xf>
    <xf numFmtId="3" fontId="9" fillId="0" borderId="20" xfId="58" applyNumberFormat="1" applyFont="1" applyFill="1" applyBorder="1" applyAlignment="1" applyProtection="1">
      <alignment horizontal="right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64" fillId="23" borderId="19" xfId="58" applyFont="1" applyFill="1" applyBorder="1" applyAlignment="1" applyProtection="1">
      <alignment horizontal="center" vertical="center"/>
      <protection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0" borderId="14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34" borderId="21" xfId="58" applyFont="1" applyFill="1" applyBorder="1" applyAlignment="1" applyProtection="1">
      <alignment horizontal="left"/>
      <protection locked="0"/>
    </xf>
    <xf numFmtId="0" fontId="63" fillId="23" borderId="25" xfId="58" applyFont="1" applyFill="1" applyBorder="1" applyAlignment="1" applyProtection="1">
      <alignment horizontal="left"/>
      <protection/>
    </xf>
    <xf numFmtId="0" fontId="63" fillId="23" borderId="19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3" fillId="40" borderId="17" xfId="57" applyFont="1" applyFill="1" applyBorder="1" applyAlignment="1">
      <alignment horizontal="center"/>
      <protection/>
    </xf>
    <xf numFmtId="0" fontId="63" fillId="40" borderId="14" xfId="57" applyFont="1" applyFill="1" applyBorder="1" applyAlignment="1">
      <alignment horizontal="center"/>
      <protection/>
    </xf>
    <xf numFmtId="0" fontId="63" fillId="40" borderId="21" xfId="57" applyFont="1" applyFill="1" applyBorder="1" applyAlignment="1">
      <alignment horizontal="center"/>
      <protection/>
    </xf>
    <xf numFmtId="0" fontId="63" fillId="40" borderId="25" xfId="57" applyFont="1" applyFill="1" applyBorder="1" applyAlignment="1">
      <alignment horizontal="center"/>
      <protection/>
    </xf>
    <xf numFmtId="0" fontId="63" fillId="40" borderId="19" xfId="57" applyFont="1" applyFill="1" applyBorder="1" applyAlignment="1">
      <alignment horizontal="center"/>
      <protection/>
    </xf>
    <xf numFmtId="0" fontId="63" fillId="40" borderId="15" xfId="57" applyFont="1" applyFill="1" applyBorder="1" applyAlignment="1">
      <alignment horizont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7" fontId="63" fillId="40" borderId="25" xfId="69" applyNumberFormat="1" applyFont="1" applyFill="1" applyBorder="1" applyAlignment="1" applyProtection="1">
      <alignment horizontal="center"/>
      <protection/>
    </xf>
    <xf numFmtId="17" fontId="63" fillId="40" borderId="19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34" borderId="18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3" fontId="9" fillId="34" borderId="12" xfId="0" applyNumberFormat="1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63" fillId="41" borderId="17" xfId="0" applyFont="1" applyFill="1" applyBorder="1" applyAlignment="1">
      <alignment horizontal="center" vertical="center"/>
    </xf>
    <xf numFmtId="0" fontId="63" fillId="41" borderId="14" xfId="0" applyFont="1" applyFill="1" applyBorder="1" applyAlignment="1">
      <alignment horizontal="center" vertical="center"/>
    </xf>
    <xf numFmtId="0" fontId="63" fillId="41" borderId="21" xfId="0" applyFont="1" applyFill="1" applyBorder="1" applyAlignment="1">
      <alignment horizontal="center" vertical="center"/>
    </xf>
    <xf numFmtId="0" fontId="63" fillId="41" borderId="18" xfId="0" applyFont="1" applyFill="1" applyBorder="1" applyAlignment="1">
      <alignment horizontal="center" vertical="center"/>
    </xf>
    <xf numFmtId="0" fontId="63" fillId="41" borderId="13" xfId="0" applyFont="1" applyFill="1" applyBorder="1" applyAlignment="1">
      <alignment horizontal="center" vertical="center"/>
    </xf>
    <xf numFmtId="0" fontId="63" fillId="41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63" fillId="41" borderId="17" xfId="0" applyFont="1" applyFill="1" applyBorder="1" applyAlignment="1">
      <alignment horizontal="center"/>
    </xf>
    <xf numFmtId="0" fontId="63" fillId="41" borderId="14" xfId="0" applyFont="1" applyFill="1" applyBorder="1" applyAlignment="1">
      <alignment horizontal="center"/>
    </xf>
    <xf numFmtId="0" fontId="63" fillId="41" borderId="21" xfId="0" applyFont="1" applyFill="1" applyBorder="1" applyAlignment="1">
      <alignment horizontal="center"/>
    </xf>
    <xf numFmtId="0" fontId="63" fillId="41" borderId="18" xfId="0" applyFont="1" applyFill="1" applyBorder="1" applyAlignment="1">
      <alignment horizontal="center"/>
    </xf>
    <xf numFmtId="0" fontId="63" fillId="41" borderId="13" xfId="0" applyFont="1" applyFill="1" applyBorder="1" applyAlignment="1">
      <alignment horizontal="center"/>
    </xf>
    <xf numFmtId="0" fontId="63" fillId="41" borderId="16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180" fontId="64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4" fillId="23" borderId="25" xfId="58" applyFont="1" applyFill="1" applyBorder="1" applyAlignment="1" applyProtection="1">
      <alignment horizontal="center" vertical="center"/>
      <protection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12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99</xdr:row>
      <xdr:rowOff>142875</xdr:rowOff>
    </xdr:from>
    <xdr:to>
      <xdr:col>2</xdr:col>
      <xdr:colOff>723900</xdr:colOff>
      <xdr:row>100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33648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9"/>
  <sheetViews>
    <sheetView showGridLines="0" tabSelected="1" view="pageBreakPreview" zoomScale="70" zoomScaleNormal="59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41" t="s">
        <v>8</v>
      </c>
      <c r="C2" s="241"/>
      <c r="D2" s="241"/>
      <c r="E2" s="241"/>
      <c r="F2" s="241"/>
      <c r="G2" s="241"/>
      <c r="H2" s="241"/>
      <c r="I2" s="241"/>
      <c r="J2" s="241"/>
    </row>
    <row r="3" spans="2:11" s="3" customFormat="1" ht="18" customHeight="1">
      <c r="B3" s="78"/>
      <c r="C3" s="97"/>
      <c r="D3" s="248" t="s">
        <v>84</v>
      </c>
      <c r="E3" s="248"/>
      <c r="F3" s="248"/>
      <c r="G3" s="248"/>
      <c r="H3" s="248"/>
      <c r="I3" s="98"/>
      <c r="J3" s="97"/>
      <c r="K3" s="12"/>
    </row>
    <row r="4" spans="2:11" s="3" customFormat="1" ht="18" customHeight="1">
      <c r="B4" s="78"/>
      <c r="C4" s="97"/>
      <c r="D4" s="248" t="s">
        <v>85</v>
      </c>
      <c r="E4" s="248"/>
      <c r="F4" s="248"/>
      <c r="G4" s="248"/>
      <c r="H4" s="248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49" t="s">
        <v>48</v>
      </c>
      <c r="E6" s="250"/>
      <c r="F6" s="250"/>
      <c r="G6" s="250"/>
      <c r="H6" s="250"/>
      <c r="I6" s="250"/>
      <c r="J6" s="251"/>
      <c r="K6" s="14"/>
    </row>
    <row r="7" spans="2:11" s="3" customFormat="1" ht="18" customHeight="1">
      <c r="B7" s="35"/>
      <c r="C7" s="35"/>
      <c r="D7" s="169" t="s">
        <v>87</v>
      </c>
      <c r="E7" s="76"/>
      <c r="F7" s="76"/>
      <c r="G7" s="166" t="s">
        <v>110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127</v>
      </c>
      <c r="E8" s="77"/>
      <c r="F8" s="77"/>
      <c r="G8" s="167" t="s">
        <v>128</v>
      </c>
      <c r="H8" s="78"/>
      <c r="I8" s="79"/>
      <c r="J8" s="113"/>
      <c r="K8" s="14"/>
    </row>
    <row r="9" spans="2:11" s="3" customFormat="1" ht="18" customHeight="1">
      <c r="B9" s="35"/>
      <c r="C9" s="35"/>
      <c r="D9" s="170" t="s">
        <v>86</v>
      </c>
      <c r="E9" s="77"/>
      <c r="F9" s="77"/>
      <c r="G9" s="167" t="s">
        <v>44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126</v>
      </c>
      <c r="E10" s="114"/>
      <c r="F10" s="114"/>
      <c r="G10" s="168" t="s">
        <v>125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42" t="s">
        <v>49</v>
      </c>
      <c r="C12" s="243"/>
      <c r="D12" s="243"/>
      <c r="E12" s="244"/>
      <c r="F12" s="34"/>
      <c r="G12" s="245" t="s">
        <v>14</v>
      </c>
      <c r="H12" s="246"/>
      <c r="I12" s="246"/>
      <c r="J12" s="247"/>
      <c r="K12" s="14"/>
    </row>
    <row r="13" spans="2:11" ht="18">
      <c r="B13" s="89" t="s">
        <v>132</v>
      </c>
      <c r="C13" s="90"/>
      <c r="D13" s="76"/>
      <c r="E13" s="163">
        <v>50</v>
      </c>
      <c r="F13" s="35"/>
      <c r="G13" s="152" t="s">
        <v>7</v>
      </c>
      <c r="H13" s="153"/>
      <c r="I13" s="153"/>
      <c r="J13" s="154">
        <f>rendimiento*precio_de_venta</f>
        <v>713400</v>
      </c>
      <c r="K13" s="14"/>
    </row>
    <row r="14" spans="2:11" ht="21">
      <c r="B14" s="253" t="s">
        <v>136</v>
      </c>
      <c r="C14" s="254"/>
      <c r="D14" s="254"/>
      <c r="E14" s="164">
        <v>14268</v>
      </c>
      <c r="F14" s="35"/>
      <c r="G14" s="155" t="s">
        <v>10</v>
      </c>
      <c r="H14" s="156"/>
      <c r="I14" s="156"/>
      <c r="J14" s="157">
        <f>total_mano_obra+total_maquinaria+total_insumos+imprevistos</f>
        <v>599320.05</v>
      </c>
      <c r="K14" s="14"/>
    </row>
    <row r="15" spans="2:11" ht="18">
      <c r="B15" s="109" t="s">
        <v>9</v>
      </c>
      <c r="C15" s="36"/>
      <c r="D15" s="35"/>
      <c r="E15" s="164">
        <v>12000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625005.1950000001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114079.94999999995</v>
      </c>
      <c r="K16" s="14"/>
    </row>
    <row r="17" spans="2:11" ht="18">
      <c r="B17" s="91" t="s">
        <v>5</v>
      </c>
      <c r="C17" s="92"/>
      <c r="D17" s="80"/>
      <c r="E17" s="165">
        <v>6</v>
      </c>
      <c r="F17" s="35"/>
      <c r="G17" s="155" t="s">
        <v>13</v>
      </c>
      <c r="H17" s="156"/>
      <c r="I17" s="156"/>
      <c r="J17" s="157">
        <f>J13-J15</f>
        <v>88394.80499999993</v>
      </c>
      <c r="K17" s="14"/>
    </row>
    <row r="18" spans="2:11" ht="18">
      <c r="B18" s="119"/>
      <c r="C18" s="38"/>
      <c r="D18" s="35"/>
      <c r="E18" s="120"/>
      <c r="F18" s="35"/>
      <c r="G18" s="159" t="s">
        <v>45</v>
      </c>
      <c r="H18" s="160"/>
      <c r="I18" s="161"/>
      <c r="J18" s="162">
        <f>total_costos/rendimiento</f>
        <v>12500.103900000002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46</v>
      </c>
      <c r="C20" s="101"/>
      <c r="D20" s="101"/>
      <c r="E20" s="252" t="s">
        <v>15</v>
      </c>
      <c r="F20" s="252"/>
      <c r="G20" s="121" t="s">
        <v>16</v>
      </c>
      <c r="H20" s="122" t="s">
        <v>17</v>
      </c>
      <c r="I20" s="123" t="s">
        <v>53</v>
      </c>
      <c r="J20" s="124" t="s">
        <v>3</v>
      </c>
      <c r="K20" s="14"/>
    </row>
    <row r="21" spans="2:11" s="3" customFormat="1" ht="18">
      <c r="B21" s="239" t="s">
        <v>19</v>
      </c>
      <c r="C21" s="240"/>
      <c r="D21" s="240"/>
      <c r="E21" s="227"/>
      <c r="F21" s="227"/>
      <c r="G21" s="93"/>
      <c r="H21" s="94"/>
      <c r="I21" s="95"/>
      <c r="J21" s="96"/>
      <c r="K21" s="14"/>
    </row>
    <row r="22" spans="2:11" s="3" customFormat="1" ht="18">
      <c r="B22" s="236" t="s">
        <v>88</v>
      </c>
      <c r="C22" s="237"/>
      <c r="D22" s="238"/>
      <c r="E22" s="234" t="s">
        <v>111</v>
      </c>
      <c r="F22" s="235"/>
      <c r="G22" s="172">
        <v>0.3</v>
      </c>
      <c r="H22" s="173" t="s">
        <v>6</v>
      </c>
      <c r="I22" s="174">
        <f>$E$15</f>
        <v>12000</v>
      </c>
      <c r="J22" s="126">
        <f>G22*I22</f>
        <v>3600</v>
      </c>
      <c r="K22" s="14"/>
    </row>
    <row r="23" spans="2:11" s="3" customFormat="1" ht="18">
      <c r="B23" s="231" t="s">
        <v>90</v>
      </c>
      <c r="C23" s="232"/>
      <c r="D23" s="233"/>
      <c r="E23" s="228" t="s">
        <v>106</v>
      </c>
      <c r="F23" s="221"/>
      <c r="G23" s="172">
        <v>0.3</v>
      </c>
      <c r="H23" s="173" t="s">
        <v>6</v>
      </c>
      <c r="I23" s="174">
        <f>$E$15</f>
        <v>12000</v>
      </c>
      <c r="J23" s="126">
        <f>G23*I23</f>
        <v>3600</v>
      </c>
      <c r="K23" s="14"/>
    </row>
    <row r="24" spans="2:11" s="3" customFormat="1" ht="18">
      <c r="B24" s="188" t="s">
        <v>131</v>
      </c>
      <c r="C24" s="189"/>
      <c r="D24" s="190"/>
      <c r="E24" s="228" t="s">
        <v>112</v>
      </c>
      <c r="F24" s="221"/>
      <c r="G24" s="172">
        <v>0.5</v>
      </c>
      <c r="H24" s="173" t="s">
        <v>6</v>
      </c>
      <c r="I24" s="174">
        <f>$E$15</f>
        <v>12000</v>
      </c>
      <c r="J24" s="126">
        <f>G24*I24</f>
        <v>6000</v>
      </c>
      <c r="K24" s="14"/>
    </row>
    <row r="25" spans="2:11" s="3" customFormat="1" ht="18">
      <c r="B25" s="188" t="s">
        <v>91</v>
      </c>
      <c r="C25" s="189"/>
      <c r="D25" s="190"/>
      <c r="E25" s="228" t="s">
        <v>116</v>
      </c>
      <c r="F25" s="221"/>
      <c r="G25" s="172">
        <v>0.6</v>
      </c>
      <c r="H25" s="173" t="s">
        <v>6</v>
      </c>
      <c r="I25" s="174">
        <f>$E$15</f>
        <v>12000</v>
      </c>
      <c r="J25" s="126">
        <f>G25*I25</f>
        <v>7200</v>
      </c>
      <c r="K25" s="14"/>
    </row>
    <row r="26" spans="2:11" s="3" customFormat="1" ht="18">
      <c r="B26" s="188" t="s">
        <v>92</v>
      </c>
      <c r="C26" s="189"/>
      <c r="D26" s="190"/>
      <c r="E26" s="228" t="s">
        <v>93</v>
      </c>
      <c r="F26" s="221"/>
      <c r="G26" s="172">
        <v>0.5</v>
      </c>
      <c r="H26" s="173" t="s">
        <v>6</v>
      </c>
      <c r="I26" s="174">
        <f>$E$15</f>
        <v>12000</v>
      </c>
      <c r="J26" s="126">
        <f>G26*I26</f>
        <v>6000</v>
      </c>
      <c r="K26" s="14"/>
    </row>
    <row r="27" spans="2:11" ht="18">
      <c r="B27" s="225" t="s">
        <v>20</v>
      </c>
      <c r="C27" s="226"/>
      <c r="D27" s="226"/>
      <c r="E27" s="226"/>
      <c r="F27" s="226"/>
      <c r="G27" s="226"/>
      <c r="H27" s="226"/>
      <c r="I27" s="226"/>
      <c r="J27" s="81">
        <f>SUM(J22:J26)</f>
        <v>26400</v>
      </c>
      <c r="K27" s="14"/>
    </row>
    <row r="28" spans="2:11" s="3" customFormat="1" ht="18">
      <c r="B28" s="18"/>
      <c r="C28" s="18"/>
      <c r="D28" s="18"/>
      <c r="E28" s="18"/>
      <c r="F28" s="18"/>
      <c r="G28" s="129"/>
      <c r="H28" s="18"/>
      <c r="I28" s="18"/>
      <c r="J28" s="130"/>
      <c r="K28" s="14"/>
    </row>
    <row r="29" spans="2:11" s="26" customFormat="1" ht="18">
      <c r="B29" s="239" t="s">
        <v>21</v>
      </c>
      <c r="C29" s="240"/>
      <c r="D29" s="240"/>
      <c r="E29" s="227"/>
      <c r="F29" s="227"/>
      <c r="G29" s="93"/>
      <c r="H29" s="94"/>
      <c r="I29" s="95"/>
      <c r="J29" s="137"/>
      <c r="K29" s="14"/>
    </row>
    <row r="30" spans="2:11" s="3" customFormat="1" ht="18">
      <c r="B30" s="236" t="s">
        <v>94</v>
      </c>
      <c r="C30" s="237"/>
      <c r="D30" s="238"/>
      <c r="E30" s="229" t="s">
        <v>82</v>
      </c>
      <c r="F30" s="230"/>
      <c r="G30" s="194">
        <v>1</v>
      </c>
      <c r="H30" s="196" t="s">
        <v>54</v>
      </c>
      <c r="I30" s="192">
        <v>25000</v>
      </c>
      <c r="J30" s="127">
        <f aca="true" t="shared" si="0" ref="J30:J36">G30*I30</f>
        <v>25000</v>
      </c>
      <c r="K30" s="14"/>
    </row>
    <row r="31" spans="2:11" s="3" customFormat="1" ht="18">
      <c r="B31" s="200" t="s">
        <v>95</v>
      </c>
      <c r="C31" s="201"/>
      <c r="D31" s="202"/>
      <c r="E31" s="218" t="s">
        <v>82</v>
      </c>
      <c r="F31" s="219"/>
      <c r="G31" s="195">
        <v>2</v>
      </c>
      <c r="H31" s="197" t="s">
        <v>54</v>
      </c>
      <c r="I31" s="193">
        <v>25000</v>
      </c>
      <c r="J31" s="125">
        <f t="shared" si="0"/>
        <v>50000</v>
      </c>
      <c r="K31" s="14"/>
    </row>
    <row r="32" spans="2:11" s="3" customFormat="1" ht="18">
      <c r="B32" s="200" t="s">
        <v>96</v>
      </c>
      <c r="C32" s="201"/>
      <c r="D32" s="202"/>
      <c r="E32" s="218" t="s">
        <v>97</v>
      </c>
      <c r="F32" s="219"/>
      <c r="G32" s="195">
        <v>2</v>
      </c>
      <c r="H32" s="197" t="s">
        <v>54</v>
      </c>
      <c r="I32" s="193">
        <v>9000</v>
      </c>
      <c r="J32" s="125">
        <f t="shared" si="0"/>
        <v>18000</v>
      </c>
      <c r="K32" s="14"/>
    </row>
    <row r="33" spans="2:11" s="3" customFormat="1" ht="18">
      <c r="B33" s="200" t="s">
        <v>98</v>
      </c>
      <c r="C33" s="201"/>
      <c r="D33" s="202"/>
      <c r="E33" s="218" t="s">
        <v>106</v>
      </c>
      <c r="F33" s="219"/>
      <c r="G33" s="195">
        <v>1</v>
      </c>
      <c r="H33" s="197" t="s">
        <v>54</v>
      </c>
      <c r="I33" s="193">
        <v>25000</v>
      </c>
      <c r="J33" s="125">
        <f t="shared" si="0"/>
        <v>25000</v>
      </c>
      <c r="K33" s="14"/>
    </row>
    <row r="34" spans="2:11" s="3" customFormat="1" ht="18">
      <c r="B34" s="231" t="s">
        <v>130</v>
      </c>
      <c r="C34" s="232"/>
      <c r="D34" s="233"/>
      <c r="E34" s="218" t="s">
        <v>108</v>
      </c>
      <c r="F34" s="219"/>
      <c r="G34" s="175">
        <v>2</v>
      </c>
      <c r="H34" s="197" t="s">
        <v>54</v>
      </c>
      <c r="I34" s="193">
        <v>9000</v>
      </c>
      <c r="J34" s="125">
        <f t="shared" si="0"/>
        <v>18000</v>
      </c>
      <c r="K34" s="14"/>
    </row>
    <row r="35" spans="2:11" s="3" customFormat="1" ht="18">
      <c r="B35" s="231" t="s">
        <v>115</v>
      </c>
      <c r="C35" s="232"/>
      <c r="D35" s="233"/>
      <c r="E35" s="220" t="s">
        <v>117</v>
      </c>
      <c r="F35" s="221"/>
      <c r="G35" s="175">
        <v>1</v>
      </c>
      <c r="H35" s="172" t="s">
        <v>54</v>
      </c>
      <c r="I35" s="176">
        <v>9000</v>
      </c>
      <c r="J35" s="125">
        <f t="shared" si="0"/>
        <v>9000</v>
      </c>
      <c r="K35" s="14"/>
    </row>
    <row r="36" spans="2:11" s="3" customFormat="1" ht="18">
      <c r="B36" s="255" t="s">
        <v>99</v>
      </c>
      <c r="C36" s="256"/>
      <c r="D36" s="257"/>
      <c r="E36" s="220" t="s">
        <v>93</v>
      </c>
      <c r="F36" s="221"/>
      <c r="G36" s="175">
        <v>1</v>
      </c>
      <c r="H36" s="172" t="s">
        <v>54</v>
      </c>
      <c r="I36" s="176">
        <v>45000</v>
      </c>
      <c r="J36" s="128">
        <f t="shared" si="0"/>
        <v>45000</v>
      </c>
      <c r="K36" s="14"/>
    </row>
    <row r="37" spans="2:12" ht="18">
      <c r="B37" s="225" t="s">
        <v>22</v>
      </c>
      <c r="C37" s="226"/>
      <c r="D37" s="226"/>
      <c r="E37" s="226"/>
      <c r="F37" s="226"/>
      <c r="G37" s="226"/>
      <c r="H37" s="226"/>
      <c r="I37" s="226"/>
      <c r="J37" s="103">
        <f>SUM(J30:J36)</f>
        <v>190000</v>
      </c>
      <c r="K37" s="14"/>
      <c r="L37" s="14"/>
    </row>
    <row r="38" spans="2:12" s="3" customFormat="1" ht="18">
      <c r="B38" s="74"/>
      <c r="C38" s="74"/>
      <c r="D38" s="74"/>
      <c r="E38" s="74"/>
      <c r="F38" s="74"/>
      <c r="G38" s="23" t="s">
        <v>55</v>
      </c>
      <c r="H38" s="74"/>
      <c r="I38" s="74"/>
      <c r="J38" s="25"/>
      <c r="K38" s="14"/>
      <c r="L38" s="17"/>
    </row>
    <row r="39" spans="2:12" s="3" customFormat="1" ht="21">
      <c r="B39" s="239" t="s">
        <v>59</v>
      </c>
      <c r="C39" s="240"/>
      <c r="D39" s="240"/>
      <c r="E39" s="227"/>
      <c r="F39" s="227"/>
      <c r="G39" s="93"/>
      <c r="H39" s="94"/>
      <c r="I39" s="95"/>
      <c r="J39" s="96"/>
      <c r="K39" s="14"/>
      <c r="L39" s="22"/>
    </row>
    <row r="40" spans="2:12" s="3" customFormat="1" ht="18">
      <c r="B40" s="208" t="s">
        <v>129</v>
      </c>
      <c r="C40" s="209"/>
      <c r="D40" s="210"/>
      <c r="E40" s="234" t="s">
        <v>83</v>
      </c>
      <c r="F40" s="235"/>
      <c r="G40" s="198">
        <v>250</v>
      </c>
      <c r="H40" s="198" t="s">
        <v>43</v>
      </c>
      <c r="I40" s="215">
        <v>350</v>
      </c>
      <c r="J40" s="212">
        <f>G40*I40</f>
        <v>87500</v>
      </c>
      <c r="K40" s="14"/>
      <c r="L40" s="22"/>
    </row>
    <row r="41" spans="2:12" s="3" customFormat="1" ht="18">
      <c r="B41" s="200"/>
      <c r="C41" s="201"/>
      <c r="D41" s="202"/>
      <c r="E41" s="183"/>
      <c r="F41" s="204"/>
      <c r="G41" s="181"/>
      <c r="H41" s="181"/>
      <c r="I41" s="216"/>
      <c r="J41" s="213"/>
      <c r="K41" s="14"/>
      <c r="L41" s="22"/>
    </row>
    <row r="42" spans="2:12" s="3" customFormat="1" ht="18">
      <c r="B42" s="185" t="s">
        <v>118</v>
      </c>
      <c r="C42" s="186"/>
      <c r="D42" s="187"/>
      <c r="E42" s="179"/>
      <c r="F42" s="180"/>
      <c r="G42" s="177"/>
      <c r="H42" s="178"/>
      <c r="I42" s="217"/>
      <c r="J42" s="213"/>
      <c r="K42" s="14"/>
      <c r="L42" s="22"/>
    </row>
    <row r="43" spans="2:12" s="3" customFormat="1" ht="18">
      <c r="B43" s="182" t="s">
        <v>109</v>
      </c>
      <c r="C43" s="179"/>
      <c r="D43" s="180"/>
      <c r="E43" s="228" t="s">
        <v>89</v>
      </c>
      <c r="F43" s="221"/>
      <c r="G43" s="181">
        <v>350</v>
      </c>
      <c r="H43" s="181" t="s">
        <v>43</v>
      </c>
      <c r="I43" s="216">
        <v>286</v>
      </c>
      <c r="J43" s="213">
        <f>G43*I43</f>
        <v>100100</v>
      </c>
      <c r="K43" s="14"/>
      <c r="L43" s="22"/>
    </row>
    <row r="44" spans="2:12" s="3" customFormat="1" ht="18">
      <c r="B44" s="182" t="s">
        <v>100</v>
      </c>
      <c r="C44" s="179"/>
      <c r="D44" s="180"/>
      <c r="E44" s="228" t="s">
        <v>77</v>
      </c>
      <c r="F44" s="221"/>
      <c r="G44" s="181">
        <v>350</v>
      </c>
      <c r="H44" s="181" t="s">
        <v>43</v>
      </c>
      <c r="I44" s="216">
        <v>226</v>
      </c>
      <c r="J44" s="213">
        <f>G44*I44</f>
        <v>79100</v>
      </c>
      <c r="K44" s="14"/>
      <c r="L44" s="22"/>
    </row>
    <row r="45" spans="2:12" s="3" customFormat="1" ht="18">
      <c r="B45" s="182"/>
      <c r="C45" s="179"/>
      <c r="D45" s="180"/>
      <c r="E45" s="183"/>
      <c r="F45" s="184"/>
      <c r="G45" s="181"/>
      <c r="H45" s="173"/>
      <c r="I45" s="217"/>
      <c r="J45" s="213"/>
      <c r="K45" s="14"/>
      <c r="L45" s="22"/>
    </row>
    <row r="46" spans="2:12" s="3" customFormat="1" ht="18">
      <c r="B46" s="185" t="s">
        <v>41</v>
      </c>
      <c r="C46" s="186"/>
      <c r="D46" s="187"/>
      <c r="E46" s="182"/>
      <c r="F46" s="180"/>
      <c r="G46" s="181"/>
      <c r="H46" s="173"/>
      <c r="I46" s="217"/>
      <c r="J46" s="213"/>
      <c r="K46" s="14"/>
      <c r="L46" s="22"/>
    </row>
    <row r="47" spans="2:12" s="3" customFormat="1" ht="18">
      <c r="B47" s="182" t="s">
        <v>103</v>
      </c>
      <c r="C47" s="179"/>
      <c r="D47" s="180"/>
      <c r="E47" s="228" t="s">
        <v>83</v>
      </c>
      <c r="F47" s="221"/>
      <c r="G47" s="181">
        <v>0.1</v>
      </c>
      <c r="H47" s="181" t="s">
        <v>40</v>
      </c>
      <c r="I47" s="216">
        <v>12798</v>
      </c>
      <c r="J47" s="213">
        <f aca="true" t="shared" si="1" ref="J47:J58">G47*I47</f>
        <v>1279.8000000000002</v>
      </c>
      <c r="K47" s="14"/>
      <c r="L47" s="22"/>
    </row>
    <row r="48" spans="2:12" s="3" customFormat="1" ht="18">
      <c r="B48" s="182" t="s">
        <v>104</v>
      </c>
      <c r="C48" s="179"/>
      <c r="D48" s="180"/>
      <c r="E48" s="228" t="s">
        <v>78</v>
      </c>
      <c r="F48" s="221"/>
      <c r="G48" s="181">
        <v>0.4</v>
      </c>
      <c r="H48" s="181" t="s">
        <v>40</v>
      </c>
      <c r="I48" s="216">
        <v>55400</v>
      </c>
      <c r="J48" s="213">
        <f t="shared" si="1"/>
        <v>22160</v>
      </c>
      <c r="K48" s="14"/>
      <c r="L48" s="22"/>
    </row>
    <row r="49" spans="2:12" s="3" customFormat="1" ht="18">
      <c r="B49" s="182"/>
      <c r="C49" s="179"/>
      <c r="D49" s="180"/>
      <c r="E49" s="182"/>
      <c r="F49" s="180"/>
      <c r="G49" s="181"/>
      <c r="H49" s="173"/>
      <c r="I49" s="217"/>
      <c r="J49" s="213"/>
      <c r="K49" s="14"/>
      <c r="L49" s="22"/>
    </row>
    <row r="50" spans="2:13" s="3" customFormat="1" ht="18">
      <c r="B50" s="185" t="s">
        <v>42</v>
      </c>
      <c r="C50" s="186"/>
      <c r="D50" s="187"/>
      <c r="E50" s="182"/>
      <c r="F50" s="180"/>
      <c r="G50" s="181"/>
      <c r="H50" s="173"/>
      <c r="I50" s="217"/>
      <c r="J50" s="213"/>
      <c r="K50" s="14"/>
      <c r="L50" s="22"/>
      <c r="M50" s="3" t="s">
        <v>56</v>
      </c>
    </row>
    <row r="51" spans="2:12" s="3" customFormat="1" ht="18">
      <c r="B51" s="200" t="s">
        <v>101</v>
      </c>
      <c r="C51" s="201"/>
      <c r="D51" s="202"/>
      <c r="E51" s="228" t="s">
        <v>106</v>
      </c>
      <c r="F51" s="221"/>
      <c r="G51" s="181">
        <v>0.2</v>
      </c>
      <c r="H51" s="181" t="s">
        <v>40</v>
      </c>
      <c r="I51" s="216">
        <v>92720</v>
      </c>
      <c r="J51" s="213">
        <f t="shared" si="1"/>
        <v>18544</v>
      </c>
      <c r="K51" s="14"/>
      <c r="L51" s="22"/>
    </row>
    <row r="52" spans="2:12" s="3" customFormat="1" ht="18">
      <c r="B52" s="200" t="s">
        <v>102</v>
      </c>
      <c r="C52" s="201"/>
      <c r="D52" s="202"/>
      <c r="E52" s="228" t="s">
        <v>107</v>
      </c>
      <c r="F52" s="221"/>
      <c r="G52" s="199">
        <v>0.07</v>
      </c>
      <c r="H52" s="181" t="s">
        <v>40</v>
      </c>
      <c r="I52" s="216">
        <v>64960</v>
      </c>
      <c r="J52" s="213">
        <f t="shared" si="1"/>
        <v>4547.200000000001</v>
      </c>
      <c r="K52" s="14"/>
      <c r="L52" s="22"/>
    </row>
    <row r="53" spans="2:12" s="3" customFormat="1" ht="18">
      <c r="B53" s="182"/>
      <c r="C53" s="179"/>
      <c r="D53" s="180"/>
      <c r="E53" s="228"/>
      <c r="F53" s="221"/>
      <c r="G53" s="177"/>
      <c r="H53" s="178"/>
      <c r="I53" s="217"/>
      <c r="J53" s="213"/>
      <c r="K53" s="14"/>
      <c r="L53" s="22"/>
    </row>
    <row r="54" spans="2:12" s="3" customFormat="1" ht="18">
      <c r="B54" s="185" t="s">
        <v>119</v>
      </c>
      <c r="C54" s="179"/>
      <c r="D54" s="180"/>
      <c r="E54" s="183"/>
      <c r="F54" s="191"/>
      <c r="G54" s="177"/>
      <c r="H54" s="178"/>
      <c r="I54" s="217"/>
      <c r="J54" s="213"/>
      <c r="K54" s="14"/>
      <c r="L54" s="22"/>
    </row>
    <row r="55" spans="2:12" s="3" customFormat="1" ht="18">
      <c r="B55" s="200" t="s">
        <v>124</v>
      </c>
      <c r="C55" s="201"/>
      <c r="D55" s="202"/>
      <c r="E55" s="228" t="s">
        <v>82</v>
      </c>
      <c r="F55" s="221"/>
      <c r="G55" s="181">
        <v>1</v>
      </c>
      <c r="H55" s="181" t="s">
        <v>113</v>
      </c>
      <c r="I55" s="216">
        <v>1050</v>
      </c>
      <c r="J55" s="213">
        <f t="shared" si="1"/>
        <v>1050</v>
      </c>
      <c r="K55" s="14"/>
      <c r="L55" s="22"/>
    </row>
    <row r="56" spans="2:12" s="3" customFormat="1" ht="18">
      <c r="B56" s="182" t="s">
        <v>114</v>
      </c>
      <c r="C56" s="179"/>
      <c r="D56" s="180"/>
      <c r="E56" s="228" t="s">
        <v>105</v>
      </c>
      <c r="F56" s="221"/>
      <c r="G56" s="177">
        <v>1</v>
      </c>
      <c r="H56" s="178" t="s">
        <v>40</v>
      </c>
      <c r="I56" s="211">
        <v>12100</v>
      </c>
      <c r="J56" s="213">
        <f t="shared" si="1"/>
        <v>12100</v>
      </c>
      <c r="K56" s="14"/>
      <c r="L56" s="22"/>
    </row>
    <row r="57" spans="2:12" s="3" customFormat="1" ht="18">
      <c r="B57" s="182"/>
      <c r="C57" s="179"/>
      <c r="D57" s="180"/>
      <c r="E57" s="203"/>
      <c r="F57" s="204"/>
      <c r="G57" s="177"/>
      <c r="H57" s="178"/>
      <c r="I57" s="211"/>
      <c r="J57" s="213"/>
      <c r="K57" s="14"/>
      <c r="L57" s="22"/>
    </row>
    <row r="58" spans="2:12" s="3" customFormat="1" ht="21">
      <c r="B58" s="205" t="s">
        <v>81</v>
      </c>
      <c r="C58" s="206"/>
      <c r="D58" s="207"/>
      <c r="E58" s="322" t="s">
        <v>106</v>
      </c>
      <c r="F58" s="323"/>
      <c r="G58" s="177">
        <v>1</v>
      </c>
      <c r="H58" s="178" t="s">
        <v>58</v>
      </c>
      <c r="I58" s="211">
        <v>28000</v>
      </c>
      <c r="J58" s="214">
        <f t="shared" si="1"/>
        <v>28000</v>
      </c>
      <c r="K58" s="14"/>
      <c r="L58" s="22"/>
    </row>
    <row r="59" spans="2:14" ht="18">
      <c r="B59" s="299" t="s">
        <v>23</v>
      </c>
      <c r="C59" s="300"/>
      <c r="D59" s="300"/>
      <c r="E59" s="300"/>
      <c r="F59" s="300"/>
      <c r="G59" s="300"/>
      <c r="H59" s="300"/>
      <c r="I59" s="300"/>
      <c r="J59" s="106">
        <f>SUM(J40:J58)</f>
        <v>354381</v>
      </c>
      <c r="K59" s="14"/>
      <c r="M59" s="14"/>
      <c r="N59" s="14"/>
    </row>
    <row r="60" spans="2:14" s="3" customFormat="1" ht="18">
      <c r="B60" s="27"/>
      <c r="C60" s="27"/>
      <c r="D60" s="27"/>
      <c r="E60" s="27"/>
      <c r="F60" s="27"/>
      <c r="G60" s="28"/>
      <c r="H60" s="27"/>
      <c r="I60" s="27"/>
      <c r="J60" s="29"/>
      <c r="K60" s="14"/>
      <c r="M60" s="14"/>
      <c r="N60" s="14"/>
    </row>
    <row r="61" spans="2:16" ht="18">
      <c r="B61" s="324" t="s">
        <v>24</v>
      </c>
      <c r="C61" s="325"/>
      <c r="D61" s="325"/>
      <c r="E61" s="325"/>
      <c r="F61" s="325"/>
      <c r="G61" s="325"/>
      <c r="H61" s="325"/>
      <c r="I61" s="325"/>
      <c r="J61" s="81">
        <f>total_mano_obra+total_maquinaria+total_insumos</f>
        <v>570781</v>
      </c>
      <c r="K61" s="14"/>
      <c r="M61" s="14"/>
      <c r="N61" s="14"/>
      <c r="O61" s="8"/>
      <c r="P61" s="8"/>
    </row>
    <row r="62" spans="2:14" s="3" customFormat="1" ht="18">
      <c r="B62" s="75"/>
      <c r="C62" s="75"/>
      <c r="D62" s="75"/>
      <c r="E62" s="75"/>
      <c r="F62" s="75"/>
      <c r="G62" s="30"/>
      <c r="H62" s="75"/>
      <c r="I62" s="75"/>
      <c r="J62" s="25"/>
      <c r="K62" s="14"/>
      <c r="M62" s="14"/>
      <c r="N62" s="14"/>
    </row>
    <row r="63" spans="2:14" s="3" customFormat="1" ht="18">
      <c r="B63" s="131" t="s">
        <v>52</v>
      </c>
      <c r="C63" s="132"/>
      <c r="D63" s="133"/>
      <c r="E63" s="326" t="s">
        <v>57</v>
      </c>
      <c r="F63" s="326"/>
      <c r="G63" s="134">
        <v>0.05</v>
      </c>
      <c r="H63" s="135" t="s">
        <v>1</v>
      </c>
      <c r="I63" s="136"/>
      <c r="J63" s="136">
        <f>total_costos_directos*G63</f>
        <v>28539.050000000003</v>
      </c>
      <c r="K63" s="14"/>
      <c r="M63" s="14"/>
      <c r="N63" s="14"/>
    </row>
    <row r="64" spans="2:14" s="3" customFormat="1" ht="18">
      <c r="B64" s="108"/>
      <c r="C64" s="108"/>
      <c r="D64" s="108"/>
      <c r="E64" s="108"/>
      <c r="F64" s="108"/>
      <c r="G64" s="30"/>
      <c r="H64" s="108"/>
      <c r="I64" s="108"/>
      <c r="J64" s="25"/>
      <c r="K64" s="14"/>
      <c r="M64" s="14"/>
      <c r="N64" s="14"/>
    </row>
    <row r="65" spans="2:14" s="3" customFormat="1" ht="20.25">
      <c r="B65" s="102" t="s">
        <v>51</v>
      </c>
      <c r="C65" s="101"/>
      <c r="D65" s="101"/>
      <c r="E65" s="18"/>
      <c r="F65" s="18"/>
      <c r="G65" s="19"/>
      <c r="H65" s="20"/>
      <c r="I65" s="21"/>
      <c r="J65" s="21"/>
      <c r="K65" s="14"/>
      <c r="M65" s="14"/>
      <c r="N65" s="14"/>
    </row>
    <row r="66" spans="2:14" s="3" customFormat="1" ht="18">
      <c r="B66" s="311" t="s">
        <v>50</v>
      </c>
      <c r="C66" s="227"/>
      <c r="D66" s="227"/>
      <c r="E66" s="227" t="s">
        <v>15</v>
      </c>
      <c r="F66" s="227"/>
      <c r="G66" s="93" t="s">
        <v>16</v>
      </c>
      <c r="H66" s="94" t="s">
        <v>17</v>
      </c>
      <c r="I66" s="95" t="s">
        <v>18</v>
      </c>
      <c r="J66" s="96" t="s">
        <v>3</v>
      </c>
      <c r="K66" s="14"/>
      <c r="M66" s="14"/>
      <c r="N66" s="14"/>
    </row>
    <row r="67" spans="2:15" s="3" customFormat="1" ht="21">
      <c r="B67" s="261" t="s">
        <v>60</v>
      </c>
      <c r="C67" s="258"/>
      <c r="D67" s="262"/>
      <c r="E67" s="259" t="s">
        <v>57</v>
      </c>
      <c r="F67" s="260"/>
      <c r="G67" s="104">
        <f>E16</f>
        <v>0.015</v>
      </c>
      <c r="H67" s="7" t="s">
        <v>1</v>
      </c>
      <c r="I67" s="105"/>
      <c r="J67" s="9">
        <f>total_costos_directos*tasa_interes_mensual*meses_financiamiento*0.5</f>
        <v>25685.145</v>
      </c>
      <c r="K67" s="14"/>
      <c r="L67" s="258"/>
      <c r="M67" s="258"/>
      <c r="N67" s="258"/>
      <c r="O67" s="258"/>
    </row>
    <row r="68" spans="2:14" s="3" customFormat="1" ht="18">
      <c r="B68" s="261" t="s">
        <v>26</v>
      </c>
      <c r="C68" s="258"/>
      <c r="D68" s="262"/>
      <c r="E68" s="301"/>
      <c r="F68" s="302"/>
      <c r="G68" s="82"/>
      <c r="H68" s="82"/>
      <c r="I68" s="82"/>
      <c r="J68" s="84"/>
      <c r="K68" s="14"/>
      <c r="M68" s="14"/>
      <c r="N68" s="14"/>
    </row>
    <row r="69" spans="2:14" s="3" customFormat="1" ht="18">
      <c r="B69" s="261" t="s">
        <v>2</v>
      </c>
      <c r="C69" s="258"/>
      <c r="D69" s="262"/>
      <c r="E69" s="301"/>
      <c r="F69" s="302"/>
      <c r="G69" s="82"/>
      <c r="H69" s="82"/>
      <c r="I69" s="82"/>
      <c r="J69" s="84"/>
      <c r="K69" s="14"/>
      <c r="M69" s="14"/>
      <c r="N69" s="14"/>
    </row>
    <row r="70" spans="2:14" s="3" customFormat="1" ht="18">
      <c r="B70" s="276" t="s">
        <v>27</v>
      </c>
      <c r="C70" s="277"/>
      <c r="D70" s="278"/>
      <c r="E70" s="265"/>
      <c r="F70" s="266"/>
      <c r="G70" s="83"/>
      <c r="H70" s="83"/>
      <c r="I70" s="83"/>
      <c r="J70" s="85"/>
      <c r="K70" s="14"/>
      <c r="M70" s="14"/>
      <c r="N70" s="14"/>
    </row>
    <row r="71" spans="2:14" ht="18">
      <c r="B71" s="263" t="s">
        <v>47</v>
      </c>
      <c r="C71" s="264"/>
      <c r="D71" s="264"/>
      <c r="E71" s="264"/>
      <c r="F71" s="264"/>
      <c r="G71" s="264"/>
      <c r="H71" s="264"/>
      <c r="I71" s="264"/>
      <c r="J71" s="103">
        <f>SUM(J67:J70)</f>
        <v>25685.145</v>
      </c>
      <c r="K71" s="14"/>
      <c r="M71" s="14"/>
      <c r="N71" s="14"/>
    </row>
    <row r="72" spans="2:12" s="3" customFormat="1" ht="18" customHeight="1">
      <c r="B72" s="74"/>
      <c r="C72" s="74"/>
      <c r="D72" s="74"/>
      <c r="E72" s="74"/>
      <c r="F72" s="74"/>
      <c r="G72" s="23"/>
      <c r="H72" s="74"/>
      <c r="I72" s="74"/>
      <c r="J72" s="25"/>
      <c r="K72" s="14"/>
      <c r="L72" s="14"/>
    </row>
    <row r="73" spans="2:12" ht="18" customHeight="1">
      <c r="B73" s="287" t="s">
        <v>28</v>
      </c>
      <c r="C73" s="288"/>
      <c r="D73" s="288"/>
      <c r="E73" s="288"/>
      <c r="F73" s="288"/>
      <c r="G73" s="288"/>
      <c r="H73" s="288"/>
      <c r="I73" s="288"/>
      <c r="J73" s="285">
        <f>total_costos_directos+imprevistos+total_costos_indirectos</f>
        <v>625005.1950000001</v>
      </c>
      <c r="K73" s="14"/>
      <c r="L73" s="14"/>
    </row>
    <row r="74" spans="2:12" s="3" customFormat="1" ht="18" customHeight="1">
      <c r="B74" s="263"/>
      <c r="C74" s="264"/>
      <c r="D74" s="264"/>
      <c r="E74" s="264"/>
      <c r="F74" s="264"/>
      <c r="G74" s="264"/>
      <c r="H74" s="264"/>
      <c r="I74" s="264"/>
      <c r="J74" s="286"/>
      <c r="K74" s="14"/>
      <c r="L74" s="14"/>
    </row>
    <row r="75" spans="2:12" s="3" customFormat="1" ht="18" customHeight="1">
      <c r="B75" s="27"/>
      <c r="C75" s="27"/>
      <c r="D75" s="27"/>
      <c r="E75" s="27"/>
      <c r="F75" s="27"/>
      <c r="G75" s="28"/>
      <c r="H75" s="27"/>
      <c r="I75" s="27"/>
      <c r="J75" s="29"/>
      <c r="K75" s="14"/>
      <c r="L75" s="14"/>
    </row>
    <row r="76" spans="2:12" s="3" customFormat="1" ht="18" customHeight="1">
      <c r="B76" s="74"/>
      <c r="C76" s="74"/>
      <c r="D76" s="74"/>
      <c r="E76" s="74"/>
      <c r="F76" s="74"/>
      <c r="G76" s="23"/>
      <c r="H76" s="74"/>
      <c r="I76" s="74"/>
      <c r="J76" s="25"/>
      <c r="K76" s="14"/>
      <c r="L76" s="14"/>
    </row>
    <row r="77" spans="2:12" s="3" customFormat="1" ht="18" customHeight="1">
      <c r="B77" s="74"/>
      <c r="C77" s="74"/>
      <c r="D77" s="74"/>
      <c r="E77" s="74"/>
      <c r="F77" s="74"/>
      <c r="G77" s="23"/>
      <c r="H77" s="74"/>
      <c r="I77" s="74"/>
      <c r="J77" s="25"/>
      <c r="K77" s="14"/>
      <c r="L77" s="14"/>
    </row>
    <row r="78" spans="2:12" ht="18" customHeight="1">
      <c r="B78" s="289" t="s">
        <v>61</v>
      </c>
      <c r="C78" s="290"/>
      <c r="D78" s="290"/>
      <c r="E78" s="290"/>
      <c r="F78" s="290"/>
      <c r="G78" s="290"/>
      <c r="H78" s="290"/>
      <c r="I78" s="290"/>
      <c r="J78" s="291"/>
      <c r="K78" s="14"/>
      <c r="L78" s="22"/>
    </row>
    <row r="79" spans="2:12" ht="18" customHeight="1">
      <c r="B79" s="292" t="s">
        <v>34</v>
      </c>
      <c r="C79" s="293"/>
      <c r="D79" s="293"/>
      <c r="E79" s="293"/>
      <c r="F79" s="293"/>
      <c r="G79" s="293"/>
      <c r="H79" s="293"/>
      <c r="I79" s="293"/>
      <c r="J79" s="294"/>
      <c r="K79" s="14"/>
      <c r="L79" s="22"/>
    </row>
    <row r="80" spans="2:12" s="3" customFormat="1" ht="18" customHeight="1">
      <c r="B80" s="295" t="s">
        <v>133</v>
      </c>
      <c r="C80" s="295"/>
      <c r="D80" s="295"/>
      <c r="E80" s="268" t="s">
        <v>134</v>
      </c>
      <c r="F80" s="269"/>
      <c r="G80" s="269"/>
      <c r="H80" s="269"/>
      <c r="I80" s="269"/>
      <c r="J80" s="270"/>
      <c r="K80" s="14"/>
      <c r="L80" s="22"/>
    </row>
    <row r="81" spans="2:12" s="3" customFormat="1" ht="18" customHeight="1">
      <c r="B81" s="295"/>
      <c r="C81" s="295"/>
      <c r="D81" s="295"/>
      <c r="E81" s="267">
        <f>G81*0.9</f>
        <v>12841.2</v>
      </c>
      <c r="F81" s="267"/>
      <c r="G81" s="316">
        <f>precio_de_venta</f>
        <v>14268</v>
      </c>
      <c r="H81" s="316"/>
      <c r="I81" s="267">
        <f>G81*1.1</f>
        <v>15694.800000000001</v>
      </c>
      <c r="J81" s="267"/>
      <c r="K81" s="14"/>
      <c r="L81" s="22"/>
    </row>
    <row r="82" spans="2:12" s="3" customFormat="1" ht="18" customHeight="1">
      <c r="B82" s="267">
        <f>rendimiento*0.9</f>
        <v>45</v>
      </c>
      <c r="C82" s="267"/>
      <c r="D82" s="267"/>
      <c r="E82" s="271">
        <f>E$81*$B$82-rdto_variable!$C$44</f>
        <v>-47151.195000000065</v>
      </c>
      <c r="F82" s="271"/>
      <c r="G82" s="271">
        <f>G$81*$B$82-rdto_variable!$C$44</f>
        <v>17054.804999999935</v>
      </c>
      <c r="H82" s="271"/>
      <c r="I82" s="271">
        <f>I$81*$B$82-rdto_variable!$C$44</f>
        <v>81260.80499999993</v>
      </c>
      <c r="J82" s="271"/>
      <c r="K82" s="14"/>
      <c r="L82" s="22"/>
    </row>
    <row r="83" spans="2:12" s="3" customFormat="1" ht="18" customHeight="1">
      <c r="B83" s="267">
        <f>rendimiento</f>
        <v>50</v>
      </c>
      <c r="C83" s="267"/>
      <c r="D83" s="267"/>
      <c r="E83" s="271">
        <f>E$81*$B$83-total_costos</f>
        <v>17054.804999999935</v>
      </c>
      <c r="F83" s="271"/>
      <c r="G83" s="271">
        <f>G$81*$B$83-total_costos</f>
        <v>88394.80499999993</v>
      </c>
      <c r="H83" s="271"/>
      <c r="I83" s="271">
        <f>I$81*$B$83-total_costos</f>
        <v>159734.80499999993</v>
      </c>
      <c r="J83" s="271"/>
      <c r="K83" s="14"/>
      <c r="L83" s="22"/>
    </row>
    <row r="84" spans="2:12" s="3" customFormat="1" ht="18" customHeight="1">
      <c r="B84" s="267">
        <f>rendimiento*1.1</f>
        <v>55.00000000000001</v>
      </c>
      <c r="C84" s="267"/>
      <c r="D84" s="267"/>
      <c r="E84" s="271">
        <f>E$81*$B$84-rdto_variable!$D$44</f>
        <v>81260.80500000005</v>
      </c>
      <c r="F84" s="271"/>
      <c r="G84" s="271">
        <f>G$81*$B$84-rdto_variable!$D$44</f>
        <v>159734.80500000005</v>
      </c>
      <c r="H84" s="271"/>
      <c r="I84" s="271">
        <f>I$81*$B$84-rdto_variable!$D$44</f>
        <v>238208.80500000005</v>
      </c>
      <c r="J84" s="271"/>
      <c r="K84" s="14"/>
      <c r="L84" s="22"/>
    </row>
    <row r="85" spans="2:12" s="3" customFormat="1" ht="18" customHeight="1">
      <c r="B85" s="31"/>
      <c r="C85" s="31"/>
      <c r="D85" s="32"/>
      <c r="E85" s="32"/>
      <c r="F85" s="32"/>
      <c r="G85" s="33"/>
      <c r="H85" s="10"/>
      <c r="I85" s="13"/>
      <c r="J85" s="13"/>
      <c r="K85" s="14"/>
      <c r="L85" s="22"/>
    </row>
    <row r="86" spans="2:12" s="3" customFormat="1" ht="18" customHeight="1">
      <c r="B86" s="279" t="s">
        <v>137</v>
      </c>
      <c r="C86" s="280"/>
      <c r="D86" s="280"/>
      <c r="E86" s="280"/>
      <c r="F86" s="280"/>
      <c r="G86" s="280"/>
      <c r="H86" s="280"/>
      <c r="I86" s="280"/>
      <c r="J86" s="281"/>
      <c r="K86" s="14"/>
      <c r="L86" s="22"/>
    </row>
    <row r="87" spans="2:12" s="3" customFormat="1" ht="18" customHeight="1">
      <c r="B87" s="282"/>
      <c r="C87" s="283"/>
      <c r="D87" s="283"/>
      <c r="E87" s="283"/>
      <c r="F87" s="283"/>
      <c r="G87" s="283"/>
      <c r="H87" s="283"/>
      <c r="I87" s="283"/>
      <c r="J87" s="284"/>
      <c r="K87" s="14"/>
      <c r="L87" s="22"/>
    </row>
    <row r="88" spans="2:12" s="3" customFormat="1" ht="18" customHeight="1">
      <c r="B88" s="317" t="s">
        <v>133</v>
      </c>
      <c r="C88" s="312"/>
      <c r="D88" s="312"/>
      <c r="E88" s="312">
        <f>B82</f>
        <v>45</v>
      </c>
      <c r="F88" s="312"/>
      <c r="G88" s="312">
        <f>B83</f>
        <v>50</v>
      </c>
      <c r="H88" s="312"/>
      <c r="I88" s="312">
        <f>B84</f>
        <v>55.00000000000001</v>
      </c>
      <c r="J88" s="314"/>
      <c r="K88" s="14"/>
      <c r="L88" s="22"/>
    </row>
    <row r="89" spans="2:12" ht="18" customHeight="1">
      <c r="B89" s="318"/>
      <c r="C89" s="313"/>
      <c r="D89" s="313"/>
      <c r="E89" s="313"/>
      <c r="F89" s="313"/>
      <c r="G89" s="313"/>
      <c r="H89" s="313"/>
      <c r="I89" s="313"/>
      <c r="J89" s="315"/>
      <c r="K89" s="14"/>
      <c r="L89" s="22"/>
    </row>
    <row r="90" spans="2:12" ht="18" customHeight="1">
      <c r="B90" s="272" t="s">
        <v>135</v>
      </c>
      <c r="C90" s="273"/>
      <c r="D90" s="273"/>
      <c r="E90" s="297">
        <f>rdto_variable!C44/trigo!E88</f>
        <v>13889.004333333334</v>
      </c>
      <c r="F90" s="297"/>
      <c r="G90" s="298">
        <f>total_costos/$G$88</f>
        <v>12500.103900000002</v>
      </c>
      <c r="H90" s="298"/>
      <c r="I90" s="297">
        <f>rdto_variable!D44/trigo!I88</f>
        <v>11363.730818181817</v>
      </c>
      <c r="J90" s="309"/>
      <c r="K90" s="14"/>
      <c r="L90" s="22"/>
    </row>
    <row r="91" spans="2:12" ht="18" customHeight="1">
      <c r="B91" s="274"/>
      <c r="C91" s="275"/>
      <c r="D91" s="275"/>
      <c r="E91" s="298"/>
      <c r="F91" s="298"/>
      <c r="G91" s="298"/>
      <c r="H91" s="298"/>
      <c r="I91" s="298"/>
      <c r="J91" s="310"/>
      <c r="K91" s="14"/>
      <c r="L91" s="22"/>
    </row>
    <row r="92" spans="2:12" ht="18" customHeight="1">
      <c r="B92" s="39"/>
      <c r="C92" s="1"/>
      <c r="D92" s="3"/>
      <c r="E92" s="3"/>
      <c r="F92" s="87"/>
      <c r="G92" s="87"/>
      <c r="H92" s="87"/>
      <c r="I92" s="13"/>
      <c r="J92" s="13"/>
      <c r="K92" s="14"/>
      <c r="L92" s="22"/>
    </row>
    <row r="93" spans="2:11" s="3" customFormat="1" ht="18" customHeight="1">
      <c r="B93" s="306" t="s">
        <v>30</v>
      </c>
      <c r="C93" s="307"/>
      <c r="D93" s="307"/>
      <c r="E93" s="307"/>
      <c r="F93" s="307"/>
      <c r="G93" s="307"/>
      <c r="H93" s="307"/>
      <c r="I93" s="307"/>
      <c r="J93" s="308"/>
      <c r="K93" s="72"/>
    </row>
    <row r="94" spans="2:14" s="3" customFormat="1" ht="18">
      <c r="B94" s="222" t="s">
        <v>123</v>
      </c>
      <c r="C94" s="223"/>
      <c r="D94" s="223"/>
      <c r="E94" s="223"/>
      <c r="F94" s="223"/>
      <c r="G94" s="223"/>
      <c r="H94" s="223"/>
      <c r="I94" s="223"/>
      <c r="J94" s="224"/>
      <c r="K94" s="72"/>
      <c r="N94" s="88"/>
    </row>
    <row r="95" spans="2:11" s="3" customFormat="1" ht="51" customHeight="1">
      <c r="B95" s="222" t="s">
        <v>122</v>
      </c>
      <c r="C95" s="223"/>
      <c r="D95" s="223"/>
      <c r="E95" s="223"/>
      <c r="F95" s="223"/>
      <c r="G95" s="223"/>
      <c r="H95" s="223"/>
      <c r="I95" s="223"/>
      <c r="J95" s="224"/>
      <c r="K95" s="73"/>
    </row>
    <row r="96" spans="2:11" s="3" customFormat="1" ht="18">
      <c r="B96" s="222" t="s">
        <v>79</v>
      </c>
      <c r="C96" s="223"/>
      <c r="D96" s="223"/>
      <c r="E96" s="223"/>
      <c r="F96" s="223"/>
      <c r="G96" s="223"/>
      <c r="H96" s="223"/>
      <c r="I96" s="223"/>
      <c r="J96" s="224"/>
      <c r="K96" s="72"/>
    </row>
    <row r="97" spans="2:11" s="3" customFormat="1" ht="18">
      <c r="B97" s="222" t="s">
        <v>80</v>
      </c>
      <c r="C97" s="223"/>
      <c r="D97" s="223"/>
      <c r="E97" s="223"/>
      <c r="F97" s="223"/>
      <c r="G97" s="223"/>
      <c r="H97" s="223"/>
      <c r="I97" s="223"/>
      <c r="J97" s="224"/>
      <c r="K97" s="72"/>
    </row>
    <row r="98" spans="2:11" s="3" customFormat="1" ht="18">
      <c r="B98" s="319" t="s">
        <v>120</v>
      </c>
      <c r="C98" s="320"/>
      <c r="D98" s="320"/>
      <c r="E98" s="320"/>
      <c r="F98" s="320"/>
      <c r="G98" s="320"/>
      <c r="H98" s="320"/>
      <c r="I98" s="320"/>
      <c r="J98" s="321"/>
      <c r="K98" s="72"/>
    </row>
    <row r="99" spans="2:11" s="3" customFormat="1" ht="18">
      <c r="B99" s="303" t="s">
        <v>121</v>
      </c>
      <c r="C99" s="304"/>
      <c r="D99" s="304"/>
      <c r="E99" s="304"/>
      <c r="F99" s="304"/>
      <c r="G99" s="304"/>
      <c r="H99" s="304"/>
      <c r="I99" s="304"/>
      <c r="J99" s="305"/>
      <c r="K99" s="72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8"/>
    </row>
    <row r="101" spans="2:11" s="3" customFormat="1" ht="15">
      <c r="B101" s="4"/>
      <c r="C101" s="4"/>
      <c r="D101" s="4"/>
      <c r="E101" s="4"/>
      <c r="F101" s="4"/>
      <c r="G101" s="5"/>
      <c r="H101" s="4"/>
      <c r="I101" s="4"/>
      <c r="J101" s="4"/>
      <c r="K101" s="8"/>
    </row>
    <row r="102" spans="2:12" s="3" customFormat="1" ht="15">
      <c r="B102" s="59"/>
      <c r="C102" s="59"/>
      <c r="D102" s="59"/>
      <c r="E102" s="59"/>
      <c r="F102" s="59"/>
      <c r="G102" s="60"/>
      <c r="H102" s="59"/>
      <c r="I102" s="59"/>
      <c r="J102" s="59"/>
      <c r="K102" s="61"/>
      <c r="L102" s="59"/>
    </row>
    <row r="103" spans="2:12" s="3" customFormat="1" ht="15">
      <c r="B103" s="59"/>
      <c r="C103" s="59"/>
      <c r="D103" s="59"/>
      <c r="E103" s="59"/>
      <c r="F103" s="59"/>
      <c r="G103" s="60"/>
      <c r="H103" s="59"/>
      <c r="I103" s="59"/>
      <c r="J103" s="59"/>
      <c r="K103" s="61"/>
      <c r="L103" s="59"/>
    </row>
    <row r="104" spans="2:12" s="3" customFormat="1" ht="15">
      <c r="B104" s="59"/>
      <c r="C104" s="59"/>
      <c r="D104" s="59"/>
      <c r="E104" s="59"/>
      <c r="F104" s="59"/>
      <c r="G104" s="60"/>
      <c r="H104" s="59"/>
      <c r="I104" s="59"/>
      <c r="J104" s="59"/>
      <c r="K104" s="61"/>
      <c r="L104" s="59"/>
    </row>
    <row r="105" spans="2:12" s="3" customFormat="1" ht="15">
      <c r="B105" s="59"/>
      <c r="C105" s="59"/>
      <c r="D105" s="59"/>
      <c r="E105" s="59"/>
      <c r="F105" s="59"/>
      <c r="G105" s="60"/>
      <c r="H105" s="59"/>
      <c r="I105" s="59"/>
      <c r="J105" s="59"/>
      <c r="K105" s="61"/>
      <c r="L105" s="59"/>
    </row>
    <row r="106" spans="2:12" ht="18">
      <c r="B106" s="48"/>
      <c r="C106" s="48"/>
      <c r="D106" s="49"/>
      <c r="E106" s="49"/>
      <c r="F106" s="50"/>
      <c r="G106" s="50"/>
      <c r="H106" s="50"/>
      <c r="I106" s="59"/>
      <c r="J106" s="59"/>
      <c r="K106" s="61"/>
      <c r="L106" s="59"/>
    </row>
    <row r="107" spans="2:12" ht="18">
      <c r="B107" s="48"/>
      <c r="C107" s="51"/>
      <c r="D107" s="51"/>
      <c r="E107" s="52"/>
      <c r="F107" s="51"/>
      <c r="G107" s="53"/>
      <c r="H107" s="54"/>
      <c r="I107" s="59"/>
      <c r="J107" s="59"/>
      <c r="K107" s="61"/>
      <c r="L107" s="59"/>
    </row>
    <row r="108" spans="2:12" ht="18">
      <c r="B108" s="49"/>
      <c r="C108" s="49"/>
      <c r="D108" s="49"/>
      <c r="E108" s="49"/>
      <c r="F108" s="49"/>
      <c r="G108" s="49"/>
      <c r="H108" s="49"/>
      <c r="I108" s="59"/>
      <c r="J108" s="59"/>
      <c r="K108" s="61"/>
      <c r="L108" s="59"/>
    </row>
    <row r="109" spans="2:12" ht="18">
      <c r="B109" s="48"/>
      <c r="C109" s="49"/>
      <c r="D109" s="49"/>
      <c r="E109" s="49"/>
      <c r="F109" s="49"/>
      <c r="G109" s="49"/>
      <c r="H109" s="49"/>
      <c r="I109" s="59"/>
      <c r="J109" s="59"/>
      <c r="K109" s="61"/>
      <c r="L109" s="59"/>
    </row>
    <row r="110" spans="2:12" ht="18">
      <c r="B110" s="62"/>
      <c r="C110" s="63"/>
      <c r="D110" s="63"/>
      <c r="E110" s="55"/>
      <c r="F110" s="55"/>
      <c r="G110" s="55"/>
      <c r="H110" s="55"/>
      <c r="I110" s="59"/>
      <c r="J110" s="61"/>
      <c r="K110" s="61"/>
      <c r="L110" s="59"/>
    </row>
    <row r="111" spans="2:12" ht="18">
      <c r="B111" s="62"/>
      <c r="C111" s="63"/>
      <c r="D111" s="63"/>
      <c r="E111" s="55"/>
      <c r="F111" s="55"/>
      <c r="G111" s="55"/>
      <c r="H111" s="55"/>
      <c r="I111" s="59"/>
      <c r="J111" s="61"/>
      <c r="K111" s="61"/>
      <c r="L111" s="59"/>
    </row>
    <row r="112" spans="2:12" ht="18">
      <c r="B112" s="56"/>
      <c r="C112" s="57"/>
      <c r="D112" s="57"/>
      <c r="E112" s="56"/>
      <c r="F112" s="56"/>
      <c r="G112" s="56"/>
      <c r="H112" s="58"/>
      <c r="I112" s="59"/>
      <c r="J112" s="59"/>
      <c r="K112" s="61"/>
      <c r="L112" s="59"/>
    </row>
    <row r="113" spans="2:12" ht="18">
      <c r="B113" s="49"/>
      <c r="C113" s="49"/>
      <c r="D113" s="49"/>
      <c r="E113" s="49"/>
      <c r="F113" s="49"/>
      <c r="G113" s="49"/>
      <c r="H113" s="49"/>
      <c r="I113" s="59"/>
      <c r="J113" s="59"/>
      <c r="K113" s="61"/>
      <c r="L113" s="59"/>
    </row>
    <row r="114" spans="2:12" ht="18">
      <c r="B114" s="48"/>
      <c r="C114" s="49"/>
      <c r="D114" s="49"/>
      <c r="E114" s="49"/>
      <c r="F114" s="49"/>
      <c r="G114" s="49"/>
      <c r="H114" s="49"/>
      <c r="I114" s="59"/>
      <c r="J114" s="59"/>
      <c r="K114" s="61"/>
      <c r="L114" s="59"/>
    </row>
    <row r="115" spans="2:12" ht="18">
      <c r="B115" s="64"/>
      <c r="C115" s="65"/>
      <c r="D115" s="66"/>
      <c r="E115" s="67"/>
      <c r="F115" s="66"/>
      <c r="G115" s="68"/>
      <c r="H115" s="68"/>
      <c r="I115" s="59"/>
      <c r="J115" s="59"/>
      <c r="K115" s="61"/>
      <c r="L115" s="59"/>
    </row>
    <row r="116" spans="2:12" ht="18">
      <c r="B116" s="64"/>
      <c r="C116" s="65"/>
      <c r="D116" s="66"/>
      <c r="E116" s="67"/>
      <c r="F116" s="66"/>
      <c r="G116" s="68"/>
      <c r="H116" s="68"/>
      <c r="I116" s="59"/>
      <c r="J116" s="59"/>
      <c r="K116" s="61"/>
      <c r="L116" s="59"/>
    </row>
    <row r="117" spans="2:12" ht="18">
      <c r="B117" s="296"/>
      <c r="C117" s="296"/>
      <c r="D117" s="66"/>
      <c r="E117" s="67"/>
      <c r="F117" s="66"/>
      <c r="G117" s="68"/>
      <c r="H117" s="68"/>
      <c r="I117" s="59"/>
      <c r="J117" s="59"/>
      <c r="K117" s="61"/>
      <c r="L117" s="59"/>
    </row>
    <row r="118" spans="2:12" ht="18">
      <c r="B118" s="64"/>
      <c r="C118" s="65"/>
      <c r="D118" s="66"/>
      <c r="E118" s="67"/>
      <c r="F118" s="66"/>
      <c r="G118" s="68"/>
      <c r="H118" s="68"/>
      <c r="I118" s="59"/>
      <c r="J118" s="59"/>
      <c r="K118" s="61"/>
      <c r="L118" s="59"/>
    </row>
    <row r="119" spans="2:12" ht="18">
      <c r="B119" s="64"/>
      <c r="C119" s="65"/>
      <c r="D119" s="66"/>
      <c r="E119" s="67"/>
      <c r="F119" s="66"/>
      <c r="G119" s="68"/>
      <c r="H119" s="68"/>
      <c r="I119" s="59"/>
      <c r="J119" s="59"/>
      <c r="K119" s="61"/>
      <c r="L119" s="59"/>
    </row>
    <row r="120" spans="2:12" ht="18">
      <c r="B120" s="64"/>
      <c r="C120" s="65"/>
      <c r="D120" s="66"/>
      <c r="E120" s="67"/>
      <c r="F120" s="66"/>
      <c r="G120" s="68"/>
      <c r="H120" s="68"/>
      <c r="I120" s="59"/>
      <c r="J120" s="59"/>
      <c r="K120" s="61"/>
      <c r="L120" s="59"/>
    </row>
    <row r="121" spans="2:12" ht="18">
      <c r="B121" s="64"/>
      <c r="C121" s="65"/>
      <c r="D121" s="66"/>
      <c r="E121" s="67"/>
      <c r="F121" s="66"/>
      <c r="G121" s="68"/>
      <c r="H121" s="68"/>
      <c r="I121" s="59"/>
      <c r="J121" s="59"/>
      <c r="K121" s="61"/>
      <c r="L121" s="59"/>
    </row>
    <row r="122" spans="2:12" ht="18">
      <c r="B122" s="64"/>
      <c r="C122" s="65"/>
      <c r="D122" s="66"/>
      <c r="E122" s="67"/>
      <c r="F122" s="66"/>
      <c r="G122" s="68"/>
      <c r="H122" s="68"/>
      <c r="I122" s="59"/>
      <c r="J122" s="59"/>
      <c r="K122" s="61"/>
      <c r="L122" s="59"/>
    </row>
    <row r="123" spans="2:12" ht="18">
      <c r="B123" s="64"/>
      <c r="C123" s="65"/>
      <c r="D123" s="66"/>
      <c r="E123" s="67"/>
      <c r="F123" s="66"/>
      <c r="G123" s="68"/>
      <c r="H123" s="68"/>
      <c r="I123" s="59"/>
      <c r="J123" s="59"/>
      <c r="K123" s="61"/>
      <c r="L123" s="59"/>
    </row>
    <row r="124" spans="2:12" ht="18">
      <c r="B124" s="64"/>
      <c r="C124" s="65"/>
      <c r="D124" s="66"/>
      <c r="E124" s="67"/>
      <c r="F124" s="66"/>
      <c r="G124" s="68"/>
      <c r="H124" s="68"/>
      <c r="I124" s="59"/>
      <c r="J124" s="59"/>
      <c r="K124" s="61"/>
      <c r="L124" s="59"/>
    </row>
    <row r="125" spans="2:12" ht="18">
      <c r="B125" s="64"/>
      <c r="C125" s="65"/>
      <c r="D125" s="66"/>
      <c r="E125" s="67"/>
      <c r="F125" s="66"/>
      <c r="G125" s="68"/>
      <c r="H125" s="68"/>
      <c r="I125" s="59"/>
      <c r="J125" s="59"/>
      <c r="K125" s="61"/>
      <c r="L125" s="59"/>
    </row>
    <row r="126" spans="2:12" ht="18">
      <c r="B126" s="64"/>
      <c r="C126" s="65"/>
      <c r="D126" s="66"/>
      <c r="E126" s="67"/>
      <c r="F126" s="66"/>
      <c r="G126" s="68"/>
      <c r="H126" s="68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56"/>
      <c r="C128" s="57"/>
      <c r="D128" s="57"/>
      <c r="E128" s="56"/>
      <c r="F128" s="56"/>
      <c r="G128" s="56"/>
      <c r="H128" s="58"/>
      <c r="I128" s="59"/>
      <c r="J128" s="59"/>
      <c r="K128" s="61"/>
      <c r="L128" s="59"/>
    </row>
    <row r="129" spans="2:12" ht="18">
      <c r="B129" s="49"/>
      <c r="C129" s="49"/>
      <c r="D129" s="49"/>
      <c r="E129" s="49"/>
      <c r="F129" s="49"/>
      <c r="G129" s="49"/>
      <c r="H129" s="49"/>
      <c r="I129" s="59"/>
      <c r="J129" s="59"/>
      <c r="K129" s="61"/>
      <c r="L129" s="59"/>
    </row>
    <row r="130" spans="2:12" ht="18">
      <c r="B130" s="56"/>
      <c r="C130" s="57"/>
      <c r="D130" s="57"/>
      <c r="E130" s="56"/>
      <c r="F130" s="56"/>
      <c r="G130" s="56"/>
      <c r="H130" s="58"/>
      <c r="I130" s="59"/>
      <c r="J130" s="59"/>
      <c r="K130" s="61"/>
      <c r="L130" s="59"/>
    </row>
    <row r="131" spans="2:12" s="3" customFormat="1" ht="15">
      <c r="B131" s="59"/>
      <c r="C131" s="59"/>
      <c r="D131" s="59"/>
      <c r="E131" s="59"/>
      <c r="F131" s="59"/>
      <c r="G131" s="60"/>
      <c r="H131" s="59"/>
      <c r="I131" s="59"/>
      <c r="J131" s="59"/>
      <c r="K131" s="61"/>
      <c r="L131" s="59"/>
    </row>
    <row r="132" spans="2:12" s="3" customFormat="1" ht="15">
      <c r="B132" s="59"/>
      <c r="C132" s="59"/>
      <c r="D132" s="59"/>
      <c r="E132" s="59"/>
      <c r="F132" s="59"/>
      <c r="G132" s="60"/>
      <c r="H132" s="59"/>
      <c r="I132" s="59"/>
      <c r="J132" s="59"/>
      <c r="K132" s="61"/>
      <c r="L132" s="59"/>
    </row>
    <row r="133" spans="2:12" s="3" customFormat="1" ht="15">
      <c r="B133" s="59"/>
      <c r="C133" s="59"/>
      <c r="D133" s="59"/>
      <c r="E133" s="59"/>
      <c r="F133" s="59"/>
      <c r="G133" s="60"/>
      <c r="H133" s="59"/>
      <c r="I133" s="59"/>
      <c r="J133" s="59"/>
      <c r="K133" s="61"/>
      <c r="L133" s="59"/>
    </row>
    <row r="134" spans="2:12" s="3" customFormat="1" ht="15">
      <c r="B134" s="59"/>
      <c r="C134" s="59"/>
      <c r="D134" s="59"/>
      <c r="E134" s="59"/>
      <c r="F134" s="59"/>
      <c r="G134" s="60"/>
      <c r="H134" s="59"/>
      <c r="I134" s="59"/>
      <c r="J134" s="59"/>
      <c r="K134" s="61"/>
      <c r="L134" s="59"/>
    </row>
    <row r="135" spans="2:12" s="3" customFormat="1" ht="15">
      <c r="B135" s="59"/>
      <c r="C135" s="59"/>
      <c r="D135" s="59"/>
      <c r="E135" s="59"/>
      <c r="F135" s="59"/>
      <c r="G135" s="60"/>
      <c r="H135" s="59"/>
      <c r="I135" s="59"/>
      <c r="J135" s="59"/>
      <c r="K135" s="61"/>
      <c r="L135" s="59"/>
    </row>
    <row r="136" spans="2:12" s="3" customFormat="1" ht="15">
      <c r="B136" s="59"/>
      <c r="C136" s="59"/>
      <c r="D136" s="59"/>
      <c r="E136" s="59"/>
      <c r="F136" s="59"/>
      <c r="G136" s="60"/>
      <c r="H136" s="59"/>
      <c r="I136" s="59"/>
      <c r="J136" s="59"/>
      <c r="K136" s="61"/>
      <c r="L136" s="59"/>
    </row>
    <row r="137" spans="2:12" s="3" customFormat="1" ht="15">
      <c r="B137" s="59"/>
      <c r="C137" s="59"/>
      <c r="D137" s="59"/>
      <c r="E137" s="59"/>
      <c r="F137" s="59"/>
      <c r="G137" s="60"/>
      <c r="H137" s="59"/>
      <c r="I137" s="59"/>
      <c r="J137" s="59"/>
      <c r="K137" s="61"/>
      <c r="L137" s="59"/>
    </row>
    <row r="138" spans="2:12" s="3" customFormat="1" ht="15">
      <c r="B138" s="59"/>
      <c r="C138" s="59"/>
      <c r="D138" s="59"/>
      <c r="E138" s="59"/>
      <c r="F138" s="59"/>
      <c r="G138" s="60"/>
      <c r="H138" s="59"/>
      <c r="I138" s="59"/>
      <c r="J138" s="59"/>
      <c r="K138" s="61"/>
      <c r="L138" s="59"/>
    </row>
    <row r="139" spans="2:12" s="3" customFormat="1" ht="15">
      <c r="B139" s="59"/>
      <c r="C139" s="59"/>
      <c r="D139" s="59"/>
      <c r="E139" s="59"/>
      <c r="F139" s="59"/>
      <c r="G139" s="60"/>
      <c r="H139" s="59"/>
      <c r="I139" s="59"/>
      <c r="J139" s="59"/>
      <c r="K139" s="61"/>
      <c r="L139" s="59"/>
    </row>
    <row r="140" spans="2:12" s="3" customFormat="1" ht="15">
      <c r="B140" s="59"/>
      <c r="C140" s="59"/>
      <c r="D140" s="59"/>
      <c r="E140" s="59"/>
      <c r="F140" s="59"/>
      <c r="G140" s="60"/>
      <c r="H140" s="59"/>
      <c r="I140" s="59"/>
      <c r="J140" s="59"/>
      <c r="K140" s="61"/>
      <c r="L140" s="59"/>
    </row>
    <row r="141" spans="2:12" s="3" customFormat="1" ht="15">
      <c r="B141" s="69"/>
      <c r="C141" s="69"/>
      <c r="D141" s="69"/>
      <c r="E141" s="69"/>
      <c r="F141" s="69"/>
      <c r="G141" s="60"/>
      <c r="H141" s="59"/>
      <c r="I141" s="59"/>
      <c r="J141" s="59"/>
      <c r="K141" s="61"/>
      <c r="L141" s="59"/>
    </row>
    <row r="142" spans="2:12" s="3" customFormat="1" ht="15">
      <c r="B142" s="59"/>
      <c r="C142" s="59"/>
      <c r="D142" s="59"/>
      <c r="E142" s="59"/>
      <c r="F142" s="59"/>
      <c r="G142" s="60"/>
      <c r="H142" s="59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61"/>
      <c r="D144" s="61"/>
      <c r="E144" s="61"/>
      <c r="F144" s="61"/>
      <c r="G144" s="60"/>
      <c r="H144" s="59"/>
      <c r="I144" s="59"/>
      <c r="J144" s="59"/>
      <c r="K144" s="61"/>
      <c r="L144" s="59"/>
    </row>
    <row r="145" spans="2:12" s="3" customFormat="1" ht="15">
      <c r="B145" s="59"/>
      <c r="C145" s="59"/>
      <c r="D145" s="59"/>
      <c r="E145" s="59"/>
      <c r="F145" s="5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59"/>
      <c r="D148" s="59"/>
      <c r="E148" s="59"/>
      <c r="F148" s="59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61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61"/>
      <c r="D151" s="61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59"/>
      <c r="D155" s="59"/>
      <c r="E155" s="59"/>
      <c r="F155" s="59"/>
      <c r="G155" s="60"/>
      <c r="H155" s="59"/>
      <c r="I155" s="60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61"/>
      <c r="C164" s="61"/>
      <c r="D164" s="61"/>
      <c r="E164" s="61"/>
      <c r="F164" s="61"/>
      <c r="G164" s="61"/>
      <c r="H164" s="61"/>
      <c r="I164" s="61"/>
      <c r="J164" s="59"/>
      <c r="K164" s="61"/>
      <c r="L164" s="59"/>
    </row>
    <row r="165" spans="2:12" s="3" customFormat="1" ht="15">
      <c r="B165" s="61"/>
      <c r="C165" s="61"/>
      <c r="D165" s="61"/>
      <c r="E165" s="61"/>
      <c r="F165" s="61"/>
      <c r="G165" s="70"/>
      <c r="H165" s="61"/>
      <c r="I165" s="61"/>
      <c r="J165" s="59"/>
      <c r="K165" s="61"/>
      <c r="L165" s="70"/>
    </row>
    <row r="166" spans="2:12" s="3" customFormat="1" ht="15">
      <c r="B166" s="61"/>
      <c r="C166" s="61"/>
      <c r="D166" s="61"/>
      <c r="E166" s="61"/>
      <c r="F166" s="61"/>
      <c r="G166" s="61"/>
      <c r="H166" s="61"/>
      <c r="I166" s="71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61"/>
      <c r="I173" s="61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61"/>
      <c r="I174" s="61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61"/>
      <c r="I175" s="61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59"/>
      <c r="I177" s="59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59"/>
      <c r="I178" s="59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61"/>
      <c r="I182" s="61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61"/>
      <c r="I183" s="61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61"/>
      <c r="I184" s="61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59"/>
      <c r="I186" s="59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59"/>
      <c r="I187" s="59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59"/>
      <c r="I188" s="59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</sheetData>
  <sheetProtection/>
  <mergeCells count="98">
    <mergeCell ref="D3:H3"/>
    <mergeCell ref="B96:J96"/>
    <mergeCell ref="E58:F58"/>
    <mergeCell ref="B61:I61"/>
    <mergeCell ref="E40:F40"/>
    <mergeCell ref="E63:F63"/>
    <mergeCell ref="E83:F83"/>
    <mergeCell ref="G88:H89"/>
    <mergeCell ref="E84:F84"/>
    <mergeCell ref="I81:J81"/>
    <mergeCell ref="I84:J84"/>
    <mergeCell ref="B98:J98"/>
    <mergeCell ref="E43:F43"/>
    <mergeCell ref="E44:F44"/>
    <mergeCell ref="I90:J91"/>
    <mergeCell ref="G90:H91"/>
    <mergeCell ref="B66:D66"/>
    <mergeCell ref="E69:F69"/>
    <mergeCell ref="B97:J97"/>
    <mergeCell ref="E88:F89"/>
    <mergeCell ref="I88:J89"/>
    <mergeCell ref="G81:H81"/>
    <mergeCell ref="B88:D89"/>
    <mergeCell ref="G84:H84"/>
    <mergeCell ref="B117:C117"/>
    <mergeCell ref="B67:D67"/>
    <mergeCell ref="B84:D84"/>
    <mergeCell ref="E81:F81"/>
    <mergeCell ref="E90:F91"/>
    <mergeCell ref="B59:I59"/>
    <mergeCell ref="E66:F66"/>
    <mergeCell ref="E68:F68"/>
    <mergeCell ref="B99:J99"/>
    <mergeCell ref="B93:J93"/>
    <mergeCell ref="B83:D83"/>
    <mergeCell ref="I83:J83"/>
    <mergeCell ref="B80:D81"/>
    <mergeCell ref="E47:F47"/>
    <mergeCell ref="E48:F48"/>
    <mergeCell ref="E51:F51"/>
    <mergeCell ref="E52:F52"/>
    <mergeCell ref="E55:F55"/>
    <mergeCell ref="B90:D91"/>
    <mergeCell ref="B94:J94"/>
    <mergeCell ref="G83:H83"/>
    <mergeCell ref="B69:D69"/>
    <mergeCell ref="B70:D70"/>
    <mergeCell ref="B86:J87"/>
    <mergeCell ref="J73:J74"/>
    <mergeCell ref="B73:I74"/>
    <mergeCell ref="B78:J78"/>
    <mergeCell ref="I82:J82"/>
    <mergeCell ref="L67:O67"/>
    <mergeCell ref="E67:F67"/>
    <mergeCell ref="B68:D68"/>
    <mergeCell ref="B71:I71"/>
    <mergeCell ref="E70:F70"/>
    <mergeCell ref="B82:D82"/>
    <mergeCell ref="E80:J80"/>
    <mergeCell ref="E82:F82"/>
    <mergeCell ref="G82:H82"/>
    <mergeCell ref="B79:J79"/>
    <mergeCell ref="B2:J2"/>
    <mergeCell ref="B12:E12"/>
    <mergeCell ref="G12:J12"/>
    <mergeCell ref="D4:H4"/>
    <mergeCell ref="B21:D21"/>
    <mergeCell ref="B22:D22"/>
    <mergeCell ref="D6:J6"/>
    <mergeCell ref="E20:F20"/>
    <mergeCell ref="B14:D14"/>
    <mergeCell ref="E21:F21"/>
    <mergeCell ref="B23:D23"/>
    <mergeCell ref="E22:F22"/>
    <mergeCell ref="E23:F23"/>
    <mergeCell ref="E24:F24"/>
    <mergeCell ref="E39:F39"/>
    <mergeCell ref="B34:D34"/>
    <mergeCell ref="B37:I37"/>
    <mergeCell ref="B30:D30"/>
    <mergeCell ref="B39:D39"/>
    <mergeCell ref="B29:D29"/>
    <mergeCell ref="B27:I27"/>
    <mergeCell ref="E29:F29"/>
    <mergeCell ref="E25:F25"/>
    <mergeCell ref="E26:F26"/>
    <mergeCell ref="E31:F31"/>
    <mergeCell ref="E30:F30"/>
    <mergeCell ref="E32:F32"/>
    <mergeCell ref="E33:F33"/>
    <mergeCell ref="E34:F34"/>
    <mergeCell ref="E35:F35"/>
    <mergeCell ref="E36:F36"/>
    <mergeCell ref="B95:J95"/>
    <mergeCell ref="E53:F53"/>
    <mergeCell ref="B35:D35"/>
    <mergeCell ref="B36:D36"/>
    <mergeCell ref="E56:F5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5" max="10" man="1"/>
  </rowBreaks>
  <ignoredErrors>
    <ignoredError sqref="I22:I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62</v>
      </c>
      <c r="C1" s="43">
        <v>28000</v>
      </c>
    </row>
    <row r="2" spans="2:3" ht="15">
      <c r="B2" s="40" t="s">
        <v>63</v>
      </c>
      <c r="C2" s="138">
        <f>((rendimiento-$C$1)/$C$1)+1</f>
        <v>0.0017857142857142794</v>
      </c>
    </row>
    <row r="3" ht="18">
      <c r="B3" s="11"/>
    </row>
    <row r="4" spans="2:12" ht="18">
      <c r="B4" s="327" t="s">
        <v>33</v>
      </c>
      <c r="C4" s="327"/>
      <c r="E4" s="3" t="s">
        <v>76</v>
      </c>
      <c r="K4" s="140"/>
      <c r="L4" s="8"/>
    </row>
    <row r="5" spans="1:5" ht="18">
      <c r="A5" s="141" t="s">
        <v>64</v>
      </c>
      <c r="B5" s="142" t="s">
        <v>67</v>
      </c>
      <c r="C5" s="143"/>
      <c r="D5" s="143"/>
      <c r="E5" s="144">
        <v>2</v>
      </c>
    </row>
    <row r="6" spans="1:5" ht="18">
      <c r="A6" s="141" t="s">
        <v>64</v>
      </c>
      <c r="B6" s="142" t="s">
        <v>70</v>
      </c>
      <c r="C6" s="145"/>
      <c r="D6" s="145"/>
      <c r="E6" s="144">
        <v>2</v>
      </c>
    </row>
    <row r="7" spans="1:5" ht="18">
      <c r="A7" s="141" t="s">
        <v>64</v>
      </c>
      <c r="B7" s="142" t="s">
        <v>71</v>
      </c>
      <c r="C7" s="145"/>
      <c r="D7" s="145"/>
      <c r="E7" s="144">
        <v>2</v>
      </c>
    </row>
    <row r="8" spans="1:5" ht="18">
      <c r="A8" s="146" t="s">
        <v>65</v>
      </c>
      <c r="B8" s="147" t="s">
        <v>68</v>
      </c>
      <c r="C8" s="150"/>
      <c r="D8" s="150"/>
      <c r="E8" s="149">
        <v>3</v>
      </c>
    </row>
    <row r="9" spans="1:5" ht="18">
      <c r="A9" s="146" t="s">
        <v>65</v>
      </c>
      <c r="B9" s="147" t="s">
        <v>72</v>
      </c>
      <c r="C9" s="150"/>
      <c r="D9" s="150"/>
      <c r="E9" s="149">
        <v>3</v>
      </c>
    </row>
    <row r="10" spans="1:5" ht="18">
      <c r="A10" s="146" t="s">
        <v>65</v>
      </c>
      <c r="B10" s="147" t="s">
        <v>73</v>
      </c>
      <c r="C10" s="148"/>
      <c r="D10" s="148"/>
      <c r="E10" s="149">
        <v>3</v>
      </c>
    </row>
    <row r="11" spans="1:5" ht="18">
      <c r="A11" s="141" t="s">
        <v>66</v>
      </c>
      <c r="B11" s="142" t="s">
        <v>69</v>
      </c>
      <c r="C11" s="143"/>
      <c r="D11" s="143"/>
      <c r="E11" s="144">
        <v>4</v>
      </c>
    </row>
    <row r="12" spans="1:5" ht="18">
      <c r="A12" s="141" t="s">
        <v>66</v>
      </c>
      <c r="B12" s="142" t="s">
        <v>74</v>
      </c>
      <c r="C12" s="143"/>
      <c r="D12" s="143"/>
      <c r="E12" s="144">
        <v>4</v>
      </c>
    </row>
    <row r="13" spans="1:5" ht="18">
      <c r="A13" s="141" t="s">
        <v>66</v>
      </c>
      <c r="B13" s="142" t="s">
        <v>75</v>
      </c>
      <c r="C13" s="151"/>
      <c r="D13" s="151"/>
      <c r="E13" s="144">
        <v>4</v>
      </c>
    </row>
    <row r="18" spans="2:4" ht="15">
      <c r="B18" s="328" t="s">
        <v>29</v>
      </c>
      <c r="C18" s="328"/>
      <c r="D18" s="328"/>
    </row>
    <row r="20" spans="2:4" ht="18">
      <c r="B20" s="42" t="s">
        <v>31</v>
      </c>
      <c r="C20" s="41">
        <f>trigo!B82</f>
        <v>45</v>
      </c>
      <c r="D20" s="41">
        <f>trigo!B84</f>
        <v>55.00000000000001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SUM(trigo!J22:J26)-_xlfn.IFERROR(INDEX(trigo!$J$22:$J$26,MATCH(B5,trigo!$B$22:$B$26,0)),"0")-_xlfn.IFERROR(INDEX(trigo!$J$22:$J$26,MATCH(B6,trigo!$B$22:$B$26,0)),"0")-_xlfn.IFERROR(INDEX(trigo!$J$22:$J$26,MATCH(B7,trigo!$B$22:$B$26,0)),"0")</f>
        <v>26400</v>
      </c>
      <c r="D25" s="8">
        <f>SUM(trigo!J22:J26)-_xlfn.IFERROR(INDEX(trigo!$J$22:$J$26,MATCH(B5,trigo!$B$22:$B$26,0)),"0")-_xlfn.IFERROR(INDEX(trigo!$J$22:$J$26,MATCH(B6,trigo!$B$22:$B$26,0)),"0")-_xlfn.IFERROR(INDEX(trigo!$J$22:$J$26,MATCH(B7,trigo!$B$22:$B$26,0)),"0")</f>
        <v>26400</v>
      </c>
      <c r="E25" s="8"/>
    </row>
    <row r="26" spans="2:4" ht="18">
      <c r="B26" s="44" t="s">
        <v>36</v>
      </c>
      <c r="C26" s="139">
        <f>C22*(_xlfn.IFERROR(INDEX(trigo!$J$22:$J$26,MATCH(B5,trigo!$B$22:$B$26,0)),"0")+_xlfn.IFERROR(INDEX(trigo!$J$22:$J$26,MATCH(B6,trigo!$B$22:$B$26,0)),"0")+_xlfn.IFERROR(INDEX(trigo!$J$22:$J$26,MATCH(B7,trigo!$B$22:$B$26,0)),"0"))</f>
        <v>0</v>
      </c>
      <c r="D26" s="139">
        <f>D22*(_xlfn.IFERROR(INDEX(trigo!$J$22:$J$26,MATCH(B5,trigo!$B$22:$B$26,0)),"0")+_xlfn.IFERROR(INDEX(trigo!$J$22:$J$26,MATCH(B6,trigo!$B$22:$B$26,0)),"0")+_xlfn.IFERROR(INDEX(trigo!$J$22:$J$26,MATCH(B7,trigo!$B$22:$B$26,0)),"0"))</f>
        <v>0</v>
      </c>
    </row>
    <row r="27" spans="2:4" ht="18">
      <c r="B27" s="15" t="s">
        <v>37</v>
      </c>
      <c r="C27" s="8">
        <f>SUM(C25:C26)</f>
        <v>26400</v>
      </c>
      <c r="D27" s="8">
        <f>SUM(D25:D26)</f>
        <v>26400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SUM(trigo!J30:J36)-_xlfn.IFERROR(INDEX(trigo!$J$30:$J$36,MATCH(B8,trigo!$B$30:$B$36,0)),"0")-_xlfn.IFERROR(INDEX(trigo!$J$30:$J$36,MATCH(B9,trigo!$B$30:$B$36,0)),"0")-_xlfn.IFERROR(INDEX(trigo!$J$30:$J$36,MATCH(B10,trigo!$B$30:$B$36,0)),"0")</f>
        <v>190000</v>
      </c>
      <c r="D30" s="8">
        <f>SUM(trigo!J30:J36)-_xlfn.IFERROR(INDEX(trigo!$J$30:$J$36,MATCH(B8,trigo!$B$30:$B$36,0)),"0")-_xlfn.IFERROR(INDEX(trigo!$J$30:$J$36,MATCH(B9,trigo!$B$30:$B$36,0)),"0")-_xlfn.IFERROR(INDEX(trigo!$J$30:$J$36,MATCH(B10,trigo!$B$30:$B$36,0)),"0")</f>
        <v>190000</v>
      </c>
    </row>
    <row r="31" spans="2:4" ht="18">
      <c r="B31" s="44" t="s">
        <v>36</v>
      </c>
      <c r="C31" s="139">
        <f>C22*(_xlfn.IFERROR(INDEX(trigo!$J$30:$J$36,MATCH(B8,trigo!$B$30:$B$36,0)),"0")+_xlfn.IFERROR(INDEX(trigo!$J$30:$J$36,MATCH(B9,trigo!$B$30:$B$36,0)),"0")+_xlfn.IFERROR(INDEX(trigo!$J$30:$J$36,MATCH(B10,trigo!$B$30:$B$36,0)),"0"))</f>
        <v>0</v>
      </c>
      <c r="D31" s="139">
        <f>D22*(_xlfn.IFERROR(INDEX(trigo!$J$30:$J$36,MATCH(B8,trigo!$B$30:$B$36,0)),"0")+_xlfn.IFERROR(INDEX(trigo!$J$30:$J$36,MATCH(B9,trigo!$B$30:$B$36,0)),"0")+_xlfn.IFERROR(INDEX(trigo!$J$30:$J$36,MATCH(B10,trigo!$B$30:$B$36,0)),"0"))</f>
        <v>0</v>
      </c>
    </row>
    <row r="32" spans="2:4" ht="18">
      <c r="B32" s="15" t="s">
        <v>37</v>
      </c>
      <c r="C32" s="8">
        <f>SUM(C30:C31)</f>
        <v>190000</v>
      </c>
      <c r="D32" s="8">
        <f>SUM(D30:D31)</f>
        <v>190000</v>
      </c>
    </row>
    <row r="34" ht="18">
      <c r="B34" s="42" t="s">
        <v>38</v>
      </c>
    </row>
    <row r="35" spans="2:4" ht="18">
      <c r="B35" s="15" t="s">
        <v>35</v>
      </c>
      <c r="C35" s="8">
        <f>SUM(trigo!J40:J58)-_xlfn.IFERROR(INDEX(trigo!$J$40:$J$58,MATCH(B11,trigo!$B$40:$B$58,0)),"0")-_xlfn.IFERROR(INDEX(trigo!$J$40:$J$58,MATCH(B12,trigo!$B$40:$B$58,0)),"0")-_xlfn.IFERROR(INDEX(trigo!$J$40:$J$58,MATCH(B13,trigo!$B$40:$B$58,0)),"0")</f>
        <v>354381</v>
      </c>
      <c r="D35" s="8">
        <f>SUM(trigo!J40:J58)-_xlfn.IFERROR(INDEX(trigo!$J$40:$J$58,MATCH(B11,trigo!$B$40:$B$58,0)),"0")-_xlfn.IFERROR(INDEX(trigo!$J$40:$J$58,MATCH(B12,trigo!$B$40:$B$58,0)),"0")-_xlfn.IFERROR(INDEX(trigo!$J$40:$J$58,MATCH(B13,trigo!$B$40:$B$58,0)),"0")</f>
        <v>354381</v>
      </c>
    </row>
    <row r="36" spans="2:4" ht="18">
      <c r="B36" s="44" t="s">
        <v>36</v>
      </c>
      <c r="C36" s="139">
        <f>C22*(_xlfn.IFERROR(INDEX(trigo!$J$40:$J$58,MATCH(B11,trigo!$B$40:$B$58,0)),"0")+_xlfn.IFERROR(INDEX(trigo!$J$40:$J$58,MATCH(B12,trigo!$B$40:$B$58,0)),"0")+_xlfn.IFERROR(INDEX(trigo!$J$40:$J$58,MATCH(B13,trigo!$B$40:$B$58,0)),"0"))</f>
        <v>0</v>
      </c>
      <c r="D36" s="139">
        <f>D22*(_xlfn.IFERROR(INDEX(trigo!$J$40:$J$58,MATCH(B11,trigo!$B$40:$B$58,0)),"0")+_xlfn.IFERROR(INDEX(trigo!$J$40:$J$58,MATCH(B12,trigo!$B$40:$B$58,0)),"0")+_xlfn.IFERROR(INDEX(trigo!$J$40:$J$58,MATCH(B13,trigo!$B$40:$B$58,0)),"0"))</f>
        <v>0</v>
      </c>
    </row>
    <row r="37" spans="2:4" ht="18">
      <c r="B37" s="15" t="s">
        <v>37</v>
      </c>
      <c r="C37" s="8">
        <f>SUM(C35:C36)</f>
        <v>354381</v>
      </c>
      <c r="D37" s="8">
        <f>SUM(D35:D36)</f>
        <v>354381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570781</v>
      </c>
      <c r="D39" s="47">
        <f>D27+D32+D37</f>
        <v>570781</v>
      </c>
    </row>
    <row r="40" ht="15">
      <c r="B40" s="22"/>
    </row>
    <row r="41" spans="2:4" ht="18">
      <c r="B41" s="45" t="s">
        <v>0</v>
      </c>
      <c r="C41" s="8">
        <f>C39*trigo!$G$63</f>
        <v>28539.050000000003</v>
      </c>
      <c r="D41" s="8">
        <f>D39*trigo!$G$63</f>
        <v>28539.050000000003</v>
      </c>
    </row>
    <row r="42" spans="2:4" ht="18">
      <c r="B42" s="45" t="s">
        <v>25</v>
      </c>
      <c r="C42" s="8">
        <f>C39*tasa_interes_mensual*meses_financiamiento*0.5</f>
        <v>25685.145</v>
      </c>
      <c r="D42" s="8">
        <f>D39*tasa_interes_mensual*meses_financiamiento*0.5</f>
        <v>25685.145</v>
      </c>
    </row>
    <row r="43" ht="15">
      <c r="B43" s="22"/>
    </row>
    <row r="44" spans="2:4" ht="18">
      <c r="B44" s="46" t="s">
        <v>28</v>
      </c>
      <c r="C44" s="47">
        <f>C39+C41+C42</f>
        <v>625005.1950000001</v>
      </c>
      <c r="D44" s="47">
        <f>D39+D41+D42</f>
        <v>625005.1950000001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2017-10-11T15:23:21Z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18d80641-519c-425a-9a12-1665f3fadc46</vt:lpwstr>
  </property>
</Properties>
</file>