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 prim Arauc seca. tec. alt" sheetId="1" r:id="rId1"/>
    <sheet name="Hoja1" sheetId="2" state="hidden" r:id="rId2"/>
  </sheets>
  <definedNames>
    <definedName name="_xlnm.Print_Area" localSheetId="0">'Trigo prim Arauc seca. tec. alt'!$A$1:$K$110</definedName>
  </definedNames>
  <calcPr fullCalcOnLoad="1"/>
</workbook>
</file>

<file path=xl/sharedStrings.xml><?xml version="1.0" encoding="utf-8"?>
<sst xmlns="http://schemas.openxmlformats.org/spreadsheetml/2006/main" count="190" uniqueCount="131">
  <si>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</si>
  <si>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</si>
  <si>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</si>
  <si>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</si>
  <si>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</si>
  <si>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</si>
  <si>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</si>
  <si>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</si>
  <si>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</si>
  <si>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</si>
  <si>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</si>
  <si>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</si>
  <si>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</si>
  <si>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</si>
  <si>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</si>
  <si>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</si>
  <si>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</si>
  <si>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</si>
  <si>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</si>
  <si>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</si>
  <si>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</si>
  <si>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</si>
  <si>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</si>
  <si>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</si>
  <si>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</si>
  <si>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</si>
  <si>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</si>
  <si>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</si>
  <si>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</si>
  <si>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</si>
  <si>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</si>
  <si>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</si>
  <si>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</si>
  <si>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</si>
  <si>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</si>
  <si>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</si>
  <si>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</si>
  <si>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</si>
  <si>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</si>
  <si>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</si>
  <si>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</si>
  <si>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</si>
  <si>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</si>
  <si>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</si>
  <si>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</si>
  <si>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</si>
  <si>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</si>
  <si>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</si>
  <si>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</si>
  <si>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</si>
  <si>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</si>
  <si>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</si>
  <si>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</si>
  <si>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</si>
  <si>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</si>
  <si>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</si>
  <si>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Región de La Araucanía</t>
  </si>
  <si>
    <t>Semillas</t>
  </si>
  <si>
    <t>Costo oportunidad (arriendo)</t>
  </si>
  <si>
    <t xml:space="preserve">Administración </t>
  </si>
  <si>
    <t>Contribuciones</t>
  </si>
  <si>
    <t>1 hectárea mayo 2019</t>
  </si>
  <si>
    <t>Tecnología de riego: secano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</si>
  <si>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</si>
  <si>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</si>
  <si>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</si>
  <si>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</si>
  <si>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</si>
  <si>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</si>
  <si>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Rastrajes</t>
  </si>
  <si>
    <t>Aplicación de pesticidas</t>
  </si>
  <si>
    <t xml:space="preserve">Siembra </t>
  </si>
  <si>
    <t>Hacer regueros (acequias)</t>
  </si>
  <si>
    <t>Aplicación nitrógeno (trompo)</t>
  </si>
  <si>
    <t>Trilla automotriz</t>
  </si>
  <si>
    <t>Flete</t>
  </si>
  <si>
    <t>quintal</t>
  </si>
  <si>
    <t>Barbecho químico (herbicidas)</t>
  </si>
  <si>
    <t>Round full II</t>
  </si>
  <si>
    <t xml:space="preserve">Mesuclan 50 WP </t>
  </si>
  <si>
    <t>gramos</t>
  </si>
  <si>
    <t>Mezcla NPK(11-30-11)</t>
  </si>
  <si>
    <t>Anagran plus</t>
  </si>
  <si>
    <t>Tebuconazole 25 EW</t>
  </si>
  <si>
    <t>Apache plus 535 SC</t>
  </si>
  <si>
    <t>gramo</t>
  </si>
  <si>
    <t>Force 20 CS (aplicar a la semilla)</t>
  </si>
  <si>
    <t>Muralla delta 190 OD</t>
  </si>
  <si>
    <t>Metsulfuron metilo 60 WP</t>
  </si>
  <si>
    <t>MCPA 750 SL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</si>
  <si>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</si>
  <si>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</si>
  <si>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</si>
  <si>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</si>
  <si>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</si>
  <si>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</si>
  <si>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</si>
  <si>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</si>
  <si>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</si>
  <si>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</si>
  <si>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</si>
  <si>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</si>
  <si>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(1) El precio del trigo utilizado en el análisis de sensibilidad corresponde al precio promedio regional durante la temporada 2018/2019.</t>
  </si>
  <si>
    <t>Supernitro(25% N)</t>
  </si>
  <si>
    <t>Rendimiento (quintales/hectárea):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</si>
  <si>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</si>
  <si>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Rendimiento (quintales/hectárea)</t>
  </si>
  <si>
    <t>Costo unitario ($/quintal)</t>
  </si>
  <si>
    <t>Precio ($/quintal)</t>
  </si>
  <si>
    <t>Variedad: Ciko-INIA, Kumpa-INIA, Crac Baer, Bakan Baer.</t>
  </si>
  <si>
    <t>Trigo primavera</t>
  </si>
  <si>
    <t>Fecha de siembra:septiembre-octubre</t>
  </si>
  <si>
    <t>Fecha de cosecha: febrero marzo</t>
  </si>
  <si>
    <t>mayo - octubre</t>
  </si>
  <si>
    <t>septiembre-octubre</t>
  </si>
  <si>
    <t>septiembre-diciembre</t>
  </si>
  <si>
    <t>agosto-enero</t>
  </si>
  <si>
    <t>febrero-marzo</t>
  </si>
  <si>
    <t>julio-octubre</t>
  </si>
  <si>
    <t>agosto-octubre</t>
  </si>
  <si>
    <t>octubre-diciembre</t>
  </si>
  <si>
    <t>Tecnología: alta</t>
  </si>
  <si>
    <t>junio-octubre</t>
  </si>
  <si>
    <t>agosto-septiembre</t>
  </si>
  <si>
    <t>julio-septiembre</t>
  </si>
  <si>
    <t>octubre-enero</t>
  </si>
  <si>
    <t>octubre-noviembre</t>
  </si>
  <si>
    <t>junio-septiembre</t>
  </si>
  <si>
    <t>Destino de producción: industria molinera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</si>
  <si>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</si>
  <si>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Densidad (plantas/hectárea):sin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</si>
</sst>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0" fontId="10" fillId="34" borderId="0" xfId="56" applyFont="1" applyFill="1" applyBorder="1" applyAlignment="1" applyProtection="1">
      <alignment horizontal="left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 horizontal="left" indent="3"/>
      <protection locked="0"/>
    </xf>
    <xf numFmtId="0" fontId="10" fillId="34" borderId="18" xfId="56" applyFont="1" applyFill="1" applyBorder="1" applyAlignment="1" applyProtection="1">
      <alignment horizontal="left" indent="3"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10" fillId="0" borderId="14" xfId="56" applyFont="1" applyFill="1" applyBorder="1" applyAlignment="1" applyProtection="1">
      <alignment horizontal="left" indent="3"/>
      <protection locked="0"/>
    </xf>
    <xf numFmtId="0" fontId="10" fillId="0" borderId="18" xfId="56" applyFont="1" applyFill="1" applyBorder="1" applyAlignment="1" applyProtection="1">
      <alignment horizontal="left" indent="3"/>
      <protection locked="0"/>
    </xf>
    <xf numFmtId="0" fontId="10" fillId="0" borderId="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0" xfId="56" applyFont="1" applyFill="1" applyBorder="1" applyAlignment="1" applyProtection="1">
      <alignment horizontal="left" indent="3"/>
      <protection locked="0"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5" xfId="56" applyFont="1" applyFill="1" applyBorder="1" applyAlignment="1" applyProtection="1">
      <alignment horizontal="left" indent="3"/>
      <protection locked="0"/>
    </xf>
    <xf numFmtId="0" fontId="10" fillId="34" borderId="16" xfId="56" applyFont="1" applyFill="1" applyBorder="1" applyAlignment="1" applyProtection="1">
      <alignment horizontal="left" indent="3"/>
      <protection locked="0"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8" borderId="17" xfId="55" applyFont="1" applyFill="1" applyBorder="1" applyAlignment="1">
      <alignment horizontal="center"/>
      <protection/>
    </xf>
    <xf numFmtId="0" fontId="62" fillId="38" borderId="14" xfId="55" applyFont="1" applyFill="1" applyBorder="1" applyAlignment="1">
      <alignment horizontal="center"/>
      <protection/>
    </xf>
    <xf numFmtId="0" fontId="62" fillId="38" borderId="18" xfId="55" applyFont="1" applyFill="1" applyBorder="1" applyAlignment="1">
      <alignment horizontal="center"/>
      <protection/>
    </xf>
    <xf numFmtId="0" fontId="62" fillId="38" borderId="25" xfId="55" applyFont="1" applyFill="1" applyBorder="1" applyAlignment="1">
      <alignment horizontal="center"/>
      <protection/>
    </xf>
    <xf numFmtId="0" fontId="62" fillId="38" borderId="24" xfId="55" applyFont="1" applyFill="1" applyBorder="1" applyAlignment="1">
      <alignment horizontal="center"/>
      <protection/>
    </xf>
    <xf numFmtId="0" fontId="62" fillId="38" borderId="20" xfId="55" applyFont="1" applyFill="1" applyBorder="1" applyAlignment="1">
      <alignment horizontal="center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8" borderId="17" xfId="67" applyNumberFormat="1" applyFont="1" applyFill="1" applyBorder="1" applyAlignment="1" applyProtection="1">
      <alignment horizontal="center"/>
      <protection/>
    </xf>
    <xf numFmtId="17" fontId="62" fillId="38" borderId="14" xfId="67" applyNumberFormat="1" applyFont="1" applyFill="1" applyBorder="1" applyAlignment="1" applyProtection="1">
      <alignment horizontal="center"/>
      <protection/>
    </xf>
    <xf numFmtId="17" fontId="62" fillId="38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250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D3" sqref="D3:J3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307" t="s">
        <v>34</v>
      </c>
      <c r="E2" s="307"/>
      <c r="F2" s="307"/>
      <c r="G2" s="307"/>
      <c r="H2" s="307"/>
      <c r="I2" s="307"/>
      <c r="J2" s="307"/>
    </row>
    <row r="3" spans="2:11" s="3" customFormat="1" ht="18" customHeight="1">
      <c r="B3" s="94"/>
      <c r="C3" s="117"/>
      <c r="D3" s="308" t="s">
        <v>110</v>
      </c>
      <c r="E3" s="308"/>
      <c r="F3" s="308"/>
      <c r="G3" s="308"/>
      <c r="H3" s="308"/>
      <c r="I3" s="308"/>
      <c r="J3" s="308"/>
      <c r="K3" s="14"/>
    </row>
    <row r="4" spans="2:11" s="3" customFormat="1" ht="18" customHeight="1">
      <c r="B4" s="94"/>
      <c r="C4" s="117"/>
      <c r="D4" s="308" t="s">
        <v>56</v>
      </c>
      <c r="E4" s="308"/>
      <c r="F4" s="308"/>
      <c r="G4" s="308"/>
      <c r="H4" s="308"/>
      <c r="I4" s="308"/>
      <c r="J4" s="308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43" t="s">
        <v>29</v>
      </c>
      <c r="E6" s="344"/>
      <c r="F6" s="344"/>
      <c r="G6" s="344"/>
      <c r="H6" s="344"/>
      <c r="I6" s="344"/>
      <c r="J6" s="345"/>
      <c r="K6" s="16"/>
    </row>
    <row r="7" spans="2:11" s="3" customFormat="1" ht="18" customHeight="1">
      <c r="B7" s="42"/>
      <c r="C7" s="42"/>
      <c r="D7" s="85" t="s">
        <v>61</v>
      </c>
      <c r="E7" s="86"/>
      <c r="F7" s="86"/>
      <c r="G7" s="87" t="s">
        <v>109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62</v>
      </c>
      <c r="E8" s="92"/>
      <c r="F8" s="92"/>
      <c r="G8" s="93" t="s">
        <v>128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130</v>
      </c>
      <c r="E9" s="159"/>
      <c r="F9" s="92"/>
      <c r="G9" s="93" t="s">
        <v>121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111</v>
      </c>
      <c r="E10" s="98"/>
      <c r="F10" s="98"/>
      <c r="G10" s="99" t="s">
        <v>112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09" t="s">
        <v>30</v>
      </c>
      <c r="C12" s="310"/>
      <c r="D12" s="310"/>
      <c r="E12" s="311"/>
      <c r="F12" s="41"/>
      <c r="G12" s="312" t="s">
        <v>4</v>
      </c>
      <c r="H12" s="313"/>
      <c r="I12" s="313"/>
      <c r="J12" s="314"/>
      <c r="K12" s="16"/>
    </row>
    <row r="13" spans="2:11" ht="18">
      <c r="B13" s="107" t="s">
        <v>104</v>
      </c>
      <c r="C13" s="108"/>
      <c r="D13" s="86"/>
      <c r="E13" s="109">
        <v>70</v>
      </c>
      <c r="F13" s="42"/>
      <c r="G13" s="113" t="s">
        <v>50</v>
      </c>
      <c r="H13" s="86"/>
      <c r="I13" s="86"/>
      <c r="J13" s="140">
        <f>E13*E14</f>
        <v>1263500</v>
      </c>
      <c r="K13" s="16"/>
    </row>
    <row r="14" spans="2:13" ht="18" customHeight="1">
      <c r="B14" s="195" t="s">
        <v>105</v>
      </c>
      <c r="C14" s="196"/>
      <c r="D14" s="196"/>
      <c r="E14" s="248">
        <v>18050</v>
      </c>
      <c r="F14" s="42"/>
      <c r="G14" s="114" t="s">
        <v>47</v>
      </c>
      <c r="H14" s="42"/>
      <c r="I14" s="42"/>
      <c r="J14" s="141">
        <f>J28+J39+J67+J70</f>
        <v>920713.5</v>
      </c>
      <c r="K14" s="16"/>
      <c r="M14" s="181"/>
    </row>
    <row r="15" spans="2:11" ht="18">
      <c r="B15" s="132" t="s">
        <v>35</v>
      </c>
      <c r="C15" s="43"/>
      <c r="D15" s="42"/>
      <c r="E15" s="248">
        <v>14000</v>
      </c>
      <c r="F15" s="42"/>
      <c r="G15" s="114" t="s">
        <v>49</v>
      </c>
      <c r="H15" s="44"/>
      <c r="I15" s="42"/>
      <c r="J15" s="141">
        <f>J28+J39+J67+J70+J80</f>
        <v>982861.66125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51</v>
      </c>
      <c r="H16" s="42"/>
      <c r="I16" s="42"/>
      <c r="J16" s="141">
        <f>J13-J14</f>
        <v>342786.5</v>
      </c>
      <c r="K16" s="16"/>
    </row>
    <row r="17" spans="2:11" ht="18">
      <c r="B17" s="132" t="s">
        <v>3</v>
      </c>
      <c r="C17" s="45"/>
      <c r="D17" s="42"/>
      <c r="E17" s="272">
        <v>9</v>
      </c>
      <c r="F17" s="42"/>
      <c r="G17" s="114" t="s">
        <v>52</v>
      </c>
      <c r="H17" s="42"/>
      <c r="I17" s="42"/>
      <c r="J17" s="141">
        <f>J13-J15</f>
        <v>280638.33875</v>
      </c>
      <c r="K17" s="16"/>
    </row>
    <row r="18" spans="2:11" ht="18">
      <c r="B18" s="111"/>
      <c r="C18" s="112"/>
      <c r="D18" s="103"/>
      <c r="E18" s="273"/>
      <c r="F18" s="42"/>
      <c r="G18" s="115" t="s">
        <v>26</v>
      </c>
      <c r="H18" s="103"/>
      <c r="I18" s="116"/>
      <c r="J18" s="142">
        <f>G97</f>
        <v>14040.880875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42"/>
      <c r="F20" s="342"/>
      <c r="G20" s="121"/>
      <c r="H20" s="122"/>
      <c r="I20" s="130"/>
      <c r="J20" s="123"/>
      <c r="K20" s="16"/>
    </row>
    <row r="21" spans="2:11" s="3" customFormat="1" ht="18" customHeight="1">
      <c r="B21" s="199" t="s">
        <v>7</v>
      </c>
      <c r="C21" s="200"/>
      <c r="D21" s="200"/>
      <c r="E21" s="235" t="s">
        <v>36</v>
      </c>
      <c r="F21" s="234"/>
      <c r="G21" s="143" t="s">
        <v>5</v>
      </c>
      <c r="H21" s="144" t="s">
        <v>6</v>
      </c>
      <c r="I21" s="145" t="s">
        <v>44</v>
      </c>
      <c r="J21" s="146" t="s">
        <v>1</v>
      </c>
      <c r="K21" s="16"/>
    </row>
    <row r="22" spans="2:10" s="3" customFormat="1" ht="18">
      <c r="B22" s="274" t="s">
        <v>63</v>
      </c>
      <c r="C22" s="275"/>
      <c r="D22" s="276"/>
      <c r="E22" s="279" t="s">
        <v>113</v>
      </c>
      <c r="F22" s="280"/>
      <c r="G22" s="250">
        <v>0.2</v>
      </c>
      <c r="H22" s="148" t="s">
        <v>38</v>
      </c>
      <c r="I22" s="265">
        <f aca="true" t="shared" si="0" ref="I22:I27">$E$15</f>
        <v>14000</v>
      </c>
      <c r="J22" s="175">
        <f aca="true" t="shared" si="1" ref="J22:J27">G22*I22</f>
        <v>2800</v>
      </c>
    </row>
    <row r="23" spans="2:10" s="3" customFormat="1" ht="18">
      <c r="B23" s="277" t="s">
        <v>64</v>
      </c>
      <c r="C23" s="257"/>
      <c r="D23" s="278"/>
      <c r="E23" s="281" t="s">
        <v>114</v>
      </c>
      <c r="F23" s="282"/>
      <c r="G23" s="250">
        <v>0.4</v>
      </c>
      <c r="H23" s="150" t="s">
        <v>38</v>
      </c>
      <c r="I23" s="266">
        <f t="shared" si="0"/>
        <v>14000</v>
      </c>
      <c r="J23" s="10">
        <f t="shared" si="1"/>
        <v>5600</v>
      </c>
    </row>
    <row r="24" spans="2:10" s="3" customFormat="1" ht="18">
      <c r="B24" s="269" t="s">
        <v>65</v>
      </c>
      <c r="C24" s="270"/>
      <c r="D24" s="271"/>
      <c r="E24" s="281" t="s">
        <v>115</v>
      </c>
      <c r="F24" s="282"/>
      <c r="G24" s="250">
        <v>0.6</v>
      </c>
      <c r="H24" s="150" t="s">
        <v>38</v>
      </c>
      <c r="I24" s="266">
        <f t="shared" si="0"/>
        <v>14000</v>
      </c>
      <c r="J24" s="10">
        <f t="shared" si="1"/>
        <v>8400</v>
      </c>
    </row>
    <row r="25" spans="2:10" s="3" customFormat="1" ht="18">
      <c r="B25" s="269" t="s">
        <v>66</v>
      </c>
      <c r="C25" s="270"/>
      <c r="D25" s="271"/>
      <c r="E25" s="281" t="s">
        <v>116</v>
      </c>
      <c r="F25" s="282"/>
      <c r="G25" s="250">
        <v>0.8</v>
      </c>
      <c r="H25" s="150" t="s">
        <v>38</v>
      </c>
      <c r="I25" s="266">
        <f t="shared" si="0"/>
        <v>14000</v>
      </c>
      <c r="J25" s="10">
        <f t="shared" si="1"/>
        <v>11200</v>
      </c>
    </row>
    <row r="26" spans="2:10" s="3" customFormat="1" ht="18">
      <c r="B26" s="277" t="s">
        <v>67</v>
      </c>
      <c r="C26" s="257"/>
      <c r="D26" s="278"/>
      <c r="E26" s="281" t="s">
        <v>115</v>
      </c>
      <c r="F26" s="282"/>
      <c r="G26" s="250">
        <v>0.8</v>
      </c>
      <c r="H26" s="150" t="s">
        <v>38</v>
      </c>
      <c r="I26" s="266">
        <f t="shared" si="0"/>
        <v>14000</v>
      </c>
      <c r="J26" s="10">
        <f t="shared" si="1"/>
        <v>11200</v>
      </c>
    </row>
    <row r="27" spans="2:10" s="3" customFormat="1" ht="17.25" customHeight="1">
      <c r="B27" s="269" t="s">
        <v>68</v>
      </c>
      <c r="C27" s="270"/>
      <c r="D27" s="271"/>
      <c r="E27" s="281" t="s">
        <v>117</v>
      </c>
      <c r="F27" s="282"/>
      <c r="G27" s="250">
        <v>0.6</v>
      </c>
      <c r="H27" s="150" t="s">
        <v>38</v>
      </c>
      <c r="I27" s="266">
        <f t="shared" si="0"/>
        <v>14000</v>
      </c>
      <c r="J27" s="176">
        <f t="shared" si="1"/>
        <v>8400</v>
      </c>
    </row>
    <row r="28" spans="2:11" ht="18">
      <c r="B28" s="203" t="s">
        <v>8</v>
      </c>
      <c r="C28" s="204"/>
      <c r="D28" s="204"/>
      <c r="E28" s="204"/>
      <c r="F28" s="204"/>
      <c r="G28" s="204"/>
      <c r="H28" s="204"/>
      <c r="I28" s="204"/>
      <c r="J28" s="104">
        <f>SUM(J22:J27)</f>
        <v>47600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99" t="s">
        <v>97</v>
      </c>
      <c r="C30" s="200"/>
      <c r="D30" s="200"/>
      <c r="E30" s="235" t="s">
        <v>36</v>
      </c>
      <c r="F30" s="235"/>
      <c r="G30" s="143" t="s">
        <v>5</v>
      </c>
      <c r="H30" s="144" t="s">
        <v>6</v>
      </c>
      <c r="I30" s="145" t="s">
        <v>44</v>
      </c>
      <c r="J30" s="146" t="s">
        <v>1</v>
      </c>
      <c r="K30" s="3"/>
    </row>
    <row r="31" spans="2:10" s="3" customFormat="1" ht="18">
      <c r="B31" s="274" t="s">
        <v>33</v>
      </c>
      <c r="C31" s="275"/>
      <c r="D31" s="276"/>
      <c r="E31" s="286" t="s">
        <v>118</v>
      </c>
      <c r="F31" s="287"/>
      <c r="G31" s="251">
        <v>1</v>
      </c>
      <c r="H31" s="147" t="s">
        <v>39</v>
      </c>
      <c r="I31" s="254">
        <v>40000</v>
      </c>
      <c r="J31" s="127">
        <f>I31*G31</f>
        <v>40000</v>
      </c>
    </row>
    <row r="32" spans="2:10" s="3" customFormat="1" ht="18">
      <c r="B32" s="269" t="s">
        <v>69</v>
      </c>
      <c r="C32" s="270"/>
      <c r="D32" s="271"/>
      <c r="E32" s="288" t="s">
        <v>119</v>
      </c>
      <c r="F32" s="289"/>
      <c r="G32" s="252">
        <v>2</v>
      </c>
      <c r="H32" s="149" t="s">
        <v>39</v>
      </c>
      <c r="I32" s="255">
        <v>30000</v>
      </c>
      <c r="J32" s="128">
        <f aca="true" t="shared" si="2" ref="J32:J38">I32*G32</f>
        <v>60000</v>
      </c>
    </row>
    <row r="33" spans="2:10" s="3" customFormat="1" ht="18">
      <c r="B33" s="269" t="s">
        <v>70</v>
      </c>
      <c r="C33" s="270"/>
      <c r="D33" s="271"/>
      <c r="E33" s="288" t="s">
        <v>116</v>
      </c>
      <c r="F33" s="289"/>
      <c r="G33" s="252">
        <v>2</v>
      </c>
      <c r="H33" s="149" t="s">
        <v>39</v>
      </c>
      <c r="I33" s="255">
        <v>10000</v>
      </c>
      <c r="J33" s="128">
        <f t="shared" si="2"/>
        <v>20000</v>
      </c>
    </row>
    <row r="34" spans="2:10" s="3" customFormat="1" ht="18">
      <c r="B34" s="269" t="s">
        <v>71</v>
      </c>
      <c r="C34" s="270"/>
      <c r="D34" s="271"/>
      <c r="E34" s="288" t="s">
        <v>114</v>
      </c>
      <c r="F34" s="289"/>
      <c r="G34" s="252">
        <v>1</v>
      </c>
      <c r="H34" s="149" t="s">
        <v>39</v>
      </c>
      <c r="I34" s="255">
        <v>30000</v>
      </c>
      <c r="J34" s="128">
        <f t="shared" si="2"/>
        <v>30000</v>
      </c>
    </row>
    <row r="35" spans="2:10" s="3" customFormat="1" ht="18">
      <c r="B35" s="277" t="s">
        <v>72</v>
      </c>
      <c r="C35" s="257"/>
      <c r="D35" s="278"/>
      <c r="E35" s="288" t="s">
        <v>114</v>
      </c>
      <c r="F35" s="289"/>
      <c r="G35" s="253">
        <v>0.4</v>
      </c>
      <c r="H35" s="149" t="s">
        <v>39</v>
      </c>
      <c r="I35" s="255">
        <v>12000</v>
      </c>
      <c r="J35" s="128">
        <f t="shared" si="2"/>
        <v>4800</v>
      </c>
    </row>
    <row r="36" spans="2:10" s="3" customFormat="1" ht="18">
      <c r="B36" s="277" t="s">
        <v>73</v>
      </c>
      <c r="C36" s="257"/>
      <c r="D36" s="278"/>
      <c r="E36" s="288" t="s">
        <v>120</v>
      </c>
      <c r="F36" s="289"/>
      <c r="G36" s="253">
        <v>1</v>
      </c>
      <c r="H36" s="149" t="s">
        <v>39</v>
      </c>
      <c r="I36" s="255">
        <v>10000</v>
      </c>
      <c r="J36" s="128">
        <f t="shared" si="2"/>
        <v>10000</v>
      </c>
    </row>
    <row r="37" spans="2:10" s="3" customFormat="1" ht="18">
      <c r="B37" s="277" t="s">
        <v>74</v>
      </c>
      <c r="C37" s="257"/>
      <c r="D37" s="278"/>
      <c r="E37" s="290" t="s">
        <v>117</v>
      </c>
      <c r="F37" s="282"/>
      <c r="G37" s="253">
        <v>1</v>
      </c>
      <c r="H37" s="149" t="s">
        <v>39</v>
      </c>
      <c r="I37" s="256">
        <v>50000</v>
      </c>
      <c r="J37" s="128">
        <f t="shared" si="2"/>
        <v>50000</v>
      </c>
    </row>
    <row r="38" spans="2:10" s="3" customFormat="1" ht="18">
      <c r="B38" s="283" t="s">
        <v>75</v>
      </c>
      <c r="C38" s="284"/>
      <c r="D38" s="285"/>
      <c r="E38" s="290" t="s">
        <v>117</v>
      </c>
      <c r="F38" s="282"/>
      <c r="G38" s="253">
        <f>E13</f>
        <v>70</v>
      </c>
      <c r="H38" s="177" t="s">
        <v>76</v>
      </c>
      <c r="I38" s="256">
        <v>700</v>
      </c>
      <c r="J38" s="133">
        <f t="shared" si="2"/>
        <v>49000</v>
      </c>
    </row>
    <row r="39" spans="2:12" ht="15.75" customHeight="1">
      <c r="B39" s="203" t="s">
        <v>10</v>
      </c>
      <c r="C39" s="204"/>
      <c r="D39" s="204"/>
      <c r="E39" s="204"/>
      <c r="F39" s="204"/>
      <c r="G39" s="204"/>
      <c r="H39" s="204"/>
      <c r="I39" s="204"/>
      <c r="J39" s="124">
        <f>SUM(J31:J38)</f>
        <v>263800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99" t="s">
        <v>98</v>
      </c>
      <c r="C41" s="200"/>
      <c r="D41" s="200"/>
      <c r="E41" s="235" t="s">
        <v>36</v>
      </c>
      <c r="F41" s="235"/>
      <c r="G41" s="143" t="s">
        <v>5</v>
      </c>
      <c r="H41" s="144" t="s">
        <v>6</v>
      </c>
      <c r="I41" s="145" t="s">
        <v>44</v>
      </c>
      <c r="J41" s="146" t="s">
        <v>1</v>
      </c>
      <c r="L41" s="24"/>
    </row>
    <row r="42" spans="2:12" s="3" customFormat="1" ht="18">
      <c r="B42" s="166" t="s">
        <v>57</v>
      </c>
      <c r="C42" s="167"/>
      <c r="D42" s="167"/>
      <c r="E42" s="279" t="s">
        <v>122</v>
      </c>
      <c r="F42" s="280"/>
      <c r="G42" s="174">
        <v>160</v>
      </c>
      <c r="H42" s="152" t="s">
        <v>40</v>
      </c>
      <c r="I42" s="306">
        <v>450</v>
      </c>
      <c r="J42" s="127">
        <f>G42*I42</f>
        <v>72000</v>
      </c>
      <c r="L42" s="24"/>
    </row>
    <row r="43" spans="2:12" s="3" customFormat="1" ht="18">
      <c r="B43" s="259"/>
      <c r="C43" s="160"/>
      <c r="D43" s="160"/>
      <c r="E43" s="292"/>
      <c r="F43" s="293"/>
      <c r="G43" s="155"/>
      <c r="H43" s="151"/>
      <c r="I43" s="267"/>
      <c r="J43" s="128"/>
      <c r="L43" s="24"/>
    </row>
    <row r="44" spans="2:12" s="3" customFormat="1" ht="18">
      <c r="B44" s="164" t="s">
        <v>77</v>
      </c>
      <c r="C44" s="165"/>
      <c r="D44" s="165"/>
      <c r="E44" s="292"/>
      <c r="F44" s="293"/>
      <c r="G44" s="168"/>
      <c r="H44" s="153"/>
      <c r="I44" s="267"/>
      <c r="J44" s="128"/>
      <c r="L44" s="24"/>
    </row>
    <row r="45" spans="2:12" s="3" customFormat="1" ht="18">
      <c r="B45" s="277" t="s">
        <v>78</v>
      </c>
      <c r="C45" s="257"/>
      <c r="D45" s="160"/>
      <c r="E45" s="281" t="s">
        <v>123</v>
      </c>
      <c r="F45" s="282"/>
      <c r="G45" s="155">
        <v>2</v>
      </c>
      <c r="H45" s="151" t="s">
        <v>41</v>
      </c>
      <c r="I45" s="258">
        <v>5260</v>
      </c>
      <c r="J45" s="128">
        <f>G45*I45</f>
        <v>10520</v>
      </c>
      <c r="L45" s="24"/>
    </row>
    <row r="46" spans="2:12" s="3" customFormat="1" ht="18">
      <c r="B46" s="277" t="s">
        <v>79</v>
      </c>
      <c r="C46" s="249"/>
      <c r="D46" s="137"/>
      <c r="E46" s="281" t="s">
        <v>123</v>
      </c>
      <c r="F46" s="282"/>
      <c r="G46" s="155">
        <v>10</v>
      </c>
      <c r="H46" s="151" t="s">
        <v>80</v>
      </c>
      <c r="I46" s="258">
        <v>1100</v>
      </c>
      <c r="J46" s="128">
        <f>G46*I46</f>
        <v>11000</v>
      </c>
      <c r="L46" s="24"/>
    </row>
    <row r="47" spans="2:12" s="3" customFormat="1" ht="18">
      <c r="B47" s="277"/>
      <c r="C47" s="249"/>
      <c r="D47" s="137"/>
      <c r="E47" s="292"/>
      <c r="F47" s="293"/>
      <c r="G47" s="155"/>
      <c r="H47" s="151"/>
      <c r="I47" s="258"/>
      <c r="J47" s="128"/>
      <c r="L47" s="24"/>
    </row>
    <row r="48" spans="2:12" s="3" customFormat="1" ht="18">
      <c r="B48" s="260" t="s">
        <v>24</v>
      </c>
      <c r="C48" s="163"/>
      <c r="D48" s="163"/>
      <c r="E48" s="292"/>
      <c r="F48" s="293"/>
      <c r="G48" s="155"/>
      <c r="H48" s="151"/>
      <c r="I48" s="267"/>
      <c r="J48" s="128"/>
      <c r="L48" s="24"/>
    </row>
    <row r="49" spans="2:12" s="3" customFormat="1" ht="18">
      <c r="B49" s="277" t="s">
        <v>81</v>
      </c>
      <c r="C49" s="257"/>
      <c r="D49" s="247"/>
      <c r="E49" s="281" t="s">
        <v>119</v>
      </c>
      <c r="F49" s="282"/>
      <c r="G49" s="261">
        <v>500</v>
      </c>
      <c r="H49" s="151" t="s">
        <v>40</v>
      </c>
      <c r="I49" s="258">
        <v>400</v>
      </c>
      <c r="J49" s="128">
        <f>G49*I49</f>
        <v>200000</v>
      </c>
      <c r="L49" s="24"/>
    </row>
    <row r="50" spans="2:12" s="3" customFormat="1" ht="18">
      <c r="B50" s="277" t="s">
        <v>103</v>
      </c>
      <c r="C50" s="257"/>
      <c r="D50" s="247"/>
      <c r="E50" s="281" t="s">
        <v>115</v>
      </c>
      <c r="F50" s="282"/>
      <c r="G50" s="261">
        <v>400</v>
      </c>
      <c r="H50" s="151" t="s">
        <v>40</v>
      </c>
      <c r="I50" s="258">
        <v>410</v>
      </c>
      <c r="J50" s="128">
        <f>G50*I50</f>
        <v>164000</v>
      </c>
      <c r="L50" s="24"/>
    </row>
    <row r="51" spans="2:12" s="3" customFormat="1" ht="18">
      <c r="B51" s="157"/>
      <c r="C51" s="26"/>
      <c r="D51" s="247"/>
      <c r="E51" s="292"/>
      <c r="F51" s="293"/>
      <c r="G51" s="155"/>
      <c r="H51" s="151"/>
      <c r="I51" s="267"/>
      <c r="J51" s="128"/>
      <c r="L51" s="24"/>
    </row>
    <row r="52" spans="2:12" s="3" customFormat="1" ht="18">
      <c r="B52" s="260" t="s">
        <v>55</v>
      </c>
      <c r="C52" s="262"/>
      <c r="D52" s="173"/>
      <c r="E52" s="292"/>
      <c r="F52" s="293"/>
      <c r="G52" s="155"/>
      <c r="H52" s="151"/>
      <c r="I52" s="267"/>
      <c r="J52" s="128"/>
      <c r="L52" s="24"/>
    </row>
    <row r="53" spans="2:12" s="3" customFormat="1" ht="18">
      <c r="B53" s="277" t="s">
        <v>82</v>
      </c>
      <c r="C53" s="262"/>
      <c r="D53" s="173"/>
      <c r="E53" s="281" t="s">
        <v>124</v>
      </c>
      <c r="F53" s="282"/>
      <c r="G53" s="261">
        <v>375</v>
      </c>
      <c r="H53" s="151" t="s">
        <v>85</v>
      </c>
      <c r="I53" s="258">
        <v>20</v>
      </c>
      <c r="J53" s="128">
        <f>G53*I53</f>
        <v>7500</v>
      </c>
      <c r="L53" s="24"/>
    </row>
    <row r="54" spans="2:12" s="3" customFormat="1" ht="18">
      <c r="B54" s="277" t="s">
        <v>83</v>
      </c>
      <c r="C54" s="262"/>
      <c r="D54" s="247"/>
      <c r="E54" s="281" t="s">
        <v>125</v>
      </c>
      <c r="F54" s="282"/>
      <c r="G54" s="261">
        <v>0.5</v>
      </c>
      <c r="H54" s="151" t="s">
        <v>41</v>
      </c>
      <c r="I54" s="258">
        <v>19960</v>
      </c>
      <c r="J54" s="128">
        <f>G54*I54</f>
        <v>9980</v>
      </c>
      <c r="L54" s="24"/>
    </row>
    <row r="55" spans="2:12" s="3" customFormat="1" ht="18">
      <c r="B55" s="277" t="s">
        <v>84</v>
      </c>
      <c r="C55" s="257"/>
      <c r="D55" s="247"/>
      <c r="E55" s="281" t="s">
        <v>125</v>
      </c>
      <c r="F55" s="282"/>
      <c r="G55" s="261">
        <v>0.5</v>
      </c>
      <c r="H55" s="151" t="s">
        <v>41</v>
      </c>
      <c r="I55" s="258">
        <v>58900</v>
      </c>
      <c r="J55" s="128">
        <f>G55*I55</f>
        <v>29450</v>
      </c>
      <c r="L55" s="24"/>
    </row>
    <row r="56" spans="2:12" s="3" customFormat="1" ht="18">
      <c r="B56" s="259"/>
      <c r="C56" s="26"/>
      <c r="D56" s="247"/>
      <c r="E56" s="292"/>
      <c r="F56" s="293"/>
      <c r="G56" s="155"/>
      <c r="H56" s="151"/>
      <c r="I56" s="267"/>
      <c r="J56" s="128"/>
      <c r="L56" s="24"/>
    </row>
    <row r="57" spans="2:12" s="3" customFormat="1" ht="18">
      <c r="B57" s="162" t="s">
        <v>25</v>
      </c>
      <c r="C57" s="163"/>
      <c r="D57" s="163"/>
      <c r="E57" s="292"/>
      <c r="F57" s="293"/>
      <c r="G57" s="155"/>
      <c r="H57" s="151"/>
      <c r="I57" s="267"/>
      <c r="J57" s="128"/>
      <c r="L57" s="24"/>
    </row>
    <row r="58" spans="2:12" s="3" customFormat="1" ht="18">
      <c r="B58" s="277" t="s">
        <v>86</v>
      </c>
      <c r="C58" s="158"/>
      <c r="D58" s="158"/>
      <c r="E58" s="281" t="s">
        <v>124</v>
      </c>
      <c r="F58" s="282"/>
      <c r="G58" s="168">
        <v>0.2</v>
      </c>
      <c r="H58" s="261" t="s">
        <v>41</v>
      </c>
      <c r="I58" s="258">
        <v>60600</v>
      </c>
      <c r="J58" s="128">
        <f aca="true" t="shared" si="3" ref="J58:J63">G58*I58</f>
        <v>12120</v>
      </c>
      <c r="L58" s="24"/>
    </row>
    <row r="59" spans="2:12" s="3" customFormat="1" ht="18">
      <c r="B59" s="277" t="s">
        <v>87</v>
      </c>
      <c r="C59" s="158"/>
      <c r="D59" s="158"/>
      <c r="E59" s="281" t="s">
        <v>125</v>
      </c>
      <c r="F59" s="282"/>
      <c r="G59" s="168">
        <v>0.2</v>
      </c>
      <c r="H59" s="261" t="s">
        <v>41</v>
      </c>
      <c r="I59" s="258">
        <v>39500</v>
      </c>
      <c r="J59" s="128">
        <f>G59*I59</f>
        <v>7900</v>
      </c>
      <c r="L59" s="24"/>
    </row>
    <row r="60" spans="2:12" s="3" customFormat="1" ht="18">
      <c r="B60" s="157"/>
      <c r="C60" s="158"/>
      <c r="D60" s="158"/>
      <c r="E60" s="292"/>
      <c r="F60" s="293"/>
      <c r="G60" s="168"/>
      <c r="H60" s="153"/>
      <c r="I60" s="267"/>
      <c r="J60" s="128"/>
      <c r="L60" s="24"/>
    </row>
    <row r="61" spans="2:12" s="3" customFormat="1" ht="18">
      <c r="B61" s="164" t="s">
        <v>54</v>
      </c>
      <c r="C61" s="156"/>
      <c r="D61" s="170"/>
      <c r="E61" s="292"/>
      <c r="F61" s="293"/>
      <c r="G61" s="168"/>
      <c r="H61" s="153"/>
      <c r="I61" s="267"/>
      <c r="J61" s="128"/>
      <c r="L61" s="24"/>
    </row>
    <row r="62" spans="2:12" s="3" customFormat="1" ht="18">
      <c r="B62" s="277" t="s">
        <v>88</v>
      </c>
      <c r="C62" s="249"/>
      <c r="D62" s="173"/>
      <c r="E62" s="281" t="s">
        <v>126</v>
      </c>
      <c r="F62" s="282"/>
      <c r="G62" s="261">
        <v>10</v>
      </c>
      <c r="H62" s="264" t="s">
        <v>85</v>
      </c>
      <c r="I62" s="258">
        <v>1100</v>
      </c>
      <c r="J62" s="128">
        <f t="shared" si="3"/>
        <v>11000</v>
      </c>
      <c r="L62" s="24"/>
    </row>
    <row r="63" spans="2:12" s="3" customFormat="1" ht="18">
      <c r="B63" s="277" t="s">
        <v>89</v>
      </c>
      <c r="C63" s="257"/>
      <c r="D63" s="173"/>
      <c r="E63" s="281" t="s">
        <v>126</v>
      </c>
      <c r="F63" s="282"/>
      <c r="G63" s="263">
        <v>1</v>
      </c>
      <c r="H63" s="264" t="s">
        <v>41</v>
      </c>
      <c r="I63" s="258">
        <v>12000</v>
      </c>
      <c r="J63" s="128">
        <f t="shared" si="3"/>
        <v>12000</v>
      </c>
      <c r="L63" s="24"/>
    </row>
    <row r="64" spans="2:12" s="3" customFormat="1" ht="19.5" customHeight="1">
      <c r="B64" s="157"/>
      <c r="C64" s="158"/>
      <c r="D64" s="158"/>
      <c r="E64" s="292"/>
      <c r="F64" s="293"/>
      <c r="G64" s="168"/>
      <c r="H64" s="153"/>
      <c r="I64" s="267"/>
      <c r="J64" s="128"/>
      <c r="L64" s="24"/>
    </row>
    <row r="65" spans="2:12" s="3" customFormat="1" ht="18">
      <c r="B65" s="162" t="s">
        <v>90</v>
      </c>
      <c r="C65" s="158"/>
      <c r="D65" s="158"/>
      <c r="E65" s="292"/>
      <c r="F65" s="293"/>
      <c r="G65" s="168"/>
      <c r="H65" s="153"/>
      <c r="I65" s="267"/>
      <c r="J65" s="128"/>
      <c r="L65" s="24"/>
    </row>
    <row r="66" spans="2:12" s="3" customFormat="1" ht="18" customHeight="1">
      <c r="B66" s="291" t="s">
        <v>99</v>
      </c>
      <c r="C66" s="161"/>
      <c r="D66" s="161"/>
      <c r="E66" s="294" t="s">
        <v>127</v>
      </c>
      <c r="F66" s="295"/>
      <c r="G66" s="169">
        <v>1</v>
      </c>
      <c r="H66" s="154" t="s">
        <v>42</v>
      </c>
      <c r="I66" s="268">
        <v>18000</v>
      </c>
      <c r="J66" s="133">
        <f>G66*I66</f>
        <v>18000</v>
      </c>
      <c r="L66" s="24"/>
    </row>
    <row r="67" spans="2:14" ht="18">
      <c r="B67" s="197" t="s">
        <v>11</v>
      </c>
      <c r="C67" s="198"/>
      <c r="D67" s="198"/>
      <c r="E67" s="198"/>
      <c r="F67" s="198"/>
      <c r="G67" s="198"/>
      <c r="H67" s="198"/>
      <c r="I67" s="198"/>
      <c r="J67" s="125">
        <f>SUM(J42:J66)</f>
        <v>565470</v>
      </c>
      <c r="K67" s="16"/>
      <c r="M67" s="16"/>
      <c r="N67" s="16"/>
    </row>
    <row r="68" spans="2:14" s="3" customFormat="1" ht="18">
      <c r="B68" s="29"/>
      <c r="C68" s="29"/>
      <c r="D68" s="29"/>
      <c r="E68" s="29"/>
      <c r="F68" s="29"/>
      <c r="G68" s="30"/>
      <c r="H68" s="29"/>
      <c r="I68" s="29"/>
      <c r="J68" s="31"/>
      <c r="K68" s="16"/>
      <c r="M68" s="16"/>
      <c r="N68" s="16"/>
    </row>
    <row r="69" spans="2:16" ht="18" customHeight="1">
      <c r="B69" s="199" t="s">
        <v>45</v>
      </c>
      <c r="C69" s="200"/>
      <c r="D69" s="200"/>
      <c r="E69" s="233"/>
      <c r="F69" s="233"/>
      <c r="G69" s="143" t="s">
        <v>5</v>
      </c>
      <c r="H69" s="144" t="s">
        <v>6</v>
      </c>
      <c r="I69" s="145"/>
      <c r="J69" s="146" t="s">
        <v>1</v>
      </c>
      <c r="K69" s="16"/>
      <c r="M69" s="16"/>
      <c r="N69" s="16"/>
      <c r="O69" s="9"/>
      <c r="P69" s="9"/>
    </row>
    <row r="70" spans="2:14" s="3" customFormat="1" ht="18">
      <c r="B70" s="296" t="s">
        <v>53</v>
      </c>
      <c r="C70" s="297"/>
      <c r="D70" s="298"/>
      <c r="E70" s="299"/>
      <c r="F70" s="300"/>
      <c r="G70" s="301">
        <v>0.05</v>
      </c>
      <c r="H70" s="302" t="s">
        <v>37</v>
      </c>
      <c r="I70" s="303"/>
      <c r="J70" s="304">
        <f>(J28+J39+J67)*G70</f>
        <v>43843.5</v>
      </c>
      <c r="K70" s="16"/>
      <c r="M70" s="16"/>
      <c r="N70" s="16"/>
    </row>
    <row r="71" spans="11:14" s="3" customFormat="1" ht="18">
      <c r="K71" s="16"/>
      <c r="M71" s="16"/>
      <c r="N71" s="16"/>
    </row>
    <row r="72" spans="2:14" s="3" customFormat="1" ht="18">
      <c r="B72" s="201" t="s">
        <v>46</v>
      </c>
      <c r="C72" s="202"/>
      <c r="D72" s="202"/>
      <c r="E72" s="202"/>
      <c r="F72" s="202"/>
      <c r="G72" s="202"/>
      <c r="H72" s="202"/>
      <c r="I72" s="202"/>
      <c r="J72" s="104">
        <f>J28+J39+J67+J70</f>
        <v>920713.5</v>
      </c>
      <c r="K72" s="16"/>
      <c r="M72" s="16"/>
      <c r="N72" s="16"/>
    </row>
    <row r="73" spans="2:14" s="3" customFormat="1" ht="18">
      <c r="B73" s="131"/>
      <c r="C73" s="131"/>
      <c r="D73" s="131"/>
      <c r="E73" s="131"/>
      <c r="F73" s="131"/>
      <c r="G73" s="32"/>
      <c r="H73" s="131"/>
      <c r="I73" s="131"/>
      <c r="J73" s="27"/>
      <c r="K73" s="16"/>
      <c r="M73" s="16"/>
      <c r="N73" s="16"/>
    </row>
    <row r="74" spans="2:14" s="3" customFormat="1" ht="20.25">
      <c r="B74" s="120" t="s">
        <v>48</v>
      </c>
      <c r="C74" s="119"/>
      <c r="D74" s="119"/>
      <c r="E74" s="20"/>
      <c r="F74" s="20"/>
      <c r="G74" s="21"/>
      <c r="H74" s="22"/>
      <c r="I74" s="23"/>
      <c r="J74" s="23"/>
      <c r="K74" s="16"/>
      <c r="M74" s="16"/>
      <c r="N74" s="16"/>
    </row>
    <row r="75" spans="2:14" s="3" customFormat="1" ht="18" customHeight="1">
      <c r="B75" s="315" t="s">
        <v>31</v>
      </c>
      <c r="C75" s="316"/>
      <c r="D75" s="316"/>
      <c r="E75" s="350"/>
      <c r="F75" s="350"/>
      <c r="G75" s="143" t="s">
        <v>5</v>
      </c>
      <c r="H75" s="144" t="s">
        <v>6</v>
      </c>
      <c r="I75" s="145"/>
      <c r="J75" s="146" t="s">
        <v>1</v>
      </c>
      <c r="K75" s="16"/>
      <c r="M75" s="16"/>
      <c r="N75" s="16"/>
    </row>
    <row r="76" spans="2:15" s="3" customFormat="1" ht="18" customHeight="1">
      <c r="B76" s="305" t="s">
        <v>100</v>
      </c>
      <c r="C76" s="190"/>
      <c r="D76" s="190"/>
      <c r="E76" s="236"/>
      <c r="F76" s="237"/>
      <c r="G76" s="171">
        <f>E16</f>
        <v>0.015</v>
      </c>
      <c r="H76" s="172" t="s">
        <v>37</v>
      </c>
      <c r="I76" s="192"/>
      <c r="J76" s="11">
        <f>J72*E16*E17*0.5</f>
        <v>62148.16125</v>
      </c>
      <c r="K76" s="16"/>
      <c r="L76" s="346"/>
      <c r="M76" s="346"/>
      <c r="N76" s="346"/>
      <c r="O76" s="346"/>
    </row>
    <row r="77" spans="2:18" ht="18" customHeight="1" outlineLevel="1">
      <c r="B77" s="157" t="s">
        <v>58</v>
      </c>
      <c r="C77" s="158"/>
      <c r="D77" s="158"/>
      <c r="E77" s="188"/>
      <c r="F77" s="182"/>
      <c r="G77" s="183"/>
      <c r="H77" s="190"/>
      <c r="I77" s="193"/>
      <c r="J77" s="184"/>
      <c r="L77"/>
      <c r="M77"/>
      <c r="N77"/>
      <c r="O77"/>
      <c r="P77"/>
      <c r="Q77"/>
      <c r="R77"/>
    </row>
    <row r="78" spans="2:18" ht="18" customHeight="1" outlineLevel="1">
      <c r="B78" s="157" t="s">
        <v>59</v>
      </c>
      <c r="C78" s="158"/>
      <c r="D78" s="158"/>
      <c r="E78" s="188"/>
      <c r="F78" s="182"/>
      <c r="G78" s="183"/>
      <c r="H78" s="190"/>
      <c r="I78" s="193"/>
      <c r="J78" s="184"/>
      <c r="L78"/>
      <c r="M78"/>
      <c r="N78"/>
      <c r="O78"/>
      <c r="P78"/>
      <c r="Q78"/>
      <c r="R78"/>
    </row>
    <row r="79" spans="2:18" ht="18" customHeight="1" outlineLevel="1">
      <c r="B79" s="82" t="s">
        <v>60</v>
      </c>
      <c r="C79" s="129"/>
      <c r="D79" s="129"/>
      <c r="E79" s="189"/>
      <c r="F79" s="185"/>
      <c r="G79" s="186"/>
      <c r="H79" s="191"/>
      <c r="I79" s="194"/>
      <c r="J79" s="187"/>
      <c r="L79"/>
      <c r="M79"/>
      <c r="N79"/>
      <c r="O79"/>
      <c r="P79"/>
      <c r="Q79"/>
      <c r="R79"/>
    </row>
    <row r="80" spans="2:14" ht="18">
      <c r="B80" s="203" t="s">
        <v>28</v>
      </c>
      <c r="C80" s="204"/>
      <c r="D80" s="204"/>
      <c r="E80" s="204"/>
      <c r="F80" s="204"/>
      <c r="G80" s="204"/>
      <c r="H80" s="204"/>
      <c r="I80" s="204"/>
      <c r="J80" s="104">
        <f>SUM(J76:J79)</f>
        <v>62148.16125</v>
      </c>
      <c r="K80" s="16"/>
      <c r="M80" s="16"/>
      <c r="N80" s="16"/>
    </row>
    <row r="81" spans="2:12" s="3" customFormat="1" ht="18">
      <c r="B81" s="84"/>
      <c r="C81" s="84"/>
      <c r="D81" s="84"/>
      <c r="E81" s="84"/>
      <c r="F81" s="84"/>
      <c r="G81" s="25"/>
      <c r="H81" s="84"/>
      <c r="I81" s="84"/>
      <c r="J81" s="27"/>
      <c r="K81" s="16"/>
      <c r="L81" s="16"/>
    </row>
    <row r="82" spans="2:12" ht="18">
      <c r="B82" s="205" t="s">
        <v>13</v>
      </c>
      <c r="C82" s="206"/>
      <c r="D82" s="206"/>
      <c r="E82" s="206"/>
      <c r="F82" s="206"/>
      <c r="G82" s="206"/>
      <c r="H82" s="206"/>
      <c r="I82" s="206"/>
      <c r="J82" s="209">
        <f>J72+J80</f>
        <v>982861.66125</v>
      </c>
      <c r="K82" s="16"/>
      <c r="L82" s="16"/>
    </row>
    <row r="83" spans="2:12" s="3" customFormat="1" ht="18">
      <c r="B83" s="207"/>
      <c r="C83" s="208"/>
      <c r="D83" s="208"/>
      <c r="E83" s="208"/>
      <c r="F83" s="208"/>
      <c r="G83" s="208"/>
      <c r="H83" s="208"/>
      <c r="I83" s="208"/>
      <c r="J83" s="210"/>
      <c r="K83" s="16"/>
      <c r="L83" s="16"/>
    </row>
    <row r="84" spans="2:12" s="3" customFormat="1" ht="18" customHeight="1">
      <c r="B84" s="135"/>
      <c r="C84" s="135"/>
      <c r="D84" s="135"/>
      <c r="E84" s="135"/>
      <c r="F84" s="135"/>
      <c r="G84" s="135"/>
      <c r="H84" s="135"/>
      <c r="I84" s="135"/>
      <c r="J84" s="136"/>
      <c r="K84" s="16"/>
      <c r="L84" s="16"/>
    </row>
    <row r="85" spans="2:12" ht="18" customHeight="1">
      <c r="B85" s="327" t="s">
        <v>101</v>
      </c>
      <c r="C85" s="328"/>
      <c r="D85" s="328"/>
      <c r="E85" s="328"/>
      <c r="F85" s="328"/>
      <c r="G85" s="328"/>
      <c r="H85" s="328"/>
      <c r="I85" s="328"/>
      <c r="J85" s="329"/>
      <c r="K85" s="16"/>
      <c r="L85" s="24"/>
    </row>
    <row r="86" spans="2:12" ht="18" customHeight="1">
      <c r="B86" s="339" t="s">
        <v>43</v>
      </c>
      <c r="C86" s="340"/>
      <c r="D86" s="340"/>
      <c r="E86" s="340"/>
      <c r="F86" s="340"/>
      <c r="G86" s="340"/>
      <c r="H86" s="340"/>
      <c r="I86" s="340"/>
      <c r="J86" s="341"/>
      <c r="K86" s="16"/>
      <c r="L86" s="24"/>
    </row>
    <row r="87" spans="2:12" s="3" customFormat="1" ht="18" customHeight="1">
      <c r="B87" s="246" t="s">
        <v>106</v>
      </c>
      <c r="C87" s="238"/>
      <c r="D87" s="239"/>
      <c r="E87" s="245" t="s">
        <v>108</v>
      </c>
      <c r="F87" s="243"/>
      <c r="G87" s="243"/>
      <c r="H87" s="243"/>
      <c r="I87" s="243"/>
      <c r="J87" s="244"/>
      <c r="K87" s="16"/>
      <c r="L87" s="24"/>
    </row>
    <row r="88" spans="2:12" s="3" customFormat="1" ht="18" customHeight="1">
      <c r="B88" s="240"/>
      <c r="C88" s="241"/>
      <c r="D88" s="242"/>
      <c r="E88" s="215">
        <f>G88*0.9</f>
        <v>16245</v>
      </c>
      <c r="F88" s="212"/>
      <c r="G88" s="217">
        <f>E14</f>
        <v>18050</v>
      </c>
      <c r="H88" s="213"/>
      <c r="I88" s="215">
        <f>G88*1.1</f>
        <v>19855</v>
      </c>
      <c r="J88" s="212"/>
      <c r="K88" s="16"/>
      <c r="L88" s="24"/>
    </row>
    <row r="89" spans="2:12" s="3" customFormat="1" ht="18" customHeight="1">
      <c r="B89" s="211"/>
      <c r="C89" s="218">
        <f>+C90*0.9</f>
        <v>63</v>
      </c>
      <c r="D89" s="212"/>
      <c r="E89" s="216">
        <f>E$88*$C$89-$J$82</f>
        <v>40573.338749999995</v>
      </c>
      <c r="F89" s="214"/>
      <c r="G89" s="216">
        <f>G$88*$C$89-$J$82</f>
        <v>154288.33875</v>
      </c>
      <c r="H89" s="214"/>
      <c r="I89" s="216">
        <f>I$88*$C$89-$J$82</f>
        <v>268003.33875</v>
      </c>
      <c r="J89" s="214"/>
      <c r="K89" s="16"/>
      <c r="L89" s="24"/>
    </row>
    <row r="90" spans="2:12" s="3" customFormat="1" ht="18" customHeight="1">
      <c r="B90" s="211"/>
      <c r="C90" s="218">
        <f>+E13</f>
        <v>70</v>
      </c>
      <c r="D90" s="212"/>
      <c r="E90" s="216">
        <f>E$88*$C$90-$J$82</f>
        <v>154288.33875</v>
      </c>
      <c r="F90" s="214"/>
      <c r="G90" s="216">
        <f>G$88*$C$90-$J$82</f>
        <v>280638.33875</v>
      </c>
      <c r="H90" s="214"/>
      <c r="I90" s="216">
        <f>I$88*$C$90-$J$82</f>
        <v>406988.33875</v>
      </c>
      <c r="J90" s="214"/>
      <c r="K90" s="16"/>
      <c r="L90" s="24"/>
    </row>
    <row r="91" spans="2:12" s="3" customFormat="1" ht="18" customHeight="1">
      <c r="B91" s="211"/>
      <c r="C91" s="218">
        <f>+C90*1.1</f>
        <v>77</v>
      </c>
      <c r="D91" s="212"/>
      <c r="E91" s="216">
        <f>E$88*$C$91-$J$82</f>
        <v>268003.33875</v>
      </c>
      <c r="F91" s="214"/>
      <c r="G91" s="216">
        <f>G$88*$C$91-$J$82</f>
        <v>406988.33875</v>
      </c>
      <c r="H91" s="214"/>
      <c r="I91" s="216">
        <f>I$88*$C$91-$J$82</f>
        <v>545973.33875</v>
      </c>
      <c r="J91" s="214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333" t="s">
        <v>129</v>
      </c>
      <c r="C93" s="334"/>
      <c r="D93" s="334"/>
      <c r="E93" s="334"/>
      <c r="F93" s="334"/>
      <c r="G93" s="334"/>
      <c r="H93" s="334"/>
      <c r="I93" s="334"/>
      <c r="J93" s="335"/>
      <c r="K93" s="16"/>
      <c r="L93" s="24"/>
    </row>
    <row r="94" spans="2:12" s="3" customFormat="1" ht="18" customHeight="1">
      <c r="B94" s="336"/>
      <c r="C94" s="337"/>
      <c r="D94" s="337"/>
      <c r="E94" s="337"/>
      <c r="F94" s="337"/>
      <c r="G94" s="337"/>
      <c r="H94" s="337"/>
      <c r="I94" s="337"/>
      <c r="J94" s="338"/>
      <c r="K94" s="16"/>
      <c r="L94" s="24"/>
    </row>
    <row r="95" spans="2:12" s="3" customFormat="1" ht="18" customHeight="1">
      <c r="B95" s="219" t="s">
        <v>106</v>
      </c>
      <c r="C95" s="220"/>
      <c r="D95" s="220"/>
      <c r="E95" s="179">
        <f>G95*0.9</f>
        <v>63</v>
      </c>
      <c r="F95" s="220"/>
      <c r="G95" s="179">
        <f>E13</f>
        <v>70</v>
      </c>
      <c r="H95" s="220"/>
      <c r="I95" s="179">
        <f>G95*1.1</f>
        <v>77</v>
      </c>
      <c r="J95" s="227"/>
      <c r="K95" s="16"/>
      <c r="L95" s="24"/>
    </row>
    <row r="96" spans="2:12" ht="18" customHeight="1">
      <c r="B96" s="221"/>
      <c r="C96" s="222"/>
      <c r="D96" s="222"/>
      <c r="E96" s="180"/>
      <c r="F96" s="222"/>
      <c r="G96" s="180"/>
      <c r="H96" s="222"/>
      <c r="I96" s="180"/>
      <c r="J96" s="228"/>
      <c r="K96" s="16"/>
      <c r="L96" s="24"/>
    </row>
    <row r="97" spans="2:12" ht="18" customHeight="1">
      <c r="B97" s="223" t="s">
        <v>107</v>
      </c>
      <c r="C97" s="224"/>
      <c r="D97" s="224"/>
      <c r="E97" s="178">
        <f>$J$82/E95</f>
        <v>15600.97875</v>
      </c>
      <c r="F97" s="229"/>
      <c r="G97" s="178">
        <f>$J$82/G95</f>
        <v>14040.880875</v>
      </c>
      <c r="H97" s="229"/>
      <c r="I97" s="178">
        <f>$J$82/I95</f>
        <v>12764.437159090909</v>
      </c>
      <c r="J97" s="231"/>
      <c r="K97" s="16"/>
      <c r="L97" s="24"/>
    </row>
    <row r="98" spans="2:12" ht="18" customHeight="1">
      <c r="B98" s="225"/>
      <c r="C98" s="226"/>
      <c r="D98" s="226"/>
      <c r="E98" s="230"/>
      <c r="F98" s="230"/>
      <c r="G98" s="230"/>
      <c r="H98" s="230"/>
      <c r="I98" s="230"/>
      <c r="J98" s="232"/>
      <c r="K98" s="16"/>
      <c r="L98" s="24"/>
    </row>
    <row r="99" spans="2:12" ht="18" customHeight="1">
      <c r="B99" s="46"/>
      <c r="C99" s="1"/>
      <c r="D99" s="3"/>
      <c r="E99" s="3"/>
      <c r="F99" s="105"/>
      <c r="G99" s="105"/>
      <c r="H99" s="105"/>
      <c r="I99" s="15"/>
      <c r="J99" s="15"/>
      <c r="K99" s="16"/>
      <c r="L99" s="24"/>
    </row>
    <row r="100" spans="2:11" s="3" customFormat="1" ht="18" customHeight="1">
      <c r="B100" s="347" t="s">
        <v>15</v>
      </c>
      <c r="C100" s="348"/>
      <c r="D100" s="348"/>
      <c r="E100" s="348"/>
      <c r="F100" s="348"/>
      <c r="G100" s="348"/>
      <c r="H100" s="348"/>
      <c r="I100" s="348"/>
      <c r="J100" s="349"/>
      <c r="K100" s="80"/>
    </row>
    <row r="101" spans="2:14" s="3" customFormat="1" ht="18.75" customHeight="1">
      <c r="B101" s="318" t="s">
        <v>102</v>
      </c>
      <c r="C101" s="319"/>
      <c r="D101" s="319"/>
      <c r="E101" s="319"/>
      <c r="F101" s="319"/>
      <c r="G101" s="319"/>
      <c r="H101" s="319"/>
      <c r="I101" s="319"/>
      <c r="J101" s="320"/>
      <c r="K101" s="80"/>
      <c r="N101" s="106"/>
    </row>
    <row r="102" spans="2:11" s="3" customFormat="1" ht="15.75" customHeight="1">
      <c r="B102" s="318" t="s">
        <v>91</v>
      </c>
      <c r="C102" s="319"/>
      <c r="D102" s="319"/>
      <c r="E102" s="319"/>
      <c r="F102" s="319"/>
      <c r="G102" s="319"/>
      <c r="H102" s="319"/>
      <c r="I102" s="319"/>
      <c r="J102" s="320"/>
      <c r="K102" s="81"/>
    </row>
    <row r="103" spans="2:11" s="3" customFormat="1" ht="45" customHeight="1">
      <c r="B103" s="318" t="s">
        <v>92</v>
      </c>
      <c r="C103" s="319"/>
      <c r="D103" s="319"/>
      <c r="E103" s="319"/>
      <c r="F103" s="319"/>
      <c r="G103" s="319"/>
      <c r="H103" s="319"/>
      <c r="I103" s="319"/>
      <c r="J103" s="320"/>
      <c r="K103" s="81"/>
    </row>
    <row r="104" spans="2:11" s="3" customFormat="1" ht="18">
      <c r="B104" s="321" t="s">
        <v>93</v>
      </c>
      <c r="C104" s="322"/>
      <c r="D104" s="322"/>
      <c r="E104" s="322"/>
      <c r="F104" s="322"/>
      <c r="G104" s="322"/>
      <c r="H104" s="322"/>
      <c r="I104" s="322"/>
      <c r="J104" s="323"/>
      <c r="K104" s="80"/>
    </row>
    <row r="105" spans="2:11" s="3" customFormat="1" ht="18" customHeight="1">
      <c r="B105" s="318" t="s">
        <v>95</v>
      </c>
      <c r="C105" s="319"/>
      <c r="D105" s="319"/>
      <c r="E105" s="319"/>
      <c r="F105" s="319"/>
      <c r="G105" s="319"/>
      <c r="H105" s="319"/>
      <c r="I105" s="319"/>
      <c r="J105" s="320"/>
      <c r="K105" s="80"/>
    </row>
    <row r="106" spans="2:11" s="3" customFormat="1" ht="18">
      <c r="B106" s="324" t="s">
        <v>94</v>
      </c>
      <c r="C106" s="325"/>
      <c r="D106" s="325"/>
      <c r="E106" s="325"/>
      <c r="F106" s="325"/>
      <c r="G106" s="325"/>
      <c r="H106" s="325"/>
      <c r="I106" s="325"/>
      <c r="J106" s="326"/>
      <c r="K106" s="80"/>
    </row>
    <row r="107" spans="2:11" s="3" customFormat="1" ht="18.75" customHeight="1">
      <c r="B107" s="330" t="s">
        <v>96</v>
      </c>
      <c r="C107" s="331"/>
      <c r="D107" s="331"/>
      <c r="E107" s="331"/>
      <c r="F107" s="331"/>
      <c r="G107" s="331"/>
      <c r="H107" s="331"/>
      <c r="I107" s="331"/>
      <c r="J107" s="332"/>
      <c r="K107" s="80"/>
    </row>
    <row r="108" spans="2:11" s="3" customFormat="1" ht="18" customHeight="1">
      <c r="B108" s="138"/>
      <c r="C108" s="138"/>
      <c r="D108" s="138"/>
      <c r="E108" s="138"/>
      <c r="F108" s="138"/>
      <c r="G108" s="138"/>
      <c r="H108" s="138"/>
      <c r="I108" s="138"/>
      <c r="J108" s="138"/>
      <c r="K108" s="81"/>
    </row>
    <row r="109" spans="2:11" s="3" customFormat="1" ht="18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3"/>
    </row>
    <row r="110" spans="2:11" s="3" customFormat="1" ht="16.5" customHeight="1">
      <c r="B110" s="39"/>
      <c r="C110" s="39"/>
      <c r="D110" s="39"/>
      <c r="E110" s="39"/>
      <c r="F110" s="39"/>
      <c r="G110" s="40"/>
      <c r="H110" s="39"/>
      <c r="I110" s="39"/>
      <c r="J110" s="39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ht="18">
      <c r="B119" s="56"/>
      <c r="C119" s="56"/>
      <c r="D119" s="57"/>
      <c r="E119" s="57"/>
      <c r="F119" s="58"/>
      <c r="G119" s="58"/>
      <c r="H119" s="58"/>
      <c r="I119" s="67"/>
      <c r="J119" s="67"/>
      <c r="K119" s="69"/>
      <c r="L119" s="67"/>
    </row>
    <row r="120" spans="2:12" ht="18">
      <c r="B120" s="56"/>
      <c r="C120" s="59"/>
      <c r="D120" s="59"/>
      <c r="E120" s="60"/>
      <c r="F120" s="59"/>
      <c r="G120" s="61"/>
      <c r="H120" s="62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64"/>
      <c r="C125" s="65"/>
      <c r="D125" s="65"/>
      <c r="E125" s="64"/>
      <c r="F125" s="64"/>
      <c r="G125" s="64"/>
      <c r="H125" s="66"/>
      <c r="I125" s="67"/>
      <c r="J125" s="67"/>
      <c r="K125" s="69"/>
      <c r="L125" s="67"/>
    </row>
    <row r="126" spans="2:12" ht="18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317"/>
      <c r="C130" s="317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77"/>
      <c r="C154" s="77"/>
      <c r="D154" s="77"/>
      <c r="E154" s="77"/>
      <c r="F154" s="7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9"/>
      <c r="F157" s="69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9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8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69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78"/>
      <c r="H178" s="69"/>
      <c r="I178" s="69"/>
      <c r="J178" s="67"/>
      <c r="K178" s="69"/>
      <c r="L178" s="78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7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</sheetData>
  <sheetProtection/>
  <mergeCells count="22">
    <mergeCell ref="B105:J105"/>
    <mergeCell ref="E20:F20"/>
    <mergeCell ref="D6:J6"/>
    <mergeCell ref="L76:O76"/>
    <mergeCell ref="B100:J100"/>
    <mergeCell ref="E75:F75"/>
    <mergeCell ref="B130:C130"/>
    <mergeCell ref="B101:J101"/>
    <mergeCell ref="B104:J104"/>
    <mergeCell ref="B106:J106"/>
    <mergeCell ref="B85:J85"/>
    <mergeCell ref="B107:J107"/>
    <mergeCell ref="B102:J102"/>
    <mergeCell ref="B93:J94"/>
    <mergeCell ref="B86:J86"/>
    <mergeCell ref="B103:J103"/>
    <mergeCell ref="D2:J2"/>
    <mergeCell ref="D3:J3"/>
    <mergeCell ref="D4:J4"/>
    <mergeCell ref="B12:E12"/>
    <mergeCell ref="G12:J12"/>
    <mergeCell ref="B75:D7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ignoredErrors>
    <ignoredError sqref="G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(('Trigo prim Arauc seca. tec. alt'!E13-45000)/45000)+1</f>
        <v>0.0015555555555555323</v>
      </c>
    </row>
    <row r="3" ht="18">
      <c r="B3" s="13"/>
    </row>
    <row r="4" spans="2:3" ht="18">
      <c r="B4" s="351" t="s">
        <v>18</v>
      </c>
      <c r="C4" s="351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2" t="s">
        <v>14</v>
      </c>
      <c r="C14" s="352"/>
      <c r="D14" s="352"/>
    </row>
    <row r="16" spans="2:4" ht="18">
      <c r="B16" s="49" t="s">
        <v>16</v>
      </c>
      <c r="C16" s="48">
        <f>'Trigo prim Arauc seca. tec. alt'!B89</f>
        <v>0</v>
      </c>
      <c r="D16" s="48">
        <f>'Trigo prim Arauc seca. tec. alt'!B91</f>
        <v>0</v>
      </c>
    </row>
    <row r="17" ht="15">
      <c r="B17" s="24"/>
    </row>
    <row r="18" spans="2:4" ht="15">
      <c r="B18" s="47" t="s">
        <v>17</v>
      </c>
      <c r="C18" s="50">
        <f>((C16-'Trigo prim Arauc seca. tec. alt'!E13)/'Trigo prim Arauc seca. tec. alt'!E13)+1</f>
        <v>0</v>
      </c>
      <c r="D18" s="50">
        <f>((D16-'Trigo prim Arauc seca. tec. alt'!E13)/'Trigo prim Arauc seca. tec. alt'!E13)+1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SUM('Trigo prim Arauc seca. tec. alt'!J22:J26)</f>
        <v>39200</v>
      </c>
      <c r="D21" s="9">
        <f>SUM('Trigo prim Arauc seca. tec. alt'!J22:J26)</f>
        <v>39200</v>
      </c>
    </row>
    <row r="22" spans="2:4" ht="18">
      <c r="B22" s="51" t="s">
        <v>20</v>
      </c>
      <c r="C22" s="52">
        <f>C18*'Trigo prim Arauc seca. tec. alt'!G27*'Trigo prim Arauc seca. tec. alt'!I27</f>
        <v>0</v>
      </c>
      <c r="D22" s="52">
        <f>D18*'Trigo prim Arauc seca. tec. alt'!G27*'Trigo prim Arauc seca. tec. alt'!I27</f>
        <v>0</v>
      </c>
    </row>
    <row r="23" spans="2:4" ht="18">
      <c r="B23" s="17" t="s">
        <v>21</v>
      </c>
      <c r="C23" s="9">
        <f>SUM(C21:C22)</f>
        <v>39200</v>
      </c>
      <c r="D23" s="9">
        <f>SUM(D21:D22)</f>
        <v>39200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SUM('Trigo prim Arauc seca. tec. alt'!J31:J38)</f>
        <v>263800</v>
      </c>
      <c r="D26" s="9">
        <f>SUM('Trigo prim Arauc seca. tec. alt'!J31:J38)</f>
        <v>263800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263800</v>
      </c>
      <c r="D28" s="9">
        <f>SUM(D26:D27)</f>
        <v>263800</v>
      </c>
    </row>
    <row r="30" ht="18">
      <c r="B30" s="49" t="s">
        <v>22</v>
      </c>
    </row>
    <row r="31" spans="2:4" ht="18">
      <c r="B31" s="17" t="s">
        <v>19</v>
      </c>
      <c r="C31" s="9">
        <f>SUM('Trigo prim Arauc seca. tec. alt'!J42:J66)</f>
        <v>565470</v>
      </c>
      <c r="D31" s="9">
        <f>SUM('Trigo prim Arauc seca. tec. alt'!J42:J66)</f>
        <v>565470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565470</v>
      </c>
      <c r="D33" s="9">
        <f>SUM(D31:D32)</f>
        <v>565470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868470</v>
      </c>
      <c r="D35" s="55">
        <f>D23+D28+D33</f>
        <v>868470</v>
      </c>
    </row>
    <row r="36" ht="15">
      <c r="B36" s="24"/>
    </row>
    <row r="37" spans="2:4" ht="18">
      <c r="B37" s="53" t="s">
        <v>0</v>
      </c>
      <c r="C37" s="9">
        <f>C35*'Trigo prim Arauc seca. tec. alt'!G70</f>
        <v>43423.5</v>
      </c>
      <c r="D37" s="9">
        <f>D35*D18*'Trigo prim Arauc seca. tec. alt'!G70</f>
        <v>0</v>
      </c>
    </row>
    <row r="38" spans="2:4" ht="18">
      <c r="B38" s="53" t="s">
        <v>12</v>
      </c>
      <c r="C38" s="9">
        <f>C35*'Trigo prim Arauc seca. tec. alt'!E16*'Trigo prim Arauc seca. tec. alt'!E17*0.5</f>
        <v>58621.725</v>
      </c>
      <c r="D38" s="9">
        <f>D35*'Trigo prim Arauc seca. tec. alt'!E16*'Trigo prim Arauc seca. tec. alt'!E17*0.5</f>
        <v>58621.725</v>
      </c>
    </row>
    <row r="39" ht="15">
      <c r="B39" s="24"/>
    </row>
    <row r="40" spans="2:4" ht="18">
      <c r="B40" s="54" t="s">
        <v>13</v>
      </c>
      <c r="C40" s="55">
        <f>C35+C37+C38</f>
        <v>970515.225</v>
      </c>
      <c r="D40" s="55">
        <f>D35+D37+D38</f>
        <v>927091.725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2019-10-01T18:38:10Z</dcterms:modified>
  <cp:category/>
  <cp:version/>
  <cp:contentType/>
  <cp:contentStatus/>
</cp:coreProperties>
</file>