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050" windowWidth="12855" windowHeight="6510" activeTab="0"/>
  </bookViews>
  <sheets>
    <sheet name="Ficha" sheetId="1" r:id="rId1"/>
    <sheet name="Hoja1" sheetId="2" r:id="rId2"/>
  </sheets>
  <definedNames>
    <definedName name="_xlnm.Print_Area" localSheetId="0">'Ficha'!$A$1:$K$110</definedName>
  </definedNames>
  <calcPr fullCalcOnLoad="1"/>
</workbook>
</file>

<file path=xl/sharedStrings.xml><?xml version="1.0" encoding="utf-8"?>
<sst xmlns="http://schemas.openxmlformats.org/spreadsheetml/2006/main" count="202" uniqueCount="139">
  <si>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</si>
  <si>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</si>
  <si>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</si>
  <si>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</si>
  <si>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</si>
  <si>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</si>
  <si>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</si>
  <si>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</si>
  <si>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</si>
  <si>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</si>
  <si>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</si>
  <si>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</si>
  <si>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</si>
  <si>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 xml:space="preserve"> -Fertilizantes:</t>
  </si>
  <si>
    <t xml:space="preserve"> -Herbicidas: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</si>
  <si>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</si>
  <si>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</si>
  <si>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</si>
  <si>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</si>
  <si>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</si>
  <si>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</si>
  <si>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</si>
  <si>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</si>
  <si>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</si>
  <si>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</si>
  <si>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</si>
  <si>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</si>
  <si>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</si>
  <si>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</si>
  <si>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</si>
  <si>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</si>
  <si>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</si>
  <si>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</si>
  <si>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</si>
  <si>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</si>
  <si>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</si>
  <si>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</si>
  <si>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</si>
  <si>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</si>
  <si>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</si>
  <si>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</si>
  <si>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</si>
  <si>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</si>
  <si>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</si>
  <si>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</si>
  <si>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</si>
  <si>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</si>
  <si>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</si>
  <si>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Aplicación agroquímicos</t>
  </si>
  <si>
    <t>Precio ($/Kg)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</si>
  <si>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</si>
  <si>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</si>
  <si>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</si>
  <si>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Poda</t>
  </si>
  <si>
    <t>L</t>
  </si>
  <si>
    <t>Marzo</t>
  </si>
  <si>
    <t xml:space="preserve">                                                                              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</si>
  <si>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</si>
  <si>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</si>
  <si>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</t>
  </si>
  <si>
    <t xml:space="preserve">                                                        </t>
  </si>
  <si>
    <t>Enero-febrero</t>
  </si>
  <si>
    <t>Octubre-febrero</t>
  </si>
  <si>
    <t>Septiembre-octubre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</si>
  <si>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</si>
  <si>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</si>
  <si>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</si>
  <si>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</si>
  <si>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</si>
  <si>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</si>
  <si>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</si>
  <si>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</si>
  <si>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</si>
  <si>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Herbicidas:</t>
  </si>
  <si>
    <t>Otros:</t>
  </si>
  <si>
    <t>m²</t>
  </si>
  <si>
    <t>Margen neto ($/ha) (4)</t>
  </si>
  <si>
    <t>Punto de equilibrio (5)</t>
  </si>
  <si>
    <t>Abril-mayo</t>
  </si>
  <si>
    <t>Mayo</t>
  </si>
  <si>
    <t>Plantas</t>
  </si>
  <si>
    <t>Agosto-abril</t>
  </si>
  <si>
    <t>Sacos</t>
  </si>
  <si>
    <t>Almendro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</si>
  <si>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</si>
  <si>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Densidad de plantas/Ha: 500 (5m x 4m)</t>
  </si>
  <si>
    <t xml:space="preserve">Riego </t>
  </si>
  <si>
    <t>Febrero-marzo</t>
  </si>
  <si>
    <t>Insecticidas-acaricida</t>
  </si>
  <si>
    <t>1 ha marzo 2013</t>
  </si>
  <si>
    <t>Guardar, limpieza y ensacado</t>
  </si>
  <si>
    <t>Anual</t>
  </si>
  <si>
    <t>Urea perlada</t>
  </si>
  <si>
    <t>Ac.fosfórico</t>
  </si>
  <si>
    <t>anual</t>
  </si>
  <si>
    <t>Nitrato potasio</t>
  </si>
  <si>
    <t>Alquitrán</t>
  </si>
  <si>
    <t>MCPA</t>
  </si>
  <si>
    <t>Azufre mojable</t>
  </si>
  <si>
    <t>Insecticida</t>
  </si>
  <si>
    <t>Mystic 520 SC</t>
  </si>
  <si>
    <t>Clorpirifos</t>
  </si>
  <si>
    <t>Transporte</t>
  </si>
  <si>
    <t>Marzo-abril</t>
  </si>
  <si>
    <t>Abamite me</t>
  </si>
  <si>
    <t>Queiklate Zn</t>
  </si>
  <si>
    <t>Octubre-noviembre</t>
  </si>
  <si>
    <t>Junio-julio</t>
  </si>
  <si>
    <t>Marzo-julio</t>
  </si>
  <si>
    <t>Roundup</t>
  </si>
  <si>
    <t>Benomyl 50 WP</t>
  </si>
  <si>
    <t>Rendimiento (Kg/ha) de pepa</t>
  </si>
  <si>
    <t>Rendimiento (Kg /ha):</t>
  </si>
  <si>
    <t xml:space="preserve">Dash HC </t>
  </si>
  <si>
    <t>Oxicloruro de cobre</t>
  </si>
  <si>
    <t xml:space="preserve"> (1) El precio del  kilo  de  almendra con pelón  cosechado utilizado en el análisis de sensibilidad, corresponde al promedio de la región durante el periodo de cosecha en la temporada 2012/2013 a productor.</t>
  </si>
  <si>
    <t>Destino Mercado: Nacional y exportación</t>
  </si>
  <si>
    <t>Tipo de producción: Consumo seco</t>
  </si>
  <si>
    <t>Fecha Plantación: Plena producción</t>
  </si>
  <si>
    <t>Tecnología: Media</t>
  </si>
  <si>
    <t>Régimen hídrico: Técnificado</t>
  </si>
  <si>
    <t>Fecha cosecha: Febrero - marzo</t>
  </si>
  <si>
    <t>Poda en verde (torcer rama nueva)</t>
  </si>
  <si>
    <t>Cosechar y llevar a  la cancha de secado</t>
  </si>
  <si>
    <t>Ac. Bórico</t>
  </si>
  <si>
    <t>Fertilizantes (3):</t>
  </si>
  <si>
    <t>Cargar sacos maxi</t>
  </si>
  <si>
    <t xml:space="preserve">Carpas (de sacos, duración 5 años) </t>
  </si>
  <si>
    <t>Malla rachel (duración 5 años) para secado</t>
  </si>
  <si>
    <t>Aceite Suns price</t>
  </si>
  <si>
    <t>Saco maxi (duración 5 años)</t>
  </si>
  <si>
    <t>Analisis foliar</t>
  </si>
  <si>
    <t>Electricidad</t>
  </si>
  <si>
    <t>Rendimiento (kg/ha)</t>
  </si>
  <si>
    <t>Variedad: Nonpareil</t>
  </si>
  <si>
    <t xml:space="preserve"> (3) Las dosis de fertilización promedio podrían variar de acuerdo a los resultados de los distintos análisis (foliar, suelo, etc.)</t>
  </si>
  <si>
    <t>Región Metropolitana</t>
  </si>
  <si>
    <t>Julio-agosto</t>
  </si>
  <si>
    <t>Arriendo de colmenas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</si>
</sst>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  <numFmt numFmtId="169" formatCode="\5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25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0" fontId="45" fillId="0" borderId="0" xfId="0" applyFont="1" applyBorder="1" applyAlignment="1">
      <alignment/>
    </xf>
    <xf numFmtId="3" fontId="7" fillId="34" borderId="11" xfId="54" applyNumberFormat="1" applyFont="1" applyFill="1" applyBorder="1" applyAlignment="1">
      <alignment horizontal="right"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12" xfId="54" applyFont="1" applyFill="1" applyBorder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0" fontId="46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Fill="1" applyAlignment="1">
      <alignment horizontal="right"/>
      <protection/>
    </xf>
    <xf numFmtId="0" fontId="0" fillId="0" borderId="14" xfId="0" applyBorder="1" applyAlignment="1">
      <alignment/>
    </xf>
    <xf numFmtId="0" fontId="39" fillId="35" borderId="14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44" fillId="0" borderId="0" xfId="0" applyNumberFormat="1" applyFont="1" applyAlignment="1">
      <alignment/>
    </xf>
    <xf numFmtId="3" fontId="7" fillId="0" borderId="16" xfId="55" applyNumberFormat="1" applyFont="1" applyFill="1" applyBorder="1" applyAlignment="1" applyProtection="1">
      <alignment horizontal="right"/>
      <protection/>
    </xf>
    <xf numFmtId="9" fontId="7" fillId="0" borderId="14" xfId="68" applyFont="1" applyFill="1" applyBorder="1" applyAlignment="1">
      <alignment vertical="center"/>
    </xf>
    <xf numFmtId="3" fontId="7" fillId="0" borderId="14" xfId="55" applyNumberFormat="1" applyFont="1" applyFill="1" applyBorder="1" applyAlignment="1" applyProtection="1">
      <alignment horizontal="right"/>
      <protection/>
    </xf>
    <xf numFmtId="10" fontId="7" fillId="0" borderId="14" xfId="55" applyNumberFormat="1" applyFont="1" applyFill="1" applyBorder="1" applyAlignment="1">
      <alignment horizontal="right"/>
      <protection/>
    </xf>
    <xf numFmtId="3" fontId="7" fillId="0" borderId="14" xfId="55" applyNumberFormat="1" applyFont="1" applyFill="1" applyBorder="1" applyAlignment="1">
      <alignment horizontal="right"/>
      <protection/>
    </xf>
    <xf numFmtId="0" fontId="45" fillId="0" borderId="0" xfId="0" applyFont="1" applyFill="1" applyAlignment="1">
      <alignment/>
    </xf>
    <xf numFmtId="168" fontId="11" fillId="0" borderId="14" xfId="0" applyNumberFormat="1" applyFont="1" applyFill="1" applyBorder="1" applyAlignment="1">
      <alignment horizontal="center" vertical="center"/>
    </xf>
    <xf numFmtId="165" fontId="11" fillId="34" borderId="17" xfId="55" applyNumberFormat="1" applyFont="1" applyFill="1" applyBorder="1" applyAlignment="1" applyProtection="1">
      <alignment horizontal="right"/>
      <protection/>
    </xf>
    <xf numFmtId="3" fontId="11" fillId="34" borderId="18" xfId="66" applyNumberFormat="1" applyFont="1" applyFill="1" applyBorder="1" applyAlignment="1" applyProtection="1">
      <alignment horizontal="right"/>
      <protection/>
    </xf>
    <xf numFmtId="3" fontId="11" fillId="34" borderId="13" xfId="66" applyNumberFormat="1" applyFont="1" applyFill="1" applyBorder="1" applyAlignment="1" applyProtection="1">
      <alignment horizontal="right"/>
      <protection/>
    </xf>
    <xf numFmtId="165" fontId="11" fillId="34" borderId="19" xfId="55" applyNumberFormat="1" applyFont="1" applyFill="1" applyBorder="1" applyAlignment="1" applyProtection="1">
      <alignment horizontal="right"/>
      <protection/>
    </xf>
    <xf numFmtId="3" fontId="11" fillId="34" borderId="20" xfId="66" applyNumberFormat="1" applyFont="1" applyFill="1" applyBorder="1" applyAlignment="1" applyProtection="1">
      <alignment horizontal="right"/>
      <protection/>
    </xf>
    <xf numFmtId="3" fontId="11" fillId="34" borderId="19" xfId="66" applyNumberFormat="1" applyFont="1" applyFill="1" applyBorder="1" applyAlignment="1" applyProtection="1">
      <alignment horizontal="righ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165" fontId="11" fillId="34" borderId="21" xfId="55" applyNumberFormat="1" applyFont="1" applyFill="1" applyBorder="1" applyAlignment="1" applyProtection="1">
      <alignment horizontal="right"/>
      <protection/>
    </xf>
    <xf numFmtId="3" fontId="11" fillId="34" borderId="22" xfId="66" applyNumberFormat="1" applyFont="1" applyFill="1" applyBorder="1" applyAlignment="1" applyProtection="1">
      <alignment horizontal="right"/>
      <protection/>
    </xf>
    <xf numFmtId="2" fontId="11" fillId="34" borderId="19" xfId="55" applyNumberFormat="1" applyFont="1" applyFill="1" applyBorder="1" applyAlignment="1" applyProtection="1">
      <alignment horizontal="right"/>
      <protection/>
    </xf>
    <xf numFmtId="3" fontId="11" fillId="34" borderId="21" xfId="66" applyNumberFormat="1" applyFont="1" applyFill="1" applyBorder="1" applyAlignment="1" applyProtection="1">
      <alignment horizontal="right"/>
      <protection/>
    </xf>
    <xf numFmtId="165" fontId="11" fillId="34" borderId="17" xfId="66" applyNumberFormat="1" applyFont="1" applyFill="1" applyBorder="1" applyAlignment="1" applyProtection="1">
      <alignment horizontal="right"/>
      <protection/>
    </xf>
    <xf numFmtId="164" fontId="11" fillId="34" borderId="18" xfId="66" applyFont="1" applyFill="1" applyBorder="1" applyAlignment="1">
      <alignment horizontal="right"/>
      <protection/>
    </xf>
    <xf numFmtId="3" fontId="11" fillId="34" borderId="18" xfId="55" applyNumberFormat="1" applyFont="1" applyFill="1" applyBorder="1" applyAlignment="1" applyProtection="1">
      <alignment horizontal="right"/>
      <protection/>
    </xf>
    <xf numFmtId="3" fontId="11" fillId="34" borderId="13" xfId="55" applyNumberFormat="1" applyFont="1" applyFill="1" applyBorder="1" applyAlignment="1" applyProtection="1">
      <alignment horizontal="right"/>
      <protection/>
    </xf>
    <xf numFmtId="0" fontId="11" fillId="34" borderId="20" xfId="55" applyFont="1" applyFill="1" applyBorder="1" applyAlignment="1" applyProtection="1">
      <alignment horizontal="right"/>
      <protection/>
    </xf>
    <xf numFmtId="3" fontId="11" fillId="34" borderId="20" xfId="55" applyNumberFormat="1" applyFont="1" applyFill="1" applyBorder="1" applyAlignment="1" applyProtection="1">
      <alignment horizontal="right"/>
      <protection/>
    </xf>
    <xf numFmtId="3" fontId="11" fillId="34" borderId="19" xfId="55" applyNumberFormat="1" applyFont="1" applyFill="1" applyBorder="1" applyAlignment="1" applyProtection="1">
      <alignment horizontal="right"/>
      <protection/>
    </xf>
    <xf numFmtId="3" fontId="11" fillId="34" borderId="22" xfId="55" applyNumberFormat="1" applyFont="1" applyFill="1" applyBorder="1" applyAlignment="1" applyProtection="1">
      <alignment horizontal="right"/>
      <protection/>
    </xf>
    <xf numFmtId="3" fontId="47" fillId="36" borderId="16" xfId="55" applyNumberFormat="1" applyFont="1" applyFill="1" applyBorder="1" applyAlignment="1" applyProtection="1">
      <alignment horizontal="right"/>
      <protection/>
    </xf>
    <xf numFmtId="0" fontId="11" fillId="34" borderId="20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7" fillId="34" borderId="20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21" xfId="55" applyFont="1" applyFill="1" applyBorder="1" applyAlignment="1" applyProtection="1">
      <alignment horizontal="left"/>
      <protection/>
    </xf>
    <xf numFmtId="0" fontId="11" fillId="34" borderId="20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7" fillId="34" borderId="23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3" fontId="7" fillId="34" borderId="11" xfId="55" applyNumberFormat="1" applyFont="1" applyFill="1" applyBorder="1" applyAlignment="1">
      <alignment/>
      <protection/>
    </xf>
    <xf numFmtId="3" fontId="11" fillId="34" borderId="0" xfId="66" applyNumberFormat="1" applyFont="1" applyFill="1" applyBorder="1" applyAlignment="1">
      <alignment/>
      <protection/>
    </xf>
    <xf numFmtId="0" fontId="45" fillId="34" borderId="24" xfId="0" applyFont="1" applyFill="1" applyBorder="1" applyAlignment="1">
      <alignment/>
    </xf>
    <xf numFmtId="0" fontId="45" fillId="34" borderId="25" xfId="0" applyFont="1" applyFill="1" applyBorder="1" applyAlignment="1">
      <alignment/>
    </xf>
    <xf numFmtId="3" fontId="11" fillId="34" borderId="25" xfId="55" applyNumberFormat="1" applyFont="1" applyFill="1" applyBorder="1" applyAlignment="1">
      <alignment/>
      <protection/>
    </xf>
    <xf numFmtId="0" fontId="11" fillId="34" borderId="12" xfId="55" applyFont="1" applyFill="1" applyBorder="1" applyAlignment="1">
      <alignment/>
      <protection/>
    </xf>
    <xf numFmtId="167" fontId="7" fillId="34" borderId="23" xfId="66" applyNumberFormat="1" applyFont="1" applyFill="1" applyBorder="1" applyAlignment="1">
      <alignment horizontal="left" vertical="center"/>
      <protection/>
    </xf>
    <xf numFmtId="0" fontId="11" fillId="34" borderId="0" xfId="54" applyFont="1" applyFill="1" applyBorder="1">
      <alignment/>
      <protection/>
    </xf>
    <xf numFmtId="0" fontId="7" fillId="34" borderId="23" xfId="54" applyFont="1" applyFill="1" applyBorder="1" applyAlignment="1">
      <alignment horizontal="left"/>
      <protection/>
    </xf>
    <xf numFmtId="165" fontId="11" fillId="34" borderId="0" xfId="66" applyNumberFormat="1" applyFont="1" applyFill="1" applyBorder="1" applyAlignment="1">
      <alignment horizontal="center"/>
      <protection/>
    </xf>
    <xf numFmtId="0" fontId="7" fillId="34" borderId="24" xfId="54" applyFont="1" applyFill="1" applyBorder="1" applyAlignment="1">
      <alignment horizontal="left"/>
      <protection/>
    </xf>
    <xf numFmtId="165" fontId="11" fillId="34" borderId="25" xfId="66" applyNumberFormat="1" applyFont="1" applyFill="1" applyBorder="1" applyAlignment="1">
      <alignment horizontal="center"/>
      <protection/>
    </xf>
    <xf numFmtId="2" fontId="11" fillId="34" borderId="13" xfId="55" applyNumberFormat="1" applyFont="1" applyFill="1" applyBorder="1" applyAlignment="1" applyProtection="1">
      <alignment horizontal="right"/>
      <protection/>
    </xf>
    <xf numFmtId="165" fontId="11" fillId="34" borderId="13" xfId="55" applyNumberFormat="1" applyFont="1" applyFill="1" applyBorder="1" applyAlignment="1" applyProtection="1">
      <alignment horizontal="right"/>
      <protection/>
    </xf>
    <xf numFmtId="3" fontId="11" fillId="34" borderId="17" xfId="66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 vertical="center"/>
      <protection/>
    </xf>
    <xf numFmtId="164" fontId="11" fillId="34" borderId="20" xfId="66" applyFont="1" applyFill="1" applyBorder="1" applyAlignment="1">
      <alignment horizontal="right" vertical="center"/>
      <protection/>
    </xf>
    <xf numFmtId="3" fontId="11" fillId="34" borderId="20" xfId="55" applyNumberFormat="1" applyFont="1" applyFill="1" applyBorder="1" applyAlignment="1" applyProtection="1">
      <alignment horizontal="right" vertical="center"/>
      <protection/>
    </xf>
    <xf numFmtId="169" fontId="11" fillId="34" borderId="0" xfId="55" applyNumberFormat="1" applyFont="1" applyFill="1" applyBorder="1" applyAlignment="1" applyProtection="1">
      <alignment horizontal="left"/>
      <protection/>
    </xf>
    <xf numFmtId="0" fontId="48" fillId="34" borderId="21" xfId="55" applyFont="1" applyFill="1" applyBorder="1" applyAlignment="1" applyProtection="1">
      <alignment horizontal="left"/>
      <protection/>
    </xf>
    <xf numFmtId="3" fontId="11" fillId="34" borderId="14" xfId="0" applyNumberFormat="1" applyFont="1" applyFill="1" applyBorder="1" applyAlignment="1">
      <alignment horizontal="center"/>
    </xf>
    <xf numFmtId="3" fontId="11" fillId="34" borderId="13" xfId="0" applyNumberFormat="1" applyFont="1" applyFill="1" applyBorder="1" applyAlignment="1">
      <alignment horizontal="center"/>
    </xf>
    <xf numFmtId="3" fontId="11" fillId="34" borderId="0" xfId="55" applyNumberFormat="1" applyFont="1" applyFill="1" applyBorder="1" applyAlignment="1" applyProtection="1">
      <alignment horizontal="right"/>
      <protection/>
    </xf>
    <xf numFmtId="165" fontId="11" fillId="34" borderId="22" xfId="55" applyNumberFormat="1" applyFont="1" applyFill="1" applyBorder="1" applyAlignment="1" applyProtection="1">
      <alignment horizontal="right"/>
      <protection/>
    </xf>
    <xf numFmtId="0" fontId="11" fillId="34" borderId="19" xfId="55" applyFont="1" applyFill="1" applyBorder="1" applyAlignment="1" applyProtection="1">
      <alignment horizontal="right"/>
      <protection/>
    </xf>
    <xf numFmtId="2" fontId="11" fillId="0" borderId="0" xfId="66" applyNumberFormat="1" applyFont="1" applyFill="1" applyAlignment="1">
      <alignment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4" fontId="11" fillId="0" borderId="0" xfId="66" applyFont="1" applyFill="1" applyAlignment="1">
      <alignment horizontal="left"/>
      <protection/>
    </xf>
    <xf numFmtId="3" fontId="7" fillId="37" borderId="26" xfId="55" applyNumberFormat="1" applyFont="1" applyFill="1" applyBorder="1" applyAlignment="1" applyProtection="1">
      <alignment horizontal="right"/>
      <protection/>
    </xf>
    <xf numFmtId="3" fontId="7" fillId="37" borderId="16" xfId="55" applyNumberFormat="1" applyFont="1" applyFill="1" applyBorder="1" applyAlignment="1" applyProtection="1">
      <alignment horizontal="right"/>
      <protection/>
    </xf>
    <xf numFmtId="3" fontId="7" fillId="37" borderId="26" xfId="0" applyNumberFormat="1" applyFont="1" applyFill="1" applyBorder="1" applyAlignment="1" applyProtection="1">
      <alignment horizontal="right"/>
      <protection/>
    </xf>
    <xf numFmtId="3" fontId="7" fillId="37" borderId="13" xfId="0" applyNumberFormat="1" applyFont="1" applyFill="1" applyBorder="1" applyAlignment="1">
      <alignment horizontal="center"/>
    </xf>
    <xf numFmtId="3" fontId="7" fillId="37" borderId="13" xfId="0" applyNumberFormat="1" applyFont="1" applyFill="1" applyBorder="1" applyAlignment="1">
      <alignment horizontal="center" vertical="center"/>
    </xf>
    <xf numFmtId="3" fontId="11" fillId="37" borderId="14" xfId="0" applyNumberFormat="1" applyFont="1" applyFill="1" applyBorder="1" applyAlignment="1">
      <alignment horizontal="center" vertical="center"/>
    </xf>
    <xf numFmtId="0" fontId="11" fillId="34" borderId="20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7" borderId="23" xfId="0" applyFont="1" applyFill="1" applyBorder="1" applyAlignment="1">
      <alignment/>
    </xf>
    <xf numFmtId="0" fontId="45" fillId="37" borderId="0" xfId="0" applyFont="1" applyFill="1" applyBorder="1" applyAlignment="1">
      <alignment/>
    </xf>
    <xf numFmtId="3" fontId="7" fillId="37" borderId="11" xfId="55" applyNumberFormat="1" applyFont="1" applyFill="1" applyBorder="1" applyAlignment="1">
      <alignment/>
      <protection/>
    </xf>
    <xf numFmtId="3" fontId="11" fillId="34" borderId="18" xfId="52" applyNumberFormat="1" applyFont="1" applyFill="1" applyBorder="1" applyAlignment="1">
      <alignment horizontal="left" vertical="top" wrapText="1"/>
      <protection/>
    </xf>
    <xf numFmtId="3" fontId="11" fillId="34" borderId="27" xfId="52" applyNumberFormat="1" applyFont="1" applyFill="1" applyBorder="1" applyAlignment="1">
      <alignment horizontal="left" vertical="top" wrapText="1"/>
      <protection/>
    </xf>
    <xf numFmtId="3" fontId="11" fillId="34" borderId="17" xfId="52" applyNumberFormat="1" applyFont="1" applyFill="1" applyBorder="1" applyAlignment="1">
      <alignment horizontal="left" vertical="top" wrapText="1"/>
      <protection/>
    </xf>
    <xf numFmtId="3" fontId="11" fillId="34" borderId="20" xfId="52" applyNumberFormat="1" applyFont="1" applyFill="1" applyBorder="1" applyAlignment="1">
      <alignment horizontal="left" vertical="top" wrapText="1"/>
      <protection/>
    </xf>
    <xf numFmtId="3" fontId="11" fillId="34" borderId="0" xfId="52" applyNumberFormat="1" applyFont="1" applyFill="1" applyBorder="1" applyAlignment="1">
      <alignment horizontal="left" vertical="top" wrapText="1"/>
      <protection/>
    </xf>
    <xf numFmtId="3" fontId="11" fillId="34" borderId="21" xfId="52" applyNumberFormat="1" applyFont="1" applyFill="1" applyBorder="1" applyAlignment="1">
      <alignment horizontal="left" vertical="top" wrapText="1"/>
      <protection/>
    </xf>
    <xf numFmtId="0" fontId="7" fillId="0" borderId="28" xfId="55" applyFont="1" applyFill="1" applyBorder="1" applyAlignment="1" applyProtection="1">
      <alignment horizontal="left" vertical="center"/>
      <protection/>
    </xf>
    <xf numFmtId="0" fontId="7" fillId="0" borderId="29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>
      <alignment horizontal="left"/>
      <protection/>
    </xf>
    <xf numFmtId="3" fontId="11" fillId="0" borderId="20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0" fontId="7" fillId="37" borderId="18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47" fillId="36" borderId="28" xfId="55" applyFont="1" applyFill="1" applyBorder="1" applyAlignment="1" applyProtection="1">
      <alignment horizontal="left" vertical="center"/>
      <protection/>
    </xf>
    <xf numFmtId="0" fontId="47" fillId="36" borderId="29" xfId="55" applyFont="1" applyFill="1" applyBorder="1" applyAlignment="1" applyProtection="1">
      <alignment horizontal="left" vertical="center"/>
      <protection/>
    </xf>
    <xf numFmtId="0" fontId="7" fillId="37" borderId="28" xfId="55" applyFont="1" applyFill="1" applyBorder="1" applyAlignment="1" applyProtection="1">
      <alignment horizontal="left" vertical="center"/>
      <protection/>
    </xf>
    <xf numFmtId="0" fontId="7" fillId="37" borderId="29" xfId="55" applyFont="1" applyFill="1" applyBorder="1" applyAlignment="1" applyProtection="1">
      <alignment horizontal="left" vertical="center"/>
      <protection/>
    </xf>
    <xf numFmtId="0" fontId="7" fillId="34" borderId="20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7" fillId="34" borderId="21" xfId="66" applyNumberFormat="1" applyFont="1" applyFill="1" applyBorder="1" applyAlignment="1" applyProtection="1">
      <alignment horizontal="left" vertical="center" wrapText="1"/>
      <protection/>
    </xf>
    <xf numFmtId="0" fontId="11" fillId="34" borderId="18" xfId="55" applyFont="1" applyFill="1" applyBorder="1" applyAlignment="1">
      <alignment horizontal="center"/>
      <protection/>
    </xf>
    <xf numFmtId="0" fontId="11" fillId="34" borderId="17" xfId="55" applyFont="1" applyFill="1" applyBorder="1" applyAlignment="1">
      <alignment horizontal="center"/>
      <protection/>
    </xf>
    <xf numFmtId="0" fontId="7" fillId="34" borderId="18" xfId="66" applyNumberFormat="1" applyFont="1" applyFill="1" applyBorder="1" applyAlignment="1" applyProtection="1">
      <alignment horizontal="left"/>
      <protection/>
    </xf>
    <xf numFmtId="0" fontId="7" fillId="34" borderId="27" xfId="66" applyNumberFormat="1" applyFont="1" applyFill="1" applyBorder="1" applyAlignment="1" applyProtection="1">
      <alignment horizontal="left"/>
      <protection/>
    </xf>
    <xf numFmtId="0" fontId="11" fillId="34" borderId="20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18" xfId="55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 applyProtection="1">
      <alignment horizontal="left"/>
      <protection/>
    </xf>
    <xf numFmtId="0" fontId="11" fillId="34" borderId="17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47" fillId="38" borderId="34" xfId="55" applyFont="1" applyFill="1" applyBorder="1" applyAlignment="1" applyProtection="1">
      <alignment horizontal="center" vertical="center"/>
      <protection/>
    </xf>
    <xf numFmtId="0" fontId="47" fillId="38" borderId="35" xfId="55" applyFont="1" applyFill="1" applyBorder="1" applyAlignment="1" applyProtection="1">
      <alignment horizontal="center" vertical="center"/>
      <protection/>
    </xf>
    <xf numFmtId="0" fontId="47" fillId="38" borderId="24" xfId="55" applyFont="1" applyFill="1" applyBorder="1" applyAlignment="1" applyProtection="1">
      <alignment horizontal="center" vertical="center"/>
      <protection/>
    </xf>
    <xf numFmtId="0" fontId="47" fillId="38" borderId="25" xfId="55" applyFont="1" applyFill="1" applyBorder="1" applyAlignment="1" applyProtection="1">
      <alignment horizontal="center" vertical="center"/>
      <protection/>
    </xf>
    <xf numFmtId="0" fontId="47" fillId="38" borderId="31" xfId="54" applyFont="1" applyFill="1" applyBorder="1" applyAlignment="1">
      <alignment horizontal="center"/>
      <protection/>
    </xf>
    <xf numFmtId="0" fontId="47" fillId="38" borderId="32" xfId="54" applyFont="1" applyFill="1" applyBorder="1" applyAlignment="1">
      <alignment horizontal="center"/>
      <protection/>
    </xf>
    <xf numFmtId="0" fontId="47" fillId="38" borderId="33" xfId="54" applyFont="1" applyFill="1" applyBorder="1" applyAlignment="1">
      <alignment horizontal="center"/>
      <protection/>
    </xf>
    <xf numFmtId="4" fontId="47" fillId="38" borderId="35" xfId="55" applyNumberFormat="1" applyFont="1" applyFill="1" applyBorder="1" applyAlignment="1" applyProtection="1">
      <alignment horizontal="center" vertical="center" wrapText="1"/>
      <protection/>
    </xf>
    <xf numFmtId="4" fontId="47" fillId="38" borderId="25" xfId="55" applyNumberFormat="1" applyFont="1" applyFill="1" applyBorder="1" applyAlignment="1" applyProtection="1">
      <alignment horizontal="center" vertical="center" wrapText="1"/>
      <protection/>
    </xf>
    <xf numFmtId="0" fontId="47" fillId="38" borderId="35" xfId="55" applyFont="1" applyFill="1" applyBorder="1" applyAlignment="1" applyProtection="1">
      <alignment horizontal="center" vertical="center" wrapText="1"/>
      <protection/>
    </xf>
    <xf numFmtId="0" fontId="47" fillId="38" borderId="25" xfId="55" applyFont="1" applyFill="1" applyBorder="1" applyAlignment="1" applyProtection="1">
      <alignment horizontal="center" vertical="center" wrapText="1"/>
      <protection/>
    </xf>
    <xf numFmtId="3" fontId="47" fillId="38" borderId="35" xfId="55" applyNumberFormat="1" applyFont="1" applyFill="1" applyBorder="1" applyAlignment="1" applyProtection="1">
      <alignment horizontal="center" vertical="center" wrapText="1"/>
      <protection/>
    </xf>
    <xf numFmtId="3" fontId="47" fillId="38" borderId="25" xfId="55" applyNumberFormat="1" applyFont="1" applyFill="1" applyBorder="1" applyAlignment="1" applyProtection="1">
      <alignment horizontal="center" vertical="center" wrapText="1"/>
      <protection/>
    </xf>
    <xf numFmtId="3" fontId="47" fillId="38" borderId="36" xfId="55" applyNumberFormat="1" applyFont="1" applyFill="1" applyBorder="1" applyAlignment="1" applyProtection="1">
      <alignment horizontal="center" vertical="center"/>
      <protection/>
    </xf>
    <xf numFmtId="3" fontId="47" fillId="38" borderId="12" xfId="55" applyNumberFormat="1" applyFont="1" applyFill="1" applyBorder="1" applyAlignment="1" applyProtection="1">
      <alignment horizontal="center" vertical="center"/>
      <protection/>
    </xf>
    <xf numFmtId="0" fontId="11" fillId="0" borderId="30" xfId="55" applyFont="1" applyFill="1" applyBorder="1" applyAlignment="1">
      <alignment horizontal="left" vertical="top" wrapText="1"/>
      <protection/>
    </xf>
    <xf numFmtId="0" fontId="11" fillId="0" borderId="15" xfId="55" applyFont="1" applyFill="1" applyBorder="1" applyAlignment="1">
      <alignment horizontal="left" vertical="top" wrapText="1"/>
      <protection/>
    </xf>
    <xf numFmtId="0" fontId="11" fillId="0" borderId="26" xfId="55" applyFont="1" applyFill="1" applyBorder="1" applyAlignment="1">
      <alignment horizontal="left" vertical="top" wrapText="1"/>
      <protection/>
    </xf>
    <xf numFmtId="0" fontId="11" fillId="0" borderId="14" xfId="55" applyFont="1" applyFill="1" applyBorder="1" applyAlignment="1" applyProtection="1">
      <alignment horizontal="left" vertical="center"/>
      <protection/>
    </xf>
    <xf numFmtId="0" fontId="11" fillId="0" borderId="14" xfId="55" applyFont="1" applyFill="1" applyBorder="1" applyAlignment="1" applyProtection="1">
      <alignment horizontal="left"/>
      <protection/>
    </xf>
    <xf numFmtId="0" fontId="7" fillId="37" borderId="28" xfId="55" applyFont="1" applyFill="1" applyBorder="1" applyAlignment="1" applyProtection="1">
      <alignment horizontal="left"/>
      <protection/>
    </xf>
    <xf numFmtId="0" fontId="7" fillId="37" borderId="29" xfId="55" applyFont="1" applyFill="1" applyBorder="1" applyAlignment="1" applyProtection="1">
      <alignment horizontal="left"/>
      <protection/>
    </xf>
    <xf numFmtId="0" fontId="7" fillId="37" borderId="28" xfId="0" applyFont="1" applyFill="1" applyBorder="1" applyAlignment="1" applyProtection="1">
      <alignment horizontal="left"/>
      <protection/>
    </xf>
    <xf numFmtId="0" fontId="7" fillId="37" borderId="29" xfId="0" applyFont="1" applyFill="1" applyBorder="1" applyAlignment="1" applyProtection="1">
      <alignment horizontal="left"/>
      <protection/>
    </xf>
    <xf numFmtId="0" fontId="11" fillId="0" borderId="20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1" xfId="55" applyFont="1" applyFill="1" applyBorder="1" applyAlignment="1">
      <alignment horizontal="left" vertical="top" wrapText="1"/>
      <protection/>
    </xf>
    <xf numFmtId="0" fontId="7" fillId="34" borderId="20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21" xfId="55" applyFont="1" applyFill="1" applyBorder="1" applyAlignment="1" applyProtection="1">
      <alignment horizontal="left"/>
      <protection/>
    </xf>
    <xf numFmtId="0" fontId="11" fillId="34" borderId="30" xfId="55" applyFont="1" applyFill="1" applyBorder="1" applyAlignment="1">
      <alignment horizontal="center"/>
      <protection/>
    </xf>
    <xf numFmtId="0" fontId="11" fillId="34" borderId="26" xfId="55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106</xdr:row>
      <xdr:rowOff>19050</xdr:rowOff>
    </xdr:from>
    <xdr:to>
      <xdr:col>2</xdr:col>
      <xdr:colOff>638175</xdr:colOff>
      <xdr:row>106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4250650"/>
          <a:ext cx="1866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view="pageBreakPreview" zoomScale="70" zoomScaleNormal="110" zoomScaleSheetLayoutView="70" zoomScalePageLayoutView="0" workbookViewId="0" topLeftCell="A1">
      <selection activeCell="B1" sqref="B1:J1"/>
    </sheetView>
  </sheetViews>
  <sheetFormatPr defaultColWidth="11.421875" defaultRowHeight="15"/>
  <cols>
    <col min="1" max="1" width="12.421875" style="0" customWidth="1"/>
    <col min="2" max="6" width="18.7109375" style="0" customWidth="1"/>
    <col min="7" max="7" width="21.57421875" style="0" customWidth="1"/>
    <col min="8" max="10" width="18.7109375" style="0" customWidth="1"/>
    <col min="11" max="11" width="11.8515625" style="2" customWidth="1"/>
    <col min="15" max="15" width="6.140625" style="0" customWidth="1"/>
    <col min="16" max="19" width="11.421875" style="0" hidden="1" customWidth="1"/>
  </cols>
  <sheetData>
    <row r="1" spans="2:10" ht="18" customHeight="1">
      <c r="B1" s="190" t="s">
        <v>16</v>
      </c>
      <c r="C1" s="190"/>
      <c r="D1" s="190"/>
      <c r="E1" s="190"/>
      <c r="F1" s="190"/>
      <c r="G1" s="190"/>
      <c r="H1" s="190"/>
      <c r="I1" s="190"/>
      <c r="J1" s="190"/>
    </row>
    <row r="2" spans="1:12" ht="18" customHeight="1">
      <c r="A2" s="7"/>
      <c r="B2" s="7"/>
      <c r="C2" s="4"/>
      <c r="D2" s="4"/>
      <c r="E2" s="192" t="s">
        <v>83</v>
      </c>
      <c r="F2" s="192"/>
      <c r="G2" s="192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30"/>
      <c r="E3" s="191" t="s">
        <v>136</v>
      </c>
      <c r="F3" s="191"/>
      <c r="G3" s="191"/>
      <c r="H3" s="6"/>
      <c r="I3" s="6"/>
      <c r="J3" s="58"/>
      <c r="K3" s="8"/>
    </row>
    <row r="4" spans="1:11" ht="18" customHeight="1">
      <c r="A4" s="7"/>
      <c r="B4" s="5"/>
      <c r="C4" s="5"/>
      <c r="D4" s="30"/>
      <c r="E4" s="9"/>
      <c r="F4" s="9"/>
      <c r="G4" s="9" t="s">
        <v>116</v>
      </c>
      <c r="H4" s="9"/>
      <c r="I4" s="58"/>
      <c r="J4" s="119"/>
      <c r="K4" s="10"/>
    </row>
    <row r="5" spans="1:11" ht="18" customHeight="1">
      <c r="A5" s="7"/>
      <c r="B5" s="5"/>
      <c r="C5" s="5"/>
      <c r="D5" s="120" t="s">
        <v>89</v>
      </c>
      <c r="E5" s="58"/>
      <c r="F5" s="58"/>
      <c r="G5" s="119" t="s">
        <v>134</v>
      </c>
      <c r="H5" s="30"/>
      <c r="I5" s="9"/>
      <c r="J5" s="121"/>
      <c r="K5" s="10"/>
    </row>
    <row r="6" spans="1:11" ht="18" customHeight="1">
      <c r="A6" s="7"/>
      <c r="B6" s="5"/>
      <c r="C6" s="5"/>
      <c r="D6" s="120" t="s">
        <v>120</v>
      </c>
      <c r="E6" s="120"/>
      <c r="F6" s="120"/>
      <c r="G6" s="120" t="s">
        <v>117</v>
      </c>
      <c r="H6" s="30"/>
      <c r="I6" s="122"/>
      <c r="J6" s="122"/>
      <c r="K6" s="10"/>
    </row>
    <row r="7" spans="1:11" ht="18" customHeight="1">
      <c r="A7" s="7"/>
      <c r="B7" s="5"/>
      <c r="C7" s="5"/>
      <c r="D7" s="120" t="s">
        <v>118</v>
      </c>
      <c r="E7" s="120"/>
      <c r="F7" s="120"/>
      <c r="G7" s="120" t="s">
        <v>119</v>
      </c>
      <c r="H7" s="30"/>
      <c r="I7" s="122"/>
      <c r="J7" s="122"/>
      <c r="K7" s="11"/>
    </row>
    <row r="8" spans="1:13" ht="18" customHeight="1">
      <c r="A8" s="7"/>
      <c r="B8" s="12"/>
      <c r="C8" s="13"/>
      <c r="D8" s="58" t="s">
        <v>121</v>
      </c>
      <c r="E8" s="119"/>
      <c r="F8" s="14"/>
      <c r="G8" s="123" t="s">
        <v>85</v>
      </c>
      <c r="H8" s="58"/>
      <c r="I8" s="16"/>
      <c r="J8" s="44"/>
      <c r="K8" s="17"/>
      <c r="M8" t="s">
        <v>44</v>
      </c>
    </row>
    <row r="9" spans="1:11" ht="18" customHeight="1" thickBot="1">
      <c r="A9" s="7"/>
      <c r="B9" s="12"/>
      <c r="C9" s="13"/>
      <c r="D9" s="5"/>
      <c r="E9" s="14"/>
      <c r="F9" s="14"/>
      <c r="G9" s="15"/>
      <c r="H9" s="5"/>
      <c r="I9" s="16"/>
      <c r="J9" s="44"/>
      <c r="K9" s="17"/>
    </row>
    <row r="10" spans="1:11" ht="18" customHeight="1" thickBot="1">
      <c r="A10" s="7"/>
      <c r="B10" s="197" t="s">
        <v>46</v>
      </c>
      <c r="C10" s="198"/>
      <c r="D10" s="198"/>
      <c r="E10" s="199"/>
      <c r="F10" s="18"/>
      <c r="G10" s="197" t="s">
        <v>22</v>
      </c>
      <c r="H10" s="198"/>
      <c r="I10" s="198"/>
      <c r="J10" s="199"/>
      <c r="K10" s="19"/>
    </row>
    <row r="11" spans="1:11" ht="18" customHeight="1">
      <c r="A11" s="7"/>
      <c r="B11" s="100" t="s">
        <v>112</v>
      </c>
      <c r="C11" s="101"/>
      <c r="D11" s="93"/>
      <c r="E11" s="21">
        <v>5000</v>
      </c>
      <c r="F11" s="20" t="s">
        <v>84</v>
      </c>
      <c r="G11" s="92" t="s">
        <v>18</v>
      </c>
      <c r="H11" s="93"/>
      <c r="I11" s="93"/>
      <c r="J11" s="94">
        <f>J28+J34+J71</f>
        <v>2214684</v>
      </c>
      <c r="K11" s="19"/>
    </row>
    <row r="12" spans="1:11" ht="18" customHeight="1">
      <c r="A12" s="7"/>
      <c r="B12" s="102" t="s">
        <v>43</v>
      </c>
      <c r="C12" s="101"/>
      <c r="D12" s="93"/>
      <c r="E12" s="21">
        <v>650</v>
      </c>
      <c r="F12" s="20"/>
      <c r="G12" s="92" t="s">
        <v>19</v>
      </c>
      <c r="H12" s="95"/>
      <c r="I12" s="93"/>
      <c r="J12" s="94">
        <f>J28+J34+J71+J81</f>
        <v>2491519.5</v>
      </c>
      <c r="K12" s="19"/>
    </row>
    <row r="13" spans="1:11" ht="18" customHeight="1">
      <c r="A13" s="7"/>
      <c r="B13" s="102" t="s">
        <v>17</v>
      </c>
      <c r="C13" s="101"/>
      <c r="D13" s="93"/>
      <c r="E13" s="21">
        <v>12000</v>
      </c>
      <c r="F13" s="20"/>
      <c r="G13" s="132" t="s">
        <v>12</v>
      </c>
      <c r="H13" s="133"/>
      <c r="I13" s="133"/>
      <c r="J13" s="134">
        <f>E11*E12</f>
        <v>3250000</v>
      </c>
      <c r="K13" s="19"/>
    </row>
    <row r="14" spans="1:11" ht="18" customHeight="1">
      <c r="A14" s="7"/>
      <c r="B14" s="102" t="s">
        <v>8</v>
      </c>
      <c r="C14" s="103"/>
      <c r="D14" s="93"/>
      <c r="E14" s="22">
        <v>0.0125</v>
      </c>
      <c r="F14" s="20"/>
      <c r="G14" s="92" t="s">
        <v>20</v>
      </c>
      <c r="H14" s="93"/>
      <c r="I14" s="93"/>
      <c r="J14" s="94">
        <f>J13-J11</f>
        <v>1035316</v>
      </c>
      <c r="K14" s="19"/>
    </row>
    <row r="15" spans="1:11" ht="18" customHeight="1">
      <c r="A15" s="7"/>
      <c r="B15" s="102" t="s">
        <v>15</v>
      </c>
      <c r="C15" s="103"/>
      <c r="D15" s="93"/>
      <c r="E15" s="23">
        <v>0.5</v>
      </c>
      <c r="F15" s="20"/>
      <c r="G15" s="92" t="s">
        <v>21</v>
      </c>
      <c r="H15" s="93"/>
      <c r="I15" s="93"/>
      <c r="J15" s="94">
        <f>J13-J12</f>
        <v>758480.5</v>
      </c>
      <c r="K15" s="19"/>
    </row>
    <row r="16" spans="1:11" ht="18" customHeight="1" thickBot="1">
      <c r="A16" s="7"/>
      <c r="B16" s="104" t="s">
        <v>9</v>
      </c>
      <c r="C16" s="105"/>
      <c r="D16" s="97"/>
      <c r="E16" s="24">
        <v>12</v>
      </c>
      <c r="F16" s="5"/>
      <c r="G16" s="96"/>
      <c r="H16" s="97"/>
      <c r="I16" s="98"/>
      <c r="J16" s="99"/>
      <c r="K16" s="19"/>
    </row>
    <row r="17" spans="1:11" ht="18" customHeight="1" thickBot="1">
      <c r="A17" s="7"/>
      <c r="B17" s="12"/>
      <c r="C17" s="13"/>
      <c r="D17" s="13"/>
      <c r="E17" s="14"/>
      <c r="F17" s="14"/>
      <c r="G17" s="15"/>
      <c r="H17" s="9"/>
      <c r="I17" s="16"/>
      <c r="J17" s="25"/>
      <c r="K17" s="19"/>
    </row>
    <row r="18" spans="1:12" ht="18" customHeight="1">
      <c r="A18" s="7"/>
      <c r="B18" s="193" t="s">
        <v>32</v>
      </c>
      <c r="C18" s="194"/>
      <c r="D18" s="194"/>
      <c r="E18" s="194" t="s">
        <v>23</v>
      </c>
      <c r="F18" s="194"/>
      <c r="G18" s="200" t="s">
        <v>24</v>
      </c>
      <c r="H18" s="202" t="s">
        <v>25</v>
      </c>
      <c r="I18" s="204" t="s">
        <v>26</v>
      </c>
      <c r="J18" s="206" t="s">
        <v>6</v>
      </c>
      <c r="K18" s="19"/>
      <c r="L18" s="1"/>
    </row>
    <row r="19" spans="1:12" ht="18" customHeight="1" thickBot="1">
      <c r="A19" s="7"/>
      <c r="B19" s="195"/>
      <c r="C19" s="196"/>
      <c r="D19" s="196"/>
      <c r="E19" s="196"/>
      <c r="F19" s="196"/>
      <c r="G19" s="201"/>
      <c r="H19" s="203"/>
      <c r="I19" s="205"/>
      <c r="J19" s="207"/>
      <c r="K19" s="19"/>
      <c r="L19" s="1"/>
    </row>
    <row r="20" spans="1:12" ht="18" customHeight="1">
      <c r="A20" s="7"/>
      <c r="B20" s="26"/>
      <c r="C20" s="26"/>
      <c r="D20" s="26"/>
      <c r="E20" s="26"/>
      <c r="F20" s="26"/>
      <c r="G20" s="27"/>
      <c r="H20" s="28"/>
      <c r="I20" s="29"/>
      <c r="J20" s="29"/>
      <c r="K20" s="19"/>
      <c r="L20" s="1"/>
    </row>
    <row r="21" spans="1:12" ht="18" customHeight="1">
      <c r="A21" s="7"/>
      <c r="B21" s="26" t="s">
        <v>27</v>
      </c>
      <c r="C21" s="26"/>
      <c r="D21" s="26"/>
      <c r="E21" s="26"/>
      <c r="F21" s="26"/>
      <c r="G21" s="27"/>
      <c r="H21" s="28"/>
      <c r="I21" s="29"/>
      <c r="J21" s="29"/>
      <c r="K21" s="19"/>
      <c r="L21" s="1"/>
    </row>
    <row r="22" spans="1:13" ht="18" customHeight="1">
      <c r="A22" s="7"/>
      <c r="B22" s="184" t="s">
        <v>86</v>
      </c>
      <c r="C22" s="185"/>
      <c r="D22" s="185"/>
      <c r="E22" s="175" t="s">
        <v>81</v>
      </c>
      <c r="F22" s="176"/>
      <c r="G22" s="60">
        <v>10</v>
      </c>
      <c r="H22" s="60" t="s">
        <v>10</v>
      </c>
      <c r="I22" s="61">
        <v>12000</v>
      </c>
      <c r="J22" s="62">
        <f>G22*I22</f>
        <v>120000</v>
      </c>
      <c r="K22" s="19"/>
      <c r="L22" s="1"/>
      <c r="M22" s="40"/>
    </row>
    <row r="23" spans="1:13" ht="18" customHeight="1">
      <c r="A23" s="7"/>
      <c r="B23" s="187" t="s">
        <v>48</v>
      </c>
      <c r="C23" s="188"/>
      <c r="D23" s="189"/>
      <c r="E23" s="182" t="s">
        <v>91</v>
      </c>
      <c r="F23" s="183"/>
      <c r="G23" s="63">
        <v>6</v>
      </c>
      <c r="H23" s="63" t="s">
        <v>10</v>
      </c>
      <c r="I23" s="64">
        <v>12000</v>
      </c>
      <c r="J23" s="65">
        <f>G23*I23</f>
        <v>72000</v>
      </c>
      <c r="K23" s="19"/>
      <c r="L23" s="1"/>
      <c r="M23" s="40"/>
    </row>
    <row r="24" spans="1:12" ht="18" customHeight="1">
      <c r="A24" s="7"/>
      <c r="B24" s="66" t="s">
        <v>53</v>
      </c>
      <c r="C24" s="67"/>
      <c r="D24" s="67"/>
      <c r="E24" s="182" t="s">
        <v>79</v>
      </c>
      <c r="F24" s="183"/>
      <c r="G24" s="68">
        <v>500</v>
      </c>
      <c r="H24" s="68" t="s">
        <v>80</v>
      </c>
      <c r="I24" s="64">
        <v>300</v>
      </c>
      <c r="J24" s="65">
        <f>G24*I24</f>
        <v>150000</v>
      </c>
      <c r="K24" s="19"/>
      <c r="L24" s="1"/>
    </row>
    <row r="25" spans="1:12" ht="18" customHeight="1">
      <c r="A25" s="7"/>
      <c r="B25" s="66" t="s">
        <v>122</v>
      </c>
      <c r="C25" s="67"/>
      <c r="D25" s="67"/>
      <c r="E25" s="182" t="s">
        <v>106</v>
      </c>
      <c r="F25" s="183"/>
      <c r="G25" s="68">
        <v>3</v>
      </c>
      <c r="H25" s="68" t="s">
        <v>10</v>
      </c>
      <c r="I25" s="64">
        <v>12000</v>
      </c>
      <c r="J25" s="65">
        <f>G25*I25</f>
        <v>36000</v>
      </c>
      <c r="K25" s="19"/>
      <c r="L25" s="1"/>
    </row>
    <row r="26" spans="1:12" ht="18" customHeight="1">
      <c r="A26" s="7"/>
      <c r="B26" s="187" t="s">
        <v>123</v>
      </c>
      <c r="C26" s="188"/>
      <c r="D26" s="189"/>
      <c r="E26" s="182" t="s">
        <v>87</v>
      </c>
      <c r="F26" s="183"/>
      <c r="G26" s="63">
        <f>Hoja1!D5*Hoja1!C2</f>
        <v>5000</v>
      </c>
      <c r="H26" s="63" t="s">
        <v>11</v>
      </c>
      <c r="I26" s="64">
        <v>70</v>
      </c>
      <c r="J26" s="65">
        <f>G26*I26</f>
        <v>350000</v>
      </c>
      <c r="K26" s="19"/>
      <c r="L26" s="1"/>
    </row>
    <row r="27" spans="1:12" ht="18" customHeight="1">
      <c r="A27" s="7"/>
      <c r="B27" s="66" t="s">
        <v>90</v>
      </c>
      <c r="C27" s="67"/>
      <c r="D27" s="67"/>
      <c r="E27" s="182" t="s">
        <v>55</v>
      </c>
      <c r="F27" s="183"/>
      <c r="G27" s="68">
        <f>Hoja1!D6*Hoja1!C2</f>
        <v>4</v>
      </c>
      <c r="H27" s="68" t="s">
        <v>10</v>
      </c>
      <c r="I27" s="64">
        <v>12000</v>
      </c>
      <c r="J27" s="69">
        <f>G27*I27</f>
        <v>48000</v>
      </c>
      <c r="K27" s="19"/>
      <c r="L27" s="1"/>
    </row>
    <row r="28" spans="1:12" ht="18" customHeight="1">
      <c r="A28" s="7"/>
      <c r="B28" s="170" t="s">
        <v>28</v>
      </c>
      <c r="C28" s="171"/>
      <c r="D28" s="171"/>
      <c r="E28" s="171"/>
      <c r="F28" s="171"/>
      <c r="G28" s="171"/>
      <c r="H28" s="171"/>
      <c r="I28" s="171"/>
      <c r="J28" s="124">
        <f>SUM(J22:J27)</f>
        <v>776000</v>
      </c>
      <c r="K28" s="19"/>
      <c r="L28" s="1"/>
    </row>
    <row r="29" spans="1:12" s="2" customFormat="1" ht="18" customHeight="1">
      <c r="A29" s="30"/>
      <c r="B29" s="26"/>
      <c r="C29" s="26"/>
      <c r="D29" s="26"/>
      <c r="E29" s="26"/>
      <c r="F29" s="26"/>
      <c r="G29" s="27"/>
      <c r="H29" s="28"/>
      <c r="I29" s="29"/>
      <c r="J29" s="29"/>
      <c r="K29" s="19"/>
      <c r="L29" s="1"/>
    </row>
    <row r="30" spans="1:12" s="3" customFormat="1" ht="18" customHeight="1">
      <c r="A30" s="32"/>
      <c r="B30" s="26" t="s">
        <v>29</v>
      </c>
      <c r="C30" s="26"/>
      <c r="D30" s="26"/>
      <c r="E30" s="26"/>
      <c r="F30" s="26"/>
      <c r="G30" s="27"/>
      <c r="H30" s="28"/>
      <c r="I30" s="29"/>
      <c r="J30" s="29"/>
      <c r="K30" s="19"/>
      <c r="L30" s="1"/>
    </row>
    <row r="31" spans="1:12" ht="18" customHeight="1">
      <c r="A31" s="7"/>
      <c r="B31" s="184" t="s">
        <v>50</v>
      </c>
      <c r="C31" s="185"/>
      <c r="D31" s="186"/>
      <c r="E31" s="175" t="s">
        <v>91</v>
      </c>
      <c r="F31" s="176"/>
      <c r="G31" s="106">
        <v>3</v>
      </c>
      <c r="H31" s="107" t="s">
        <v>47</v>
      </c>
      <c r="I31" s="62">
        <v>25000</v>
      </c>
      <c r="J31" s="108">
        <f>G31*I31</f>
        <v>75000</v>
      </c>
      <c r="K31" s="19"/>
      <c r="L31" s="1"/>
    </row>
    <row r="32" spans="1:12" ht="18" customHeight="1">
      <c r="A32" s="7"/>
      <c r="B32" s="83" t="s">
        <v>126</v>
      </c>
      <c r="C32" s="84"/>
      <c r="D32" s="85"/>
      <c r="E32" s="182" t="s">
        <v>103</v>
      </c>
      <c r="F32" s="183"/>
      <c r="G32" s="70">
        <f>ROUNDUP(Hoja1!D7*Hoja1!C2,0)</f>
        <v>6</v>
      </c>
      <c r="H32" s="63" t="s">
        <v>82</v>
      </c>
      <c r="I32" s="65">
        <v>1000</v>
      </c>
      <c r="J32" s="71">
        <f>G32*I32</f>
        <v>6000</v>
      </c>
      <c r="K32" s="19"/>
      <c r="L32" s="1"/>
    </row>
    <row r="33" spans="1:12" ht="18" customHeight="1">
      <c r="A33" s="7"/>
      <c r="B33" s="83" t="s">
        <v>102</v>
      </c>
      <c r="C33" s="84"/>
      <c r="D33" s="85"/>
      <c r="E33" s="182" t="s">
        <v>103</v>
      </c>
      <c r="F33" s="183"/>
      <c r="G33" s="70">
        <f>Hoja1!D8*Hoja1!C2</f>
        <v>5000</v>
      </c>
      <c r="H33" s="63" t="s">
        <v>11</v>
      </c>
      <c r="I33" s="65">
        <v>8</v>
      </c>
      <c r="J33" s="71">
        <f>G33*I33</f>
        <v>40000</v>
      </c>
      <c r="K33" s="19"/>
      <c r="L33" s="1"/>
    </row>
    <row r="34" spans="1:12" ht="18" customHeight="1">
      <c r="A34" s="7"/>
      <c r="B34" s="170" t="s">
        <v>30</v>
      </c>
      <c r="C34" s="171"/>
      <c r="D34" s="171"/>
      <c r="E34" s="171"/>
      <c r="F34" s="171"/>
      <c r="G34" s="171"/>
      <c r="H34" s="171"/>
      <c r="I34" s="171"/>
      <c r="J34" s="125">
        <f>SUM(J31:J33)</f>
        <v>121000</v>
      </c>
      <c r="K34" s="19"/>
      <c r="L34" s="1"/>
    </row>
    <row r="35" spans="1:12" s="2" customFormat="1" ht="18" customHeight="1">
      <c r="A35" s="30"/>
      <c r="B35" s="26"/>
      <c r="C35" s="26"/>
      <c r="D35" s="26"/>
      <c r="E35" s="26"/>
      <c r="F35" s="26"/>
      <c r="G35" s="27"/>
      <c r="H35" s="28"/>
      <c r="I35" s="29"/>
      <c r="J35" s="29"/>
      <c r="K35" s="19"/>
      <c r="L35" s="1"/>
    </row>
    <row r="36" spans="1:12" ht="18" customHeight="1">
      <c r="A36" s="7"/>
      <c r="B36" s="26" t="s">
        <v>31</v>
      </c>
      <c r="C36" s="26"/>
      <c r="D36" s="26"/>
      <c r="E36" s="26"/>
      <c r="F36" s="26"/>
      <c r="G36" s="27"/>
      <c r="H36" s="28"/>
      <c r="I36" s="29"/>
      <c r="J36" s="29"/>
      <c r="K36" s="19"/>
      <c r="L36" s="1"/>
    </row>
    <row r="37" spans="1:12" ht="18" customHeight="1">
      <c r="A37" s="7"/>
      <c r="B37" s="177" t="s">
        <v>125</v>
      </c>
      <c r="C37" s="178" t="s">
        <v>13</v>
      </c>
      <c r="D37" s="178" t="s">
        <v>13</v>
      </c>
      <c r="E37" s="175"/>
      <c r="F37" s="176"/>
      <c r="G37" s="72"/>
      <c r="H37" s="73"/>
      <c r="I37" s="74"/>
      <c r="J37" s="75"/>
      <c r="K37" s="19"/>
      <c r="L37" s="1"/>
    </row>
    <row r="38" spans="1:12" ht="18" customHeight="1">
      <c r="A38" s="7"/>
      <c r="B38" s="179" t="s">
        <v>124</v>
      </c>
      <c r="C38" s="180"/>
      <c r="D38" s="181"/>
      <c r="E38" s="182" t="s">
        <v>91</v>
      </c>
      <c r="F38" s="183"/>
      <c r="G38" s="68">
        <v>55</v>
      </c>
      <c r="H38" s="76" t="s">
        <v>11</v>
      </c>
      <c r="I38" s="77">
        <v>675</v>
      </c>
      <c r="J38" s="78">
        <f>G38*I38</f>
        <v>37125</v>
      </c>
      <c r="K38" s="19"/>
      <c r="L38" s="1"/>
    </row>
    <row r="39" spans="1:12" ht="18" customHeight="1">
      <c r="A39" s="7"/>
      <c r="B39" s="89" t="s">
        <v>92</v>
      </c>
      <c r="C39" s="90"/>
      <c r="D39" s="91"/>
      <c r="E39" s="182" t="s">
        <v>91</v>
      </c>
      <c r="F39" s="183"/>
      <c r="G39" s="68">
        <v>590</v>
      </c>
      <c r="H39" s="76" t="s">
        <v>11</v>
      </c>
      <c r="I39" s="77">
        <v>314</v>
      </c>
      <c r="J39" s="78">
        <f aca="true" t="shared" si="0" ref="J39:J70">G39*I39</f>
        <v>185260</v>
      </c>
      <c r="K39" s="19"/>
      <c r="L39" s="1"/>
    </row>
    <row r="40" spans="1:12" ht="18" customHeight="1">
      <c r="A40" s="7"/>
      <c r="B40" s="89" t="s">
        <v>93</v>
      </c>
      <c r="C40" s="90"/>
      <c r="D40" s="91"/>
      <c r="E40" s="182" t="s">
        <v>94</v>
      </c>
      <c r="F40" s="183"/>
      <c r="G40" s="68">
        <v>320</v>
      </c>
      <c r="H40" s="76" t="s">
        <v>11</v>
      </c>
      <c r="I40" s="77">
        <v>730</v>
      </c>
      <c r="J40" s="78">
        <f t="shared" si="0"/>
        <v>233600</v>
      </c>
      <c r="K40" s="19"/>
      <c r="L40" s="1"/>
    </row>
    <row r="41" spans="1:12" ht="18" customHeight="1">
      <c r="A41" s="7"/>
      <c r="B41" s="89" t="s">
        <v>95</v>
      </c>
      <c r="C41" s="90"/>
      <c r="D41" s="91"/>
      <c r="E41" s="182" t="s">
        <v>91</v>
      </c>
      <c r="F41" s="183"/>
      <c r="G41" s="68">
        <v>120</v>
      </c>
      <c r="H41" s="76" t="s">
        <v>11</v>
      </c>
      <c r="I41" s="77">
        <v>328</v>
      </c>
      <c r="J41" s="78">
        <f t="shared" si="0"/>
        <v>39360</v>
      </c>
      <c r="K41" s="19"/>
      <c r="L41" s="1"/>
    </row>
    <row r="42" spans="1:12" ht="18" customHeight="1">
      <c r="A42" s="7"/>
      <c r="B42" s="89"/>
      <c r="C42" s="90"/>
      <c r="D42" s="91"/>
      <c r="E42" s="81"/>
      <c r="F42" s="82"/>
      <c r="G42" s="68"/>
      <c r="H42" s="76"/>
      <c r="I42" s="77"/>
      <c r="J42" s="78"/>
      <c r="K42" s="19"/>
      <c r="L42" s="1"/>
    </row>
    <row r="43" spans="1:12" ht="18" customHeight="1">
      <c r="A43" s="7"/>
      <c r="B43" s="172" t="s">
        <v>72</v>
      </c>
      <c r="C43" s="173" t="s">
        <v>14</v>
      </c>
      <c r="D43" s="174" t="s">
        <v>14</v>
      </c>
      <c r="E43" s="182"/>
      <c r="F43" s="183"/>
      <c r="G43" s="109"/>
      <c r="H43" s="110"/>
      <c r="I43" s="111"/>
      <c r="J43" s="78"/>
      <c r="K43" s="19"/>
      <c r="L43" s="1"/>
    </row>
    <row r="44" spans="1:12" ht="18" customHeight="1">
      <c r="A44" s="7" t="s">
        <v>60</v>
      </c>
      <c r="B44" s="187" t="s">
        <v>114</v>
      </c>
      <c r="C44" s="188"/>
      <c r="D44" s="189"/>
      <c r="E44" s="182" t="s">
        <v>108</v>
      </c>
      <c r="F44" s="183"/>
      <c r="G44" s="68">
        <v>40</v>
      </c>
      <c r="H44" s="76" t="s">
        <v>11</v>
      </c>
      <c r="I44" s="77">
        <v>5100</v>
      </c>
      <c r="J44" s="78">
        <f t="shared" si="0"/>
        <v>204000</v>
      </c>
      <c r="K44" s="19"/>
      <c r="L44" s="1"/>
    </row>
    <row r="45" spans="1:12" ht="18" customHeight="1">
      <c r="A45" s="7"/>
      <c r="B45" s="83" t="s">
        <v>96</v>
      </c>
      <c r="C45" s="87"/>
      <c r="D45" s="88"/>
      <c r="E45" s="182" t="s">
        <v>79</v>
      </c>
      <c r="F45" s="183"/>
      <c r="G45" s="68">
        <v>3</v>
      </c>
      <c r="H45" s="76" t="s">
        <v>54</v>
      </c>
      <c r="I45" s="77">
        <v>1016</v>
      </c>
      <c r="J45" s="78">
        <f t="shared" si="0"/>
        <v>3048</v>
      </c>
      <c r="K45" s="19"/>
      <c r="L45" s="1"/>
    </row>
    <row r="46" spans="1:12" ht="18" customHeight="1">
      <c r="A46" s="7"/>
      <c r="B46" s="83" t="s">
        <v>98</v>
      </c>
      <c r="C46" s="87"/>
      <c r="D46" s="88"/>
      <c r="E46" s="182" t="s">
        <v>107</v>
      </c>
      <c r="F46" s="183"/>
      <c r="G46" s="68">
        <v>12</v>
      </c>
      <c r="H46" s="76" t="s">
        <v>11</v>
      </c>
      <c r="I46" s="77">
        <v>1237</v>
      </c>
      <c r="J46" s="78">
        <f t="shared" si="0"/>
        <v>14844</v>
      </c>
      <c r="K46" s="19"/>
      <c r="L46" s="1"/>
    </row>
    <row r="47" spans="1:12" ht="18" customHeight="1">
      <c r="A47" s="7"/>
      <c r="B47" s="83" t="s">
        <v>129</v>
      </c>
      <c r="C47" s="87"/>
      <c r="D47" s="88"/>
      <c r="E47" s="182" t="s">
        <v>107</v>
      </c>
      <c r="F47" s="183"/>
      <c r="G47" s="68">
        <v>56</v>
      </c>
      <c r="H47" s="76" t="s">
        <v>54</v>
      </c>
      <c r="I47" s="77">
        <v>1450</v>
      </c>
      <c r="J47" s="78">
        <f t="shared" si="0"/>
        <v>81200</v>
      </c>
      <c r="K47" s="19"/>
      <c r="L47" s="1"/>
    </row>
    <row r="48" spans="1:12" ht="18" customHeight="1">
      <c r="A48" s="7"/>
      <c r="B48" s="83" t="s">
        <v>100</v>
      </c>
      <c r="C48" s="84"/>
      <c r="D48" s="84"/>
      <c r="E48" s="182" t="s">
        <v>63</v>
      </c>
      <c r="F48" s="183"/>
      <c r="G48" s="68">
        <v>1.5</v>
      </c>
      <c r="H48" s="76" t="s">
        <v>54</v>
      </c>
      <c r="I48" s="77">
        <v>30670</v>
      </c>
      <c r="J48" s="78">
        <f t="shared" si="0"/>
        <v>46005</v>
      </c>
      <c r="K48" s="19"/>
      <c r="L48" s="1"/>
    </row>
    <row r="49" spans="1:12" ht="18" customHeight="1">
      <c r="A49" s="7"/>
      <c r="B49" s="83" t="s">
        <v>110</v>
      </c>
      <c r="C49" s="84"/>
      <c r="D49" s="84"/>
      <c r="E49" s="182" t="s">
        <v>63</v>
      </c>
      <c r="F49" s="183"/>
      <c r="G49" s="68">
        <v>3</v>
      </c>
      <c r="H49" s="76" t="s">
        <v>11</v>
      </c>
      <c r="I49" s="77">
        <v>7763</v>
      </c>
      <c r="J49" s="78">
        <f t="shared" si="0"/>
        <v>23289</v>
      </c>
      <c r="K49" s="19"/>
      <c r="L49" s="1"/>
    </row>
    <row r="50" spans="1:12" ht="18" customHeight="1">
      <c r="A50" s="7"/>
      <c r="B50" s="83"/>
      <c r="C50" s="84"/>
      <c r="D50" s="85"/>
      <c r="E50" s="81"/>
      <c r="F50" s="82"/>
      <c r="G50" s="68"/>
      <c r="H50" s="76"/>
      <c r="I50" s="77"/>
      <c r="J50" s="78"/>
      <c r="K50" s="19"/>
      <c r="L50" s="1"/>
    </row>
    <row r="51" spans="1:12" ht="18" customHeight="1">
      <c r="A51" s="7"/>
      <c r="B51" s="86" t="s">
        <v>73</v>
      </c>
      <c r="C51" s="84"/>
      <c r="D51" s="85"/>
      <c r="E51" s="182"/>
      <c r="F51" s="183"/>
      <c r="G51" s="68"/>
      <c r="H51" s="76"/>
      <c r="I51" s="77"/>
      <c r="J51" s="78"/>
      <c r="K51" s="19"/>
      <c r="L51" s="1"/>
    </row>
    <row r="52" spans="1:12" ht="18" customHeight="1">
      <c r="A52" s="7"/>
      <c r="B52" s="83" t="s">
        <v>109</v>
      </c>
      <c r="C52" s="84"/>
      <c r="D52" s="85" t="s">
        <v>59</v>
      </c>
      <c r="E52" s="182" t="s">
        <v>62</v>
      </c>
      <c r="F52" s="183"/>
      <c r="G52" s="68">
        <v>4</v>
      </c>
      <c r="H52" s="76" t="s">
        <v>54</v>
      </c>
      <c r="I52" s="77">
        <v>5348</v>
      </c>
      <c r="J52" s="78">
        <f t="shared" si="0"/>
        <v>21392</v>
      </c>
      <c r="K52" s="19"/>
      <c r="L52" s="1"/>
    </row>
    <row r="53" spans="1:12" ht="18" customHeight="1">
      <c r="A53" s="7"/>
      <c r="B53" s="83" t="s">
        <v>97</v>
      </c>
      <c r="C53" s="84"/>
      <c r="D53" s="85"/>
      <c r="E53" s="182" t="s">
        <v>62</v>
      </c>
      <c r="F53" s="183"/>
      <c r="G53" s="68">
        <v>6</v>
      </c>
      <c r="H53" s="76" t="s">
        <v>54</v>
      </c>
      <c r="I53" s="77">
        <v>10192</v>
      </c>
      <c r="J53" s="78">
        <f t="shared" si="0"/>
        <v>61152</v>
      </c>
      <c r="K53" s="19"/>
      <c r="L53" s="1"/>
    </row>
    <row r="54" spans="1:12" ht="18" customHeight="1">
      <c r="A54" s="7"/>
      <c r="B54" s="83"/>
      <c r="C54" s="84"/>
      <c r="D54" s="85"/>
      <c r="E54" s="81"/>
      <c r="F54" s="82"/>
      <c r="G54" s="68"/>
      <c r="H54" s="76"/>
      <c r="I54" s="77"/>
      <c r="J54" s="78"/>
      <c r="K54" s="19"/>
      <c r="L54" s="1"/>
    </row>
    <row r="55" spans="1:12" ht="18" customHeight="1">
      <c r="A55" s="7"/>
      <c r="B55" s="86" t="s">
        <v>99</v>
      </c>
      <c r="C55" s="84"/>
      <c r="D55" s="85"/>
      <c r="E55" s="81"/>
      <c r="F55" s="82"/>
      <c r="G55" s="68"/>
      <c r="H55" s="76"/>
      <c r="I55" s="77"/>
      <c r="J55" s="78"/>
      <c r="K55" s="19"/>
      <c r="L55" s="1"/>
    </row>
    <row r="56" spans="1:12" ht="18" customHeight="1">
      <c r="A56" s="7"/>
      <c r="B56" s="83" t="s">
        <v>101</v>
      </c>
      <c r="C56" s="84"/>
      <c r="D56" s="85"/>
      <c r="E56" s="182" t="s">
        <v>107</v>
      </c>
      <c r="F56" s="183"/>
      <c r="G56" s="68">
        <v>2.5</v>
      </c>
      <c r="H56" s="76" t="s">
        <v>54</v>
      </c>
      <c r="I56" s="77">
        <v>5348</v>
      </c>
      <c r="J56" s="78">
        <f t="shared" si="0"/>
        <v>13370</v>
      </c>
      <c r="K56" s="19"/>
      <c r="L56" s="1"/>
    </row>
    <row r="57" spans="1:12" ht="18" customHeight="1">
      <c r="A57" s="7"/>
      <c r="B57" s="83"/>
      <c r="C57" s="84"/>
      <c r="D57" s="85"/>
      <c r="E57" s="182"/>
      <c r="F57" s="183"/>
      <c r="G57" s="68"/>
      <c r="H57" s="76"/>
      <c r="I57" s="77"/>
      <c r="J57" s="78"/>
      <c r="K57" s="19"/>
      <c r="L57" s="1"/>
    </row>
    <row r="58" spans="1:12" ht="18" customHeight="1">
      <c r="A58" s="7"/>
      <c r="B58" s="86" t="s">
        <v>88</v>
      </c>
      <c r="C58" s="84"/>
      <c r="D58" s="84"/>
      <c r="E58" s="81"/>
      <c r="F58" s="82"/>
      <c r="G58" s="68"/>
      <c r="H58" s="76"/>
      <c r="I58" s="77"/>
      <c r="J58" s="78"/>
      <c r="K58" s="19"/>
      <c r="L58" s="1"/>
    </row>
    <row r="59" spans="1:12" ht="18" customHeight="1">
      <c r="A59" s="7"/>
      <c r="B59" s="83" t="s">
        <v>104</v>
      </c>
      <c r="C59" s="84"/>
      <c r="D59" s="84" t="s">
        <v>58</v>
      </c>
      <c r="E59" s="182" t="s">
        <v>63</v>
      </c>
      <c r="F59" s="183"/>
      <c r="G59" s="68">
        <v>1</v>
      </c>
      <c r="H59" s="76" t="s">
        <v>54</v>
      </c>
      <c r="I59" s="77">
        <v>7644</v>
      </c>
      <c r="J59" s="78">
        <f t="shared" si="0"/>
        <v>7644</v>
      </c>
      <c r="K59" s="19"/>
      <c r="L59" s="1"/>
    </row>
    <row r="60" spans="1:12" ht="18" customHeight="1">
      <c r="A60" s="7"/>
      <c r="B60" s="187"/>
      <c r="C60" s="188"/>
      <c r="D60" s="188"/>
      <c r="E60" s="182"/>
      <c r="F60" s="183"/>
      <c r="G60" s="68"/>
      <c r="H60" s="76"/>
      <c r="I60" s="77"/>
      <c r="J60" s="78"/>
      <c r="K60" s="19"/>
      <c r="L60" s="1"/>
    </row>
    <row r="61" spans="1:12" ht="18" customHeight="1">
      <c r="A61" s="7"/>
      <c r="B61" s="220" t="s">
        <v>74</v>
      </c>
      <c r="C61" s="221"/>
      <c r="D61" s="222"/>
      <c r="E61" s="182"/>
      <c r="F61" s="183"/>
      <c r="G61" s="68" t="s">
        <v>56</v>
      </c>
      <c r="H61" s="76"/>
      <c r="I61" s="77"/>
      <c r="J61" s="78"/>
      <c r="K61" s="19"/>
      <c r="L61" s="1"/>
    </row>
    <row r="62" spans="1:12" ht="18" customHeight="1">
      <c r="A62" s="7"/>
      <c r="B62" s="130" t="s">
        <v>138</v>
      </c>
      <c r="C62" s="131"/>
      <c r="D62" s="131"/>
      <c r="E62" s="182" t="s">
        <v>137</v>
      </c>
      <c r="F62" s="183"/>
      <c r="G62" s="68">
        <v>10</v>
      </c>
      <c r="H62" s="76" t="s">
        <v>25</v>
      </c>
      <c r="I62" s="77">
        <v>12000</v>
      </c>
      <c r="J62" s="78">
        <f>G62*I62</f>
        <v>120000</v>
      </c>
      <c r="K62" s="19"/>
      <c r="L62" s="1"/>
    </row>
    <row r="63" spans="1:12" ht="18" customHeight="1">
      <c r="A63" s="7"/>
      <c r="B63" s="83" t="s">
        <v>105</v>
      </c>
      <c r="C63" s="84"/>
      <c r="D63" s="84"/>
      <c r="E63" s="182" t="s">
        <v>63</v>
      </c>
      <c r="F63" s="183"/>
      <c r="G63" s="68">
        <v>3</v>
      </c>
      <c r="H63" s="76" t="s">
        <v>54</v>
      </c>
      <c r="I63" s="77">
        <v>2125</v>
      </c>
      <c r="J63" s="78">
        <f t="shared" si="0"/>
        <v>6375</v>
      </c>
      <c r="K63" s="19"/>
      <c r="L63" s="1"/>
    </row>
    <row r="64" spans="1:12" ht="18" customHeight="1">
      <c r="A64" s="7"/>
      <c r="B64" s="83" t="s">
        <v>113</v>
      </c>
      <c r="C64" s="87"/>
      <c r="D64" s="88"/>
      <c r="E64" s="182" t="s">
        <v>63</v>
      </c>
      <c r="F64" s="183"/>
      <c r="G64" s="68">
        <v>3</v>
      </c>
      <c r="H64" s="76" t="s">
        <v>54</v>
      </c>
      <c r="I64" s="77">
        <v>4600</v>
      </c>
      <c r="J64" s="78">
        <f t="shared" si="0"/>
        <v>13800</v>
      </c>
      <c r="K64" s="19"/>
      <c r="L64" s="1"/>
    </row>
    <row r="65" spans="1:12" ht="18" customHeight="1">
      <c r="A65" s="7"/>
      <c r="B65" s="83" t="s">
        <v>127</v>
      </c>
      <c r="C65" s="87"/>
      <c r="D65" s="88"/>
      <c r="E65" s="182" t="s">
        <v>87</v>
      </c>
      <c r="F65" s="183"/>
      <c r="G65" s="68">
        <v>8</v>
      </c>
      <c r="H65" s="76" t="s">
        <v>25</v>
      </c>
      <c r="I65" s="77">
        <v>10000</v>
      </c>
      <c r="J65" s="78">
        <f>(G65*I65)/5</f>
        <v>16000</v>
      </c>
      <c r="K65" s="19"/>
      <c r="L65" s="1"/>
    </row>
    <row r="66" spans="1:12" ht="18" customHeight="1">
      <c r="A66" s="7"/>
      <c r="B66" s="83" t="s">
        <v>128</v>
      </c>
      <c r="C66" s="112"/>
      <c r="D66" s="113"/>
      <c r="E66" s="182" t="s">
        <v>87</v>
      </c>
      <c r="F66" s="183"/>
      <c r="G66" s="68">
        <v>100</v>
      </c>
      <c r="H66" s="76" t="s">
        <v>75</v>
      </c>
      <c r="I66" s="77">
        <v>1666</v>
      </c>
      <c r="J66" s="78">
        <f>(G66*I66)/5</f>
        <v>33320</v>
      </c>
      <c r="K66" s="19"/>
      <c r="L66" s="1"/>
    </row>
    <row r="67" spans="1:12" ht="18" customHeight="1">
      <c r="A67" s="7"/>
      <c r="B67" s="83" t="s">
        <v>82</v>
      </c>
      <c r="C67" s="84"/>
      <c r="D67" s="85"/>
      <c r="E67" s="182" t="s">
        <v>78</v>
      </c>
      <c r="F67" s="183"/>
      <c r="G67" s="68">
        <v>125</v>
      </c>
      <c r="H67" s="76" t="s">
        <v>25</v>
      </c>
      <c r="I67" s="77">
        <v>100</v>
      </c>
      <c r="J67" s="78">
        <f t="shared" si="0"/>
        <v>12500</v>
      </c>
      <c r="K67" s="19"/>
      <c r="L67" s="1"/>
    </row>
    <row r="68" spans="1:12" ht="18" customHeight="1">
      <c r="A68" s="7"/>
      <c r="B68" s="83" t="s">
        <v>130</v>
      </c>
      <c r="C68" s="84"/>
      <c r="D68" s="85"/>
      <c r="E68" s="182" t="s">
        <v>78</v>
      </c>
      <c r="F68" s="183"/>
      <c r="G68" s="63">
        <v>6</v>
      </c>
      <c r="H68" s="118" t="s">
        <v>25</v>
      </c>
      <c r="I68" s="116">
        <v>2000</v>
      </c>
      <c r="J68" s="78">
        <f>(G68*I68)/5</f>
        <v>2400</v>
      </c>
      <c r="K68" s="19"/>
      <c r="L68" s="1"/>
    </row>
    <row r="69" spans="1:12" ht="18" customHeight="1">
      <c r="A69" s="7"/>
      <c r="B69" s="187" t="s">
        <v>131</v>
      </c>
      <c r="C69" s="188"/>
      <c r="D69" s="188"/>
      <c r="E69" s="182" t="s">
        <v>61</v>
      </c>
      <c r="F69" s="183"/>
      <c r="G69" s="63">
        <v>1</v>
      </c>
      <c r="H69" s="118" t="s">
        <v>25</v>
      </c>
      <c r="I69" s="116">
        <v>22000</v>
      </c>
      <c r="J69" s="78">
        <f t="shared" si="0"/>
        <v>22000</v>
      </c>
      <c r="K69" s="19"/>
      <c r="L69" s="1"/>
    </row>
    <row r="70" spans="1:12" ht="18" customHeight="1">
      <c r="A70" s="7"/>
      <c r="B70" s="83" t="s">
        <v>132</v>
      </c>
      <c r="C70" s="84"/>
      <c r="D70" s="84"/>
      <c r="E70" s="223" t="s">
        <v>91</v>
      </c>
      <c r="F70" s="224"/>
      <c r="G70" s="117">
        <v>1</v>
      </c>
      <c r="H70" s="118" t="s">
        <v>25</v>
      </c>
      <c r="I70" s="116">
        <v>120000</v>
      </c>
      <c r="J70" s="79">
        <f t="shared" si="0"/>
        <v>120000</v>
      </c>
      <c r="K70" s="19"/>
      <c r="L70" s="1"/>
    </row>
    <row r="71" spans="1:13" ht="18" customHeight="1">
      <c r="A71" s="7"/>
      <c r="B71" s="215" t="s">
        <v>33</v>
      </c>
      <c r="C71" s="216"/>
      <c r="D71" s="216"/>
      <c r="E71" s="216"/>
      <c r="F71" s="216"/>
      <c r="G71" s="216"/>
      <c r="H71" s="216"/>
      <c r="I71" s="216"/>
      <c r="J71" s="126">
        <f>SUM(J37:J70)</f>
        <v>1317684</v>
      </c>
      <c r="K71" s="19"/>
      <c r="L71" s="1"/>
      <c r="M71" t="s">
        <v>57</v>
      </c>
    </row>
    <row r="72" spans="1:12" s="2" customFormat="1" ht="18" customHeight="1">
      <c r="A72" s="30"/>
      <c r="B72" s="33"/>
      <c r="C72" s="33"/>
      <c r="D72" s="33"/>
      <c r="E72" s="33"/>
      <c r="F72" s="33"/>
      <c r="G72" s="33"/>
      <c r="H72" s="33"/>
      <c r="I72" s="33"/>
      <c r="J72" s="34"/>
      <c r="K72" s="19"/>
      <c r="L72" s="1"/>
    </row>
    <row r="73" spans="1:12" ht="18" customHeight="1">
      <c r="A73" s="7"/>
      <c r="B73" s="213" t="s">
        <v>34</v>
      </c>
      <c r="C73" s="214"/>
      <c r="D73" s="214"/>
      <c r="E73" s="214"/>
      <c r="F73" s="214"/>
      <c r="G73" s="214"/>
      <c r="H73" s="214"/>
      <c r="I73" s="214"/>
      <c r="J73" s="125">
        <f>J28+J34+J71</f>
        <v>2214684</v>
      </c>
      <c r="K73" s="19"/>
      <c r="L73" s="1"/>
    </row>
    <row r="74" spans="1:12" s="2" customFormat="1" ht="18" customHeight="1">
      <c r="A74" s="30"/>
      <c r="B74" s="26"/>
      <c r="C74" s="26"/>
      <c r="D74" s="26"/>
      <c r="E74" s="26"/>
      <c r="F74" s="27"/>
      <c r="G74" s="28"/>
      <c r="H74" s="29"/>
      <c r="I74" s="29"/>
      <c r="J74" s="26"/>
      <c r="K74" s="19"/>
      <c r="L74" s="1"/>
    </row>
    <row r="75" spans="1:12" ht="18" customHeight="1">
      <c r="A75" s="7"/>
      <c r="B75" s="26" t="s">
        <v>35</v>
      </c>
      <c r="C75" s="26"/>
      <c r="D75" s="26"/>
      <c r="E75" s="42" t="s">
        <v>2</v>
      </c>
      <c r="F75" s="42"/>
      <c r="G75" s="43"/>
      <c r="H75" s="42"/>
      <c r="I75" s="41" t="s">
        <v>1</v>
      </c>
      <c r="J75" s="41" t="s">
        <v>6</v>
      </c>
      <c r="K75" s="19"/>
      <c r="L75" s="1"/>
    </row>
    <row r="76" spans="1:12" ht="18" customHeight="1">
      <c r="A76" s="7"/>
      <c r="B76" s="212" t="s">
        <v>0</v>
      </c>
      <c r="C76" s="212"/>
      <c r="D76" s="212"/>
      <c r="E76" s="212" t="s">
        <v>3</v>
      </c>
      <c r="F76" s="212"/>
      <c r="G76" s="212"/>
      <c r="H76" s="212"/>
      <c r="I76" s="54">
        <v>0.05</v>
      </c>
      <c r="J76" s="55">
        <f>J73*I76</f>
        <v>110734.20000000001</v>
      </c>
      <c r="K76" s="19"/>
      <c r="L76" s="1"/>
    </row>
    <row r="77" spans="1:12" ht="18" customHeight="1">
      <c r="A77" s="7"/>
      <c r="B77" s="212" t="s">
        <v>36</v>
      </c>
      <c r="C77" s="212"/>
      <c r="D77" s="212"/>
      <c r="E77" s="212" t="s">
        <v>7</v>
      </c>
      <c r="F77" s="212"/>
      <c r="G77" s="212"/>
      <c r="H77" s="212"/>
      <c r="I77" s="56">
        <f>E14</f>
        <v>0.0125</v>
      </c>
      <c r="J77" s="55">
        <f>E14*E15*E16*J73</f>
        <v>166101.30000000002</v>
      </c>
      <c r="K77" s="19"/>
      <c r="L77" s="1"/>
    </row>
    <row r="78" spans="1:12" ht="18" customHeight="1">
      <c r="A78" s="7"/>
      <c r="B78" s="212" t="s">
        <v>37</v>
      </c>
      <c r="C78" s="212"/>
      <c r="D78" s="212"/>
      <c r="E78" s="211" t="s">
        <v>5</v>
      </c>
      <c r="F78" s="211"/>
      <c r="G78" s="211"/>
      <c r="H78" s="211"/>
      <c r="I78" s="211"/>
      <c r="J78" s="57"/>
      <c r="K78" s="19"/>
      <c r="L78" s="1"/>
    </row>
    <row r="79" spans="1:12" ht="18" customHeight="1">
      <c r="A79" s="7"/>
      <c r="B79" s="212" t="s">
        <v>4</v>
      </c>
      <c r="C79" s="212"/>
      <c r="D79" s="212"/>
      <c r="E79" s="211"/>
      <c r="F79" s="211"/>
      <c r="G79" s="211"/>
      <c r="H79" s="211"/>
      <c r="I79" s="211"/>
      <c r="J79" s="57"/>
      <c r="K79" s="19"/>
      <c r="L79" s="1"/>
    </row>
    <row r="80" spans="1:12" ht="18" customHeight="1">
      <c r="A80" s="7"/>
      <c r="B80" s="212" t="s">
        <v>38</v>
      </c>
      <c r="C80" s="212"/>
      <c r="D80" s="212"/>
      <c r="E80" s="211"/>
      <c r="F80" s="211"/>
      <c r="G80" s="211"/>
      <c r="H80" s="211"/>
      <c r="I80" s="211"/>
      <c r="J80" s="57"/>
      <c r="K80" s="19"/>
      <c r="L80" s="1"/>
    </row>
    <row r="81" spans="1:12" ht="18" customHeight="1">
      <c r="A81" s="7"/>
      <c r="B81" s="141" t="s">
        <v>39</v>
      </c>
      <c r="C81" s="142"/>
      <c r="D81" s="142"/>
      <c r="E81" s="142"/>
      <c r="F81" s="142"/>
      <c r="G81" s="142"/>
      <c r="H81" s="142"/>
      <c r="I81" s="142"/>
      <c r="J81" s="53">
        <f>SUM(J76:J80)</f>
        <v>276835.5</v>
      </c>
      <c r="K81" s="19"/>
      <c r="L81" s="1"/>
    </row>
    <row r="82" spans="1:12" s="2" customFormat="1" ht="18" customHeight="1">
      <c r="A82" s="30"/>
      <c r="B82" s="28"/>
      <c r="C82" s="28"/>
      <c r="D82" s="28"/>
      <c r="E82" s="28"/>
      <c r="F82" s="28"/>
      <c r="G82" s="28"/>
      <c r="H82" s="28"/>
      <c r="I82" s="28"/>
      <c r="J82" s="31"/>
      <c r="K82" s="19"/>
      <c r="L82" s="1"/>
    </row>
    <row r="83" spans="1:12" ht="18" customHeight="1">
      <c r="A83" s="7"/>
      <c r="B83" s="168" t="s">
        <v>40</v>
      </c>
      <c r="C83" s="169"/>
      <c r="D83" s="169"/>
      <c r="E83" s="169"/>
      <c r="F83" s="169"/>
      <c r="G83" s="169"/>
      <c r="H83" s="169"/>
      <c r="I83" s="169"/>
      <c r="J83" s="80">
        <f>J73+J81</f>
        <v>2491519.5</v>
      </c>
      <c r="K83" s="19"/>
      <c r="L83" s="1"/>
    </row>
    <row r="84" spans="1:12" s="2" customFormat="1" ht="18" customHeight="1" thickBot="1">
      <c r="A84" s="30"/>
      <c r="B84" s="28"/>
      <c r="C84" s="28"/>
      <c r="D84" s="28"/>
      <c r="E84" s="28"/>
      <c r="F84" s="28"/>
      <c r="G84" s="28"/>
      <c r="H84" s="28"/>
      <c r="I84" s="28"/>
      <c r="J84" s="31"/>
      <c r="K84" s="19"/>
      <c r="L84" s="1"/>
    </row>
    <row r="85" spans="1:12" ht="18" customHeight="1" thickBot="1">
      <c r="A85" s="7"/>
      <c r="B85" s="165" t="s">
        <v>41</v>
      </c>
      <c r="C85" s="166"/>
      <c r="D85" s="166"/>
      <c r="E85" s="166"/>
      <c r="F85" s="166"/>
      <c r="G85" s="166"/>
      <c r="H85" s="166"/>
      <c r="I85" s="166"/>
      <c r="J85" s="167"/>
      <c r="K85" s="19"/>
      <c r="L85" s="1"/>
    </row>
    <row r="86" spans="1:12" s="2" customFormat="1" ht="18" customHeight="1">
      <c r="A86" s="30"/>
      <c r="B86" s="35"/>
      <c r="C86" s="35"/>
      <c r="D86" s="35"/>
      <c r="E86" s="35"/>
      <c r="F86" s="35"/>
      <c r="G86" s="35"/>
      <c r="H86" s="35"/>
      <c r="I86" s="35"/>
      <c r="J86" s="35"/>
      <c r="K86" s="19"/>
      <c r="L86" s="1"/>
    </row>
    <row r="87" spans="1:12" ht="18" customHeight="1">
      <c r="A87" s="7"/>
      <c r="B87" s="30"/>
      <c r="C87" s="30"/>
      <c r="D87" s="153" t="s">
        <v>76</v>
      </c>
      <c r="E87" s="154"/>
      <c r="F87" s="154"/>
      <c r="G87" s="154"/>
      <c r="H87" s="155"/>
      <c r="I87" s="30"/>
      <c r="J87" s="30"/>
      <c r="K87" s="19"/>
      <c r="L87" s="1"/>
    </row>
    <row r="88" spans="1:12" ht="18" customHeight="1">
      <c r="A88" s="7"/>
      <c r="B88" s="30"/>
      <c r="C88" s="30"/>
      <c r="D88" s="147" t="s">
        <v>133</v>
      </c>
      <c r="E88" s="148"/>
      <c r="F88" s="153" t="s">
        <v>49</v>
      </c>
      <c r="G88" s="154"/>
      <c r="H88" s="155"/>
      <c r="I88" s="30"/>
      <c r="J88" s="30"/>
      <c r="K88" s="19"/>
      <c r="L88" s="1"/>
    </row>
    <row r="89" spans="1:12" ht="18" customHeight="1">
      <c r="A89" s="7"/>
      <c r="B89" s="30"/>
      <c r="C89" s="30"/>
      <c r="D89" s="151"/>
      <c r="E89" s="152"/>
      <c r="F89" s="127">
        <f>G89*0.9</f>
        <v>585</v>
      </c>
      <c r="G89" s="128">
        <f>E12</f>
        <v>650</v>
      </c>
      <c r="H89" s="127">
        <f>G89*1.1</f>
        <v>715.0000000000001</v>
      </c>
      <c r="I89" s="30"/>
      <c r="J89" s="30"/>
      <c r="K89" s="19"/>
      <c r="L89" s="1"/>
    </row>
    <row r="90" spans="1:12" ht="18.75">
      <c r="A90" s="7"/>
      <c r="B90" s="30"/>
      <c r="C90" s="30"/>
      <c r="D90" s="161">
        <f>D91*0.9</f>
        <v>4500</v>
      </c>
      <c r="E90" s="162"/>
      <c r="F90" s="115">
        <f>F$89*$D$90-Hoja1!$C$36</f>
        <v>226026.4500000002</v>
      </c>
      <c r="G90" s="115">
        <f>G$89*$D$90-Hoja1!$C$36</f>
        <v>518526.4500000002</v>
      </c>
      <c r="H90" s="115">
        <f>H$89*$D$90-Hoja1!$C$36</f>
        <v>811026.4500000007</v>
      </c>
      <c r="I90" s="30"/>
      <c r="J90" s="30"/>
      <c r="K90" s="19"/>
      <c r="L90" s="1"/>
    </row>
    <row r="91" spans="1:12" s="2" customFormat="1" ht="18.75">
      <c r="A91" s="30"/>
      <c r="B91" s="30"/>
      <c r="C91" s="30"/>
      <c r="D91" s="163">
        <f>E11</f>
        <v>5000</v>
      </c>
      <c r="E91" s="164"/>
      <c r="F91" s="36">
        <f>F$89*$D91-$J$83</f>
        <v>433480.5</v>
      </c>
      <c r="G91" s="36">
        <f>G$89*$D91-$J$83</f>
        <v>758480.5</v>
      </c>
      <c r="H91" s="36">
        <f>H$89*$D91-$J$83</f>
        <v>1083480.5000000005</v>
      </c>
      <c r="I91" s="30"/>
      <c r="J91" s="30"/>
      <c r="K91" s="19"/>
      <c r="L91" s="1"/>
    </row>
    <row r="92" spans="1:12" ht="18.75">
      <c r="A92" s="7"/>
      <c r="B92" s="30"/>
      <c r="C92" s="30"/>
      <c r="D92" s="159">
        <f>D91*1.1</f>
        <v>5500</v>
      </c>
      <c r="E92" s="160"/>
      <c r="F92" s="114">
        <f>F$89*$D$92-Hoja1!$D$36</f>
        <v>676030.5</v>
      </c>
      <c r="G92" s="114">
        <f>G$89*$D$92-Hoja1!$D$36</f>
        <v>1033530.5</v>
      </c>
      <c r="H92" s="114">
        <f>H$89*$D$92-Hoja1!$D$36</f>
        <v>1391030.5000000005</v>
      </c>
      <c r="I92" s="58"/>
      <c r="J92" s="58"/>
      <c r="K92" s="19"/>
      <c r="L92" s="1"/>
    </row>
    <row r="93" spans="1:12" ht="18.75">
      <c r="A93" s="7"/>
      <c r="B93" s="37"/>
      <c r="C93" s="37"/>
      <c r="D93" s="38"/>
      <c r="E93" s="38"/>
      <c r="F93" s="38"/>
      <c r="G93" s="30"/>
      <c r="H93" s="30"/>
      <c r="I93" s="58"/>
      <c r="J93" s="58"/>
      <c r="K93" s="19"/>
      <c r="L93" s="1"/>
    </row>
    <row r="94" spans="1:12" ht="18" customHeight="1">
      <c r="A94" s="7"/>
      <c r="B94" s="37"/>
      <c r="C94" s="37"/>
      <c r="D94" s="147" t="s">
        <v>77</v>
      </c>
      <c r="E94" s="148"/>
      <c r="F94" s="156" t="s">
        <v>111</v>
      </c>
      <c r="G94" s="157"/>
      <c r="H94" s="158"/>
      <c r="I94" s="58"/>
      <c r="J94" s="58"/>
      <c r="K94" s="19"/>
      <c r="L94" s="1"/>
    </row>
    <row r="95" spans="1:12" ht="18" customHeight="1">
      <c r="A95" s="7"/>
      <c r="B95" s="30"/>
      <c r="C95" s="30"/>
      <c r="D95" s="149"/>
      <c r="E95" s="150"/>
      <c r="F95" s="129">
        <f>G95*0.9</f>
        <v>4500</v>
      </c>
      <c r="G95" s="129">
        <f>E11</f>
        <v>5000</v>
      </c>
      <c r="H95" s="129">
        <f>G95*1.1</f>
        <v>5500</v>
      </c>
      <c r="I95" s="58"/>
      <c r="J95" s="58"/>
      <c r="K95" s="19"/>
      <c r="L95" s="1"/>
    </row>
    <row r="96" spans="1:12" ht="18" customHeight="1">
      <c r="A96" s="7"/>
      <c r="B96" s="30"/>
      <c r="C96" s="30"/>
      <c r="D96" s="151"/>
      <c r="E96" s="152"/>
      <c r="F96" s="59">
        <f>Hoja1!C36/Ficha!F95</f>
        <v>534.7719</v>
      </c>
      <c r="G96" s="59">
        <f>$J$83/G$95</f>
        <v>498.3039</v>
      </c>
      <c r="H96" s="59">
        <f>Hoja1!D36/Ficha!H95</f>
        <v>462.08536363636364</v>
      </c>
      <c r="I96" s="58"/>
      <c r="J96" s="58"/>
      <c r="K96" s="19"/>
      <c r="L96" s="1"/>
    </row>
    <row r="97" spans="1:11" ht="18" customHeight="1">
      <c r="A97" s="7"/>
      <c r="B97" s="143" t="s">
        <v>42</v>
      </c>
      <c r="C97" s="143"/>
      <c r="D97" s="143"/>
      <c r="E97" s="143"/>
      <c r="F97" s="143"/>
      <c r="G97" s="143"/>
      <c r="H97" s="143"/>
      <c r="I97" s="143"/>
      <c r="J97" s="143"/>
      <c r="K97" s="39"/>
    </row>
    <row r="98" spans="1:11" ht="18" customHeight="1">
      <c r="A98" s="7"/>
      <c r="B98" s="135" t="s">
        <v>115</v>
      </c>
      <c r="C98" s="136"/>
      <c r="D98" s="136"/>
      <c r="E98" s="136"/>
      <c r="F98" s="136"/>
      <c r="G98" s="136"/>
      <c r="H98" s="136"/>
      <c r="I98" s="136"/>
      <c r="J98" s="137"/>
      <c r="K98" s="39"/>
    </row>
    <row r="99" spans="1:11" ht="18" customHeight="1">
      <c r="A99" s="7"/>
      <c r="B99" s="138"/>
      <c r="C99" s="139"/>
      <c r="D99" s="139"/>
      <c r="E99" s="139"/>
      <c r="F99" s="139"/>
      <c r="G99" s="139"/>
      <c r="H99" s="139"/>
      <c r="I99" s="139"/>
      <c r="J99" s="140"/>
      <c r="K99" s="39"/>
    </row>
    <row r="100" spans="1:11" ht="18" customHeight="1">
      <c r="A100" s="7"/>
      <c r="B100" s="144" t="s">
        <v>45</v>
      </c>
      <c r="C100" s="145"/>
      <c r="D100" s="145"/>
      <c r="E100" s="145"/>
      <c r="F100" s="145"/>
      <c r="G100" s="145"/>
      <c r="H100" s="145"/>
      <c r="I100" s="145"/>
      <c r="J100" s="146"/>
      <c r="K100" s="39"/>
    </row>
    <row r="101" spans="1:11" ht="18" customHeight="1">
      <c r="A101" s="7"/>
      <c r="B101" s="144"/>
      <c r="C101" s="145"/>
      <c r="D101" s="145"/>
      <c r="E101" s="145"/>
      <c r="F101" s="145"/>
      <c r="G101" s="145"/>
      <c r="H101" s="145"/>
      <c r="I101" s="145"/>
      <c r="J101" s="146"/>
      <c r="K101" s="39"/>
    </row>
    <row r="102" spans="1:11" ht="18" customHeight="1">
      <c r="A102" s="7"/>
      <c r="B102" s="144"/>
      <c r="C102" s="145"/>
      <c r="D102" s="145"/>
      <c r="E102" s="145"/>
      <c r="F102" s="145"/>
      <c r="G102" s="145"/>
      <c r="H102" s="145"/>
      <c r="I102" s="145"/>
      <c r="J102" s="146"/>
      <c r="K102" s="30"/>
    </row>
    <row r="103" spans="1:11" ht="18" customHeight="1">
      <c r="A103" s="7"/>
      <c r="B103" s="217" t="s">
        <v>135</v>
      </c>
      <c r="C103" s="218"/>
      <c r="D103" s="218"/>
      <c r="E103" s="218"/>
      <c r="F103" s="218"/>
      <c r="G103" s="218"/>
      <c r="H103" s="218"/>
      <c r="I103" s="218"/>
      <c r="J103" s="219"/>
      <c r="K103" s="30"/>
    </row>
    <row r="104" spans="1:11" ht="18" customHeight="1">
      <c r="A104" s="7"/>
      <c r="B104" s="217" t="s">
        <v>51</v>
      </c>
      <c r="C104" s="218"/>
      <c r="D104" s="218"/>
      <c r="E104" s="218"/>
      <c r="F104" s="218"/>
      <c r="G104" s="218"/>
      <c r="H104" s="218"/>
      <c r="I104" s="218"/>
      <c r="J104" s="219"/>
      <c r="K104" s="30"/>
    </row>
    <row r="105" spans="1:11" ht="18" customHeight="1">
      <c r="A105" s="7"/>
      <c r="B105" s="208" t="s">
        <v>52</v>
      </c>
      <c r="C105" s="209"/>
      <c r="D105" s="209"/>
      <c r="E105" s="209"/>
      <c r="F105" s="209"/>
      <c r="G105" s="209"/>
      <c r="H105" s="209"/>
      <c r="I105" s="209"/>
      <c r="J105" s="210"/>
      <c r="K105" s="30"/>
    </row>
  </sheetData>
  <sheetProtection/>
  <mergeCells count="89">
    <mergeCell ref="E70:F70"/>
    <mergeCell ref="E41:F41"/>
    <mergeCell ref="E47:F47"/>
    <mergeCell ref="E53:F53"/>
    <mergeCell ref="E48:F48"/>
    <mergeCell ref="E49:F49"/>
    <mergeCell ref="E46:F46"/>
    <mergeCell ref="E44:F44"/>
    <mergeCell ref="E62:F62"/>
    <mergeCell ref="B69:D69"/>
    <mergeCell ref="B77:D77"/>
    <mergeCell ref="E57:F57"/>
    <mergeCell ref="E67:F67"/>
    <mergeCell ref="E45:F45"/>
    <mergeCell ref="E52:F52"/>
    <mergeCell ref="E69:F69"/>
    <mergeCell ref="B76:D76"/>
    <mergeCell ref="B61:D61"/>
    <mergeCell ref="E61:F61"/>
    <mergeCell ref="E60:F60"/>
    <mergeCell ref="E65:F65"/>
    <mergeCell ref="E56:F56"/>
    <mergeCell ref="E63:F63"/>
    <mergeCell ref="E64:F64"/>
    <mergeCell ref="E68:F68"/>
    <mergeCell ref="B44:D44"/>
    <mergeCell ref="B60:D60"/>
    <mergeCell ref="B105:J105"/>
    <mergeCell ref="E59:F59"/>
    <mergeCell ref="E51:F51"/>
    <mergeCell ref="E78:I80"/>
    <mergeCell ref="E76:H76"/>
    <mergeCell ref="B78:D78"/>
    <mergeCell ref="B80:D80"/>
    <mergeCell ref="E77:H77"/>
    <mergeCell ref="B73:I73"/>
    <mergeCell ref="B71:I71"/>
    <mergeCell ref="E66:F66"/>
    <mergeCell ref="B79:D79"/>
    <mergeCell ref="B104:J104"/>
    <mergeCell ref="B103:J103"/>
    <mergeCell ref="B1:J1"/>
    <mergeCell ref="E3:G3"/>
    <mergeCell ref="E2:G2"/>
    <mergeCell ref="B22:D22"/>
    <mergeCell ref="E22:F22"/>
    <mergeCell ref="B18:D19"/>
    <mergeCell ref="E18:F19"/>
    <mergeCell ref="G10:J10"/>
    <mergeCell ref="B10:E10"/>
    <mergeCell ref="G18:G19"/>
    <mergeCell ref="H18:H19"/>
    <mergeCell ref="I18:I19"/>
    <mergeCell ref="J18:J19"/>
    <mergeCell ref="E27:F27"/>
    <mergeCell ref="B23:D23"/>
    <mergeCell ref="E23:F23"/>
    <mergeCell ref="B26:D26"/>
    <mergeCell ref="E26:F26"/>
    <mergeCell ref="E24:F24"/>
    <mergeCell ref="E25:F25"/>
    <mergeCell ref="B28:I28"/>
    <mergeCell ref="B43:D43"/>
    <mergeCell ref="B34:I34"/>
    <mergeCell ref="E37:F37"/>
    <mergeCell ref="B37:D37"/>
    <mergeCell ref="B38:D38"/>
    <mergeCell ref="E38:F38"/>
    <mergeCell ref="E43:F43"/>
    <mergeCell ref="B31:D31"/>
    <mergeCell ref="E31:F31"/>
    <mergeCell ref="E32:F32"/>
    <mergeCell ref="E33:F33"/>
    <mergeCell ref="E39:F39"/>
    <mergeCell ref="E40:F40"/>
    <mergeCell ref="B98:J99"/>
    <mergeCell ref="B81:I81"/>
    <mergeCell ref="B97:J97"/>
    <mergeCell ref="B100:J102"/>
    <mergeCell ref="D94:E96"/>
    <mergeCell ref="D88:E89"/>
    <mergeCell ref="D87:H87"/>
    <mergeCell ref="F94:H94"/>
    <mergeCell ref="F88:H88"/>
    <mergeCell ref="D92:E92"/>
    <mergeCell ref="D90:E90"/>
    <mergeCell ref="D91:E91"/>
    <mergeCell ref="B85:J85"/>
    <mergeCell ref="B83:I83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1" r:id="rId2"/>
  <ignoredErrors>
    <ignoredError sqref="J6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6"/>
  <sheetViews>
    <sheetView zoomScalePageLayoutView="0" workbookViewId="0" topLeftCell="A22">
      <selection activeCell="E41" sqref="E41"/>
    </sheetView>
  </sheetViews>
  <sheetFormatPr defaultColWidth="11.421875" defaultRowHeight="15"/>
  <cols>
    <col min="2" max="2" width="34.421875" style="0" bestFit="1" customWidth="1"/>
  </cols>
  <sheetData>
    <row r="2" spans="2:3" ht="15">
      <c r="B2" s="45" t="s">
        <v>64</v>
      </c>
      <c r="C2" s="46">
        <f>((Ficha!E11-5000)/5000)+1</f>
        <v>1</v>
      </c>
    </row>
    <row r="4" ht="15">
      <c r="B4" s="47" t="s">
        <v>65</v>
      </c>
    </row>
    <row r="5" spans="2:4" ht="15">
      <c r="B5" t="s">
        <v>123</v>
      </c>
      <c r="D5">
        <v>5000</v>
      </c>
    </row>
    <row r="6" spans="2:4" ht="15">
      <c r="B6" t="s">
        <v>90</v>
      </c>
      <c r="D6">
        <v>4</v>
      </c>
    </row>
    <row r="7" spans="2:4" ht="15">
      <c r="B7" t="s">
        <v>126</v>
      </c>
      <c r="D7">
        <v>6</v>
      </c>
    </row>
    <row r="8" spans="2:4" ht="15">
      <c r="B8" t="s">
        <v>102</v>
      </c>
      <c r="D8">
        <v>5000</v>
      </c>
    </row>
    <row r="10" ht="15">
      <c r="B10" s="47" t="s">
        <v>41</v>
      </c>
    </row>
    <row r="12" spans="2:4" ht="15">
      <c r="B12" s="45" t="s">
        <v>66</v>
      </c>
      <c r="C12" s="48">
        <f>Ficha!D90</f>
        <v>4500</v>
      </c>
      <c r="D12" s="48">
        <f>Ficha!D92</f>
        <v>5500</v>
      </c>
    </row>
    <row r="14" spans="2:4" ht="15">
      <c r="B14" s="45" t="s">
        <v>64</v>
      </c>
      <c r="C14" s="46">
        <v>0.9</v>
      </c>
      <c r="D14" s="46">
        <v>1.1</v>
      </c>
    </row>
    <row r="16" ht="15">
      <c r="B16" t="s">
        <v>27</v>
      </c>
    </row>
    <row r="17" spans="2:4" ht="15">
      <c r="B17" t="s">
        <v>67</v>
      </c>
      <c r="C17" s="49">
        <f>SUM(Ficha!J22:J25)</f>
        <v>378000</v>
      </c>
      <c r="D17" s="49">
        <f>SUM(Ficha!J22:J25)</f>
        <v>378000</v>
      </c>
    </row>
    <row r="18" spans="2:4" ht="15">
      <c r="B18" s="50" t="s">
        <v>68</v>
      </c>
      <c r="C18" s="51">
        <f>C14*Ficha!G26*Ficha!I26+0.9*Ficha!G27+Ficha!I27</f>
        <v>327003.6</v>
      </c>
      <c r="D18" s="51">
        <f>D14*Ficha!G26*Ficha!I26+1.1*Ficha!G27*Ficha!I27</f>
        <v>437800</v>
      </c>
    </row>
    <row r="19" spans="2:4" ht="15">
      <c r="B19" t="s">
        <v>69</v>
      </c>
      <c r="C19" s="49">
        <f>SUM(C17:C18)</f>
        <v>705003.6</v>
      </c>
      <c r="D19" s="49">
        <f>SUM(D17:D18)</f>
        <v>815800</v>
      </c>
    </row>
    <row r="21" ht="15">
      <c r="B21" t="s">
        <v>29</v>
      </c>
    </row>
    <row r="22" spans="2:4" ht="15">
      <c r="B22" t="s">
        <v>67</v>
      </c>
      <c r="C22" s="49">
        <f>SUM(Ficha!J31)</f>
        <v>75000</v>
      </c>
      <c r="D22" s="49">
        <f>SUM(Ficha!J31)</f>
        <v>75000</v>
      </c>
    </row>
    <row r="23" spans="2:4" ht="15">
      <c r="B23" s="50" t="s">
        <v>68</v>
      </c>
      <c r="C23" s="51">
        <f>C14*Ficha!G32*Ficha!I32+0.9*Ficha!G33*Ficha!I33</f>
        <v>41400</v>
      </c>
      <c r="D23" s="51">
        <f>D14*Ficha!G32*Ficha!I32+1.1*Ficha!G33*Ficha!I33</f>
        <v>50600</v>
      </c>
    </row>
    <row r="24" spans="2:4" ht="15">
      <c r="B24" t="s">
        <v>69</v>
      </c>
      <c r="C24" s="49">
        <f>SUM(C22:C23)</f>
        <v>116400</v>
      </c>
      <c r="D24" s="49">
        <f>SUM(D22:D23)</f>
        <v>125600</v>
      </c>
    </row>
    <row r="26" ht="15">
      <c r="B26" t="s">
        <v>70</v>
      </c>
    </row>
    <row r="27" spans="2:4" ht="15">
      <c r="B27" t="s">
        <v>67</v>
      </c>
      <c r="C27" s="49">
        <f>SUM(Ficha!J37:J70)</f>
        <v>1317684</v>
      </c>
      <c r="D27" s="49">
        <f>SUM(Ficha!J37:J70)</f>
        <v>1317684</v>
      </c>
    </row>
    <row r="28" spans="2:4" ht="15">
      <c r="B28" s="50" t="s">
        <v>68</v>
      </c>
      <c r="C28" s="50">
        <v>0</v>
      </c>
      <c r="D28" s="50">
        <v>0</v>
      </c>
    </row>
    <row r="29" spans="2:4" ht="15">
      <c r="B29" t="s">
        <v>69</v>
      </c>
      <c r="C29" s="49">
        <f>SUM(C27:C28)</f>
        <v>1317684</v>
      </c>
      <c r="D29" s="49">
        <f>SUM(D27:D28)</f>
        <v>1317684</v>
      </c>
    </row>
    <row r="31" spans="2:4" ht="15">
      <c r="B31" s="47" t="s">
        <v>71</v>
      </c>
      <c r="C31" s="49">
        <f>C19+C24+C29</f>
        <v>2139087.6</v>
      </c>
      <c r="D31" s="49">
        <f>D19+D24+D29</f>
        <v>2259084</v>
      </c>
    </row>
    <row r="33" spans="2:4" ht="15">
      <c r="B33" t="s">
        <v>0</v>
      </c>
      <c r="C33" s="49">
        <f>C31*Ficha!$I$76</f>
        <v>106954.38</v>
      </c>
      <c r="D33" s="49">
        <f>D31*Ficha!$I$76</f>
        <v>112954.20000000001</v>
      </c>
    </row>
    <row r="34" spans="2:4" ht="15">
      <c r="B34" t="s">
        <v>36</v>
      </c>
      <c r="C34" s="49">
        <f>C31*Ficha!$E$14*Ficha!$E$15*Ficha!$E$16</f>
        <v>160431.57</v>
      </c>
      <c r="D34" s="49">
        <f>D31*Ficha!$E$14*Ficha!$E$15*Ficha!$E$16</f>
        <v>169431.30000000002</v>
      </c>
    </row>
    <row r="36" spans="2:4" ht="15">
      <c r="B36" s="47" t="s">
        <v>40</v>
      </c>
      <c r="C36" s="52">
        <f>C31+C33+C34</f>
        <v>2406473.55</v>
      </c>
      <c r="D36" s="52">
        <f>D31+D33+D34</f>
        <v>2541469.5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2013-03-28T14:30:22Z</cp:lastPrinted>
  <dcterms:created xsi:type="dcterms:W3CDTF">2012-07-09T18:51:50Z</dcterms:created>
  <dcterms:modified xsi:type="dcterms:W3CDTF">2013-04-05T14:47:07Z</dcterms:modified>
  <cp:category/>
  <cp:version/>
  <cp:contentType/>
  <cp:contentStatus/>
</cp:coreProperties>
</file>