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120" activeTab="0"/>
  </bookViews>
  <sheets>
    <sheet name="manzano" sheetId="1" r:id="rId1"/>
    <sheet name="rdto_variable" sheetId="2" r:id="rId2"/>
  </sheets>
  <definedNames>
    <definedName name="_xlfn.IFERROR" hidden="1">#NAME?</definedName>
    <definedName name="_xlnm.Print_Area" localSheetId="0">'manzano'!$A$1:$K$115</definedName>
    <definedName name="costo_financiero">'manzano'!$J$84</definedName>
    <definedName name="imprevistos">'manzano'!$J$80</definedName>
    <definedName name="meses_financiamiento">'manzano'!$E$17</definedName>
    <definedName name="precio_de_venta">'manzano'!$E$14</definedName>
    <definedName name="rendimiento">'manzano'!$E$13</definedName>
    <definedName name="tasa_interes_mensual">'manzano'!$E$16</definedName>
    <definedName name="total_costos">'manzano'!$J$90</definedName>
    <definedName name="total_costos_directos">'manzano'!$J$78</definedName>
    <definedName name="total_costos_indirectos">'manzano'!$J$88</definedName>
    <definedName name="total_insumos">'manzano'!$J$76</definedName>
    <definedName name="total_mano_obra">'manzano'!$J$31</definedName>
    <definedName name="total_maquinaria">'manzano'!$J$41</definedName>
  </definedNames>
  <calcPr fullCalcOnLoad="1"/>
</workbook>
</file>

<file path=xl/sharedStrings.xml><?xml version="1.0" encoding="utf-8"?>
<sst xmlns="http://schemas.openxmlformats.org/spreadsheetml/2006/main" count="233" uniqueCount="162">
  <si>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</si>
  <si>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</si>
  <si>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</si>
  <si>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</si>
  <si>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</si>
  <si>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</si>
  <si>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</si>
  <si>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</si>
  <si>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</si>
  <si>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</si>
  <si>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</si>
  <si>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</si>
  <si>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</si>
  <si>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</si>
  <si>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</si>
  <si>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</si>
  <si>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</si>
  <si>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</si>
  <si>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</si>
  <si>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</si>
  <si>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</si>
  <si>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</si>
  <si>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</si>
  <si>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</si>
  <si>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</si>
  <si>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</si>
  <si>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</si>
  <si>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</si>
  <si>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</si>
  <si>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</si>
  <si>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</si>
  <si>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</si>
  <si>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</si>
  <si>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</si>
  <si>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</si>
  <si>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</si>
  <si>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</si>
  <si>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</si>
  <si>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</si>
  <si>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</si>
  <si>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</si>
  <si>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</si>
  <si>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</si>
  <si>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</si>
  <si>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</si>
  <si>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</si>
  <si>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</si>
  <si>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</si>
  <si>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</si>
  <si>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</si>
  <si>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</si>
  <si>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</si>
  <si>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</si>
  <si>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</si>
  <si>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</si>
  <si>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</si>
  <si>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</si>
  <si>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</si>
  <si>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</si>
  <si>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</si>
  <si>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</si>
  <si>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</si>
  <si>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</si>
  <si>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</si>
  <si>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</si>
  <si>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</si>
  <si>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</si>
  <si>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</si>
  <si>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</si>
  <si>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</si>
  <si>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</si>
  <si>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</si>
  <si>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Nitrato de Potasio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</si>
  <si>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</si>
  <si>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</si>
  <si>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</si>
  <si>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</si>
  <si>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</si>
  <si>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</si>
  <si>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</si>
  <si>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</si>
  <si>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</si>
  <si>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3</t>
  </si>
  <si>
    <t>Costo variable Insumos 2</t>
  </si>
  <si>
    <t>Costo variable Insumos 3</t>
  </si>
  <si>
    <t>Cantidad (Q)</t>
  </si>
  <si>
    <t>Junio-agosto</t>
  </si>
  <si>
    <t>Rastraje</t>
  </si>
  <si>
    <t>Septiembre-octubre</t>
  </si>
  <si>
    <t>U</t>
  </si>
  <si>
    <t>Junio-julio</t>
  </si>
  <si>
    <t>(3) La dosis de fertilización promedio podría variar de acuerdo a los resultados del análisis foliar.</t>
  </si>
  <si>
    <r>
      <t xml:space="preserve">Análisis suelo </t>
    </r>
    <r>
      <rPr>
        <vertAlign val="superscript"/>
        <sz val="14"/>
        <rFont val="Arial"/>
        <family val="2"/>
      </rPr>
      <t>(3)</t>
    </r>
  </si>
  <si>
    <t>Aplicación fertilizantes</t>
  </si>
  <si>
    <t>Planta</t>
  </si>
  <si>
    <t>Octubre-diciembre</t>
  </si>
  <si>
    <t>Enero-febrero</t>
  </si>
  <si>
    <t>Aplicación fitosanitarios</t>
  </si>
  <si>
    <t>Triturar los restos de la poda</t>
  </si>
  <si>
    <t>Octubre-marzo</t>
  </si>
  <si>
    <t>Abril-junio</t>
  </si>
  <si>
    <t>Septiembre</t>
  </si>
  <si>
    <t>Herbicida:</t>
  </si>
  <si>
    <t>Octubre-febrero</t>
  </si>
  <si>
    <t>Septiembre-enero</t>
  </si>
  <si>
    <t>Cosecha: Traslado y carga</t>
  </si>
  <si>
    <t>Riego y limpia de acequias</t>
  </si>
  <si>
    <t>Aplicación de pesticiadas y foliares</t>
  </si>
  <si>
    <t>Marzo-diciembre</t>
  </si>
  <si>
    <t>Poda, sacar ramillas y pintar cortes de la poda</t>
  </si>
  <si>
    <t>Agosto-marzo</t>
  </si>
  <si>
    <t>Poda en verde y desbrote</t>
  </si>
  <si>
    <t>Diciembre</t>
  </si>
  <si>
    <t>Control manual de malezas</t>
  </si>
  <si>
    <t>Raleo</t>
  </si>
  <si>
    <t>Octubre</t>
  </si>
  <si>
    <t>Colocar y sacar puntales</t>
  </si>
  <si>
    <t>Abril-noviembre</t>
  </si>
  <si>
    <t>Cosecha</t>
  </si>
  <si>
    <t>Febrero</t>
  </si>
  <si>
    <t>Septiembre-noviembre</t>
  </si>
  <si>
    <t>Nitrato calcio</t>
  </si>
  <si>
    <t>Octubre-enero</t>
  </si>
  <si>
    <t>Acarreo de insumos e implementos</t>
  </si>
  <si>
    <t>Puntales</t>
  </si>
  <si>
    <t>Región Maule</t>
  </si>
  <si>
    <t>Melgadura</t>
  </si>
  <si>
    <t>Flete</t>
  </si>
  <si>
    <t>Switch 62,3 ES</t>
  </si>
  <si>
    <t>Noviembre-diciembre</t>
  </si>
  <si>
    <t>Nitrofoska</t>
  </si>
  <si>
    <t>Arriendo colmenas</t>
  </si>
  <si>
    <t>Cajón</t>
  </si>
  <si>
    <t>Regulador de crecimiento</t>
  </si>
  <si>
    <t>Agosto</t>
  </si>
  <si>
    <t>Tecnología de riego: surco</t>
  </si>
  <si>
    <t>Variedad: Red Galant</t>
  </si>
  <si>
    <t>Nordox Super 75 WG</t>
  </si>
  <si>
    <t>Podexal</t>
  </si>
  <si>
    <t>Topas 200 EW</t>
  </si>
  <si>
    <t>Aceite Citroliv Miscible</t>
  </si>
  <si>
    <t>Lorsban 4E</t>
  </si>
  <si>
    <t>Roundup Full ll</t>
  </si>
  <si>
    <t>Karate con tecnología Zeon</t>
  </si>
  <si>
    <t>Fosfimax 40 20</t>
  </si>
  <si>
    <t>Solubor</t>
  </si>
  <si>
    <t>Agua</t>
  </si>
  <si>
    <t>Febrero-marzo</t>
  </si>
  <si>
    <t>Mayo-octubre</t>
  </si>
  <si>
    <t>(5) Margen neto corresponde a ingresos totales (precio venta x rendimiento) menos los costos totales.</t>
  </si>
  <si>
    <t>(6) Representa el precio de venta mínimo para cubrir los costos totales de producción.</t>
  </si>
  <si>
    <t>(4) 1,5% mensual simple, tasa de interés promedio de las empresas distribuidoras de insumos.</t>
  </si>
  <si>
    <t>Densidad (Plantas/ha): 1.082 (2,2m x 4,2 m)</t>
  </si>
  <si>
    <t>Destino de producción: exportación (70%), interno (30%)</t>
  </si>
  <si>
    <t>Fecha cosecha: febrero</t>
  </si>
  <si>
    <t>Huerto en plena producción</t>
  </si>
  <si>
    <t>1 hectárea junio 2016</t>
  </si>
  <si>
    <t>Dormex (aplicar 35 días antes floreción)</t>
  </si>
  <si>
    <t/>
  </si>
  <si>
    <t>(1) El precio del kilo de manzana cosechado utilizado en el análisis de sensibilidad, corresponde al promedio de la región durante el periodo de cosecha en el predio en la temporada 2015/16, precio al productor.</t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</si>
  <si>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</si>
  <si>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Manzano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</si>
</sst>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7" fontId="60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1" fillId="34" borderId="0" xfId="0" applyNumberFormat="1" applyFont="1" applyFill="1" applyAlignment="1">
      <alignment/>
    </xf>
    <xf numFmtId="187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7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6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6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187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186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91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6" fontId="66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4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7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7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7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9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6" fontId="9" fillId="34" borderId="20" xfId="69" applyFont="1" applyFill="1" applyBorder="1" applyAlignment="1" applyProtection="1">
      <alignment/>
      <protection locked="0"/>
    </xf>
    <xf numFmtId="186" fontId="9" fillId="34" borderId="18" xfId="69" applyFont="1" applyFill="1" applyBorder="1" applyAlignment="1" applyProtection="1">
      <alignment/>
      <protection locked="0"/>
    </xf>
    <xf numFmtId="187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7" fontId="9" fillId="34" borderId="20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7" fontId="9" fillId="34" borderId="11" xfId="69" applyNumberFormat="1" applyFont="1" applyFill="1" applyBorder="1" applyAlignment="1" applyProtection="1">
      <alignment horizontal="right"/>
      <protection locked="0"/>
    </xf>
    <xf numFmtId="186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7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7" fontId="9" fillId="0" borderId="17" xfId="58" applyNumberFormat="1" applyFont="1" applyFill="1" applyBorder="1" applyAlignment="1" applyProtection="1">
      <alignment horizontal="right"/>
      <protection locked="0"/>
    </xf>
    <xf numFmtId="187" fontId="9" fillId="0" borderId="20" xfId="58" applyNumberFormat="1" applyFont="1" applyFill="1" applyBorder="1" applyAlignment="1" applyProtection="1">
      <alignment horizontal="right"/>
      <protection locked="0"/>
    </xf>
    <xf numFmtId="187" fontId="9" fillId="0" borderId="23" xfId="58" applyNumberFormat="1" applyFont="1" applyFill="1" applyBorder="1" applyAlignment="1" applyProtection="1">
      <alignment horizontal="right"/>
      <protection locked="0"/>
    </xf>
    <xf numFmtId="187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7" fillId="36" borderId="24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9" fontId="9" fillId="34" borderId="12" xfId="0" applyNumberFormat="1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9" fontId="9" fillId="34" borderId="0" xfId="0" applyNumberFormat="1" applyFont="1" applyFill="1" applyBorder="1" applyAlignment="1">
      <alignment horizontal="center" vertical="center"/>
    </xf>
    <xf numFmtId="189" fontId="9" fillId="34" borderId="11" xfId="0" applyNumberFormat="1" applyFont="1" applyFill="1" applyBorder="1" applyAlignment="1">
      <alignment horizontal="center" vertical="center"/>
    </xf>
    <xf numFmtId="189" fontId="9" fillId="34" borderId="13" xfId="0" applyNumberFormat="1" applyFont="1" applyFill="1" applyBorder="1" applyAlignment="1">
      <alignment horizontal="center" vertical="center"/>
    </xf>
    <xf numFmtId="189" fontId="9" fillId="34" borderId="16" xfId="0" applyNumberFormat="1" applyFont="1" applyFill="1" applyBorder="1" applyAlignment="1">
      <alignment horizontal="center" vertical="center"/>
    </xf>
    <xf numFmtId="0" fontId="65" fillId="23" borderId="24" xfId="58" applyFont="1" applyFill="1" applyBorder="1" applyAlignment="1" applyProtection="1">
      <alignment horizontal="center" vertical="center"/>
      <protection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186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3" fontId="12" fillId="34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4" fillId="23" borderId="24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7" fillId="36" borderId="24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2" fillId="34" borderId="18" xfId="58" applyFont="1" applyFill="1" applyBorder="1" applyAlignment="1" applyProtection="1">
      <alignment horizontal="left" vertical="center" wrapText="1"/>
      <protection locked="0"/>
    </xf>
    <xf numFmtId="0" fontId="12" fillId="34" borderId="13" xfId="58" applyFont="1" applyFill="1" applyBorder="1" applyAlignment="1" applyProtection="1">
      <alignment horizontal="left" vertical="center" wrapText="1"/>
      <protection locked="0"/>
    </xf>
    <xf numFmtId="0" fontId="12" fillId="34" borderId="16" xfId="58" applyFont="1" applyFill="1" applyBorder="1" applyAlignment="1" applyProtection="1">
      <alignment horizontal="left" vertical="center" wrapText="1"/>
      <protection locked="0"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3" fontId="12" fillId="0" borderId="17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114</xdr:row>
      <xdr:rowOff>19050</xdr:rowOff>
    </xdr:from>
    <xdr:to>
      <xdr:col>2</xdr:col>
      <xdr:colOff>628650</xdr:colOff>
      <xdr:row>114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6936700"/>
          <a:ext cx="1876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3"/>
  <sheetViews>
    <sheetView showGridLines="0" tabSelected="1" view="pageBreakPreview" zoomScale="70" zoomScaleNormal="8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87" t="s">
        <v>8</v>
      </c>
      <c r="C2" s="287"/>
      <c r="D2" s="287"/>
      <c r="E2" s="287"/>
      <c r="F2" s="287"/>
      <c r="G2" s="287"/>
      <c r="H2" s="287"/>
      <c r="I2" s="287"/>
      <c r="J2" s="287"/>
    </row>
    <row r="3" spans="2:11" s="3" customFormat="1" ht="18" customHeight="1">
      <c r="B3" s="78"/>
      <c r="C3" s="97"/>
      <c r="D3" s="294" t="s">
        <v>161</v>
      </c>
      <c r="E3" s="294"/>
      <c r="F3" s="294"/>
      <c r="G3" s="294"/>
      <c r="H3" s="294"/>
      <c r="I3" s="98"/>
      <c r="J3" s="97"/>
      <c r="K3" s="12"/>
    </row>
    <row r="4" spans="2:11" s="3" customFormat="1" ht="18" customHeight="1">
      <c r="B4" s="78"/>
      <c r="C4" s="97"/>
      <c r="D4" s="294" t="s">
        <v>125</v>
      </c>
      <c r="E4" s="294"/>
      <c r="F4" s="294"/>
      <c r="G4" s="294"/>
      <c r="H4" s="294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300" t="s">
        <v>49</v>
      </c>
      <c r="E6" s="301"/>
      <c r="F6" s="301"/>
      <c r="G6" s="301"/>
      <c r="H6" s="301"/>
      <c r="I6" s="301"/>
      <c r="J6" s="302"/>
      <c r="K6" s="14"/>
    </row>
    <row r="7" spans="2:11" s="3" customFormat="1" ht="18" customHeight="1">
      <c r="B7" s="35"/>
      <c r="C7" s="35"/>
      <c r="D7" s="168" t="s">
        <v>156</v>
      </c>
      <c r="E7" s="76"/>
      <c r="F7" s="76"/>
      <c r="G7" s="165" t="s">
        <v>136</v>
      </c>
      <c r="H7" s="110"/>
      <c r="I7" s="111"/>
      <c r="J7" s="112"/>
      <c r="K7" s="14"/>
    </row>
    <row r="8" spans="2:11" s="3" customFormat="1" ht="18" customHeight="1">
      <c r="B8" s="35"/>
      <c r="C8" s="35"/>
      <c r="D8" s="169" t="s">
        <v>135</v>
      </c>
      <c r="E8" s="77"/>
      <c r="F8" s="77"/>
      <c r="G8" s="166" t="s">
        <v>153</v>
      </c>
      <c r="H8" s="78"/>
      <c r="I8" s="79"/>
      <c r="J8" s="113"/>
      <c r="K8" s="14"/>
    </row>
    <row r="9" spans="2:11" s="3" customFormat="1" ht="18" customHeight="1">
      <c r="B9" s="35"/>
      <c r="C9" s="35"/>
      <c r="D9" s="169" t="s">
        <v>152</v>
      </c>
      <c r="E9" s="77"/>
      <c r="F9" s="77"/>
      <c r="G9" s="166" t="s">
        <v>45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0" t="s">
        <v>155</v>
      </c>
      <c r="E10" s="114"/>
      <c r="F10" s="114"/>
      <c r="G10" s="167" t="s">
        <v>154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88" t="s">
        <v>50</v>
      </c>
      <c r="C12" s="289"/>
      <c r="D12" s="289"/>
      <c r="E12" s="290"/>
      <c r="F12" s="34"/>
      <c r="G12" s="291" t="s">
        <v>14</v>
      </c>
      <c r="H12" s="292"/>
      <c r="I12" s="292"/>
      <c r="J12" s="293"/>
      <c r="K12" s="14"/>
    </row>
    <row r="13" spans="2:11" ht="18">
      <c r="B13" s="89" t="s">
        <v>57</v>
      </c>
      <c r="C13" s="90"/>
      <c r="D13" s="76"/>
      <c r="E13" s="162">
        <v>55000</v>
      </c>
      <c r="F13" s="35"/>
      <c r="G13" s="151" t="s">
        <v>7</v>
      </c>
      <c r="H13" s="152"/>
      <c r="I13" s="152"/>
      <c r="J13" s="153">
        <f>rendimiento*precio_de_venta</f>
        <v>8800000</v>
      </c>
      <c r="K13" s="14"/>
    </row>
    <row r="14" spans="2:11" ht="21">
      <c r="B14" s="304" t="s">
        <v>64</v>
      </c>
      <c r="C14" s="305"/>
      <c r="D14" s="305"/>
      <c r="E14" s="163">
        <v>160</v>
      </c>
      <c r="F14" s="35"/>
      <c r="G14" s="154" t="s">
        <v>10</v>
      </c>
      <c r="H14" s="155"/>
      <c r="I14" s="155"/>
      <c r="J14" s="156">
        <f>total_mano_obra+total_maquinaria+total_insumos+imprevistos</f>
        <v>5590522.35</v>
      </c>
      <c r="K14" s="14"/>
    </row>
    <row r="15" spans="2:11" ht="18">
      <c r="B15" s="109" t="s">
        <v>9</v>
      </c>
      <c r="C15" s="36"/>
      <c r="D15" s="35"/>
      <c r="E15" s="163">
        <v>13000</v>
      </c>
      <c r="F15" s="35"/>
      <c r="G15" s="154" t="s">
        <v>11</v>
      </c>
      <c r="H15" s="157"/>
      <c r="I15" s="155"/>
      <c r="J15" s="156">
        <f>total_mano_obra+total_maquinaria+total_insumos+imprevistos+total_costos_indirectos</f>
        <v>6069709.9799999995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4" t="s">
        <v>12</v>
      </c>
      <c r="H16" s="155"/>
      <c r="I16" s="155"/>
      <c r="J16" s="156">
        <f>J13-J14</f>
        <v>3209477.6500000004</v>
      </c>
      <c r="K16" s="14"/>
    </row>
    <row r="17" spans="2:11" ht="18">
      <c r="B17" s="91" t="s">
        <v>5</v>
      </c>
      <c r="C17" s="92"/>
      <c r="D17" s="80"/>
      <c r="E17" s="164">
        <v>12</v>
      </c>
      <c r="F17" s="35"/>
      <c r="G17" s="154" t="s">
        <v>13</v>
      </c>
      <c r="H17" s="155"/>
      <c r="I17" s="155"/>
      <c r="J17" s="156">
        <f>J13-J15</f>
        <v>2730290.0200000005</v>
      </c>
      <c r="K17" s="14"/>
    </row>
    <row r="18" spans="2:11" ht="18">
      <c r="B18" s="119"/>
      <c r="C18" s="38"/>
      <c r="D18" s="35"/>
      <c r="E18" s="120"/>
      <c r="F18" s="35"/>
      <c r="G18" s="158" t="s">
        <v>46</v>
      </c>
      <c r="H18" s="159"/>
      <c r="I18" s="160"/>
      <c r="J18" s="161">
        <f>total_costos/rendimiento</f>
        <v>110.35836327272726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47</v>
      </c>
      <c r="C20" s="101"/>
      <c r="D20" s="101"/>
      <c r="E20" s="303" t="s">
        <v>15</v>
      </c>
      <c r="F20" s="303"/>
      <c r="G20" s="121" t="s">
        <v>16</v>
      </c>
      <c r="H20" s="122" t="s">
        <v>17</v>
      </c>
      <c r="I20" s="123" t="s">
        <v>54</v>
      </c>
      <c r="J20" s="124" t="s">
        <v>3</v>
      </c>
      <c r="K20" s="14"/>
    </row>
    <row r="21" spans="2:11" s="3" customFormat="1" ht="18">
      <c r="B21" s="295" t="s">
        <v>19</v>
      </c>
      <c r="C21" s="296"/>
      <c r="D21" s="296"/>
      <c r="E21" s="237"/>
      <c r="F21" s="237"/>
      <c r="G21" s="93"/>
      <c r="H21" s="94"/>
      <c r="I21" s="95"/>
      <c r="J21" s="96"/>
      <c r="K21" s="14"/>
    </row>
    <row r="22" spans="2:11" s="3" customFormat="1" ht="18">
      <c r="B22" s="297" t="s">
        <v>106</v>
      </c>
      <c r="C22" s="298"/>
      <c r="D22" s="299"/>
      <c r="E22" s="222" t="s">
        <v>62</v>
      </c>
      <c r="F22" s="223"/>
      <c r="G22" s="171">
        <v>15</v>
      </c>
      <c r="H22" s="172" t="s">
        <v>6</v>
      </c>
      <c r="I22" s="173">
        <f>$E$15</f>
        <v>13000</v>
      </c>
      <c r="J22" s="126">
        <f>G22*I22</f>
        <v>195000</v>
      </c>
      <c r="K22" s="14"/>
    </row>
    <row r="23" spans="2:11" s="3" customFormat="1" ht="18">
      <c r="B23" s="297" t="s">
        <v>107</v>
      </c>
      <c r="C23" s="298"/>
      <c r="D23" s="299"/>
      <c r="E23" s="222" t="s">
        <v>108</v>
      </c>
      <c r="F23" s="223"/>
      <c r="G23" s="171">
        <v>5</v>
      </c>
      <c r="H23" s="172" t="s">
        <v>6</v>
      </c>
      <c r="I23" s="173">
        <f>$E$15</f>
        <v>13000</v>
      </c>
      <c r="J23" s="126">
        <f aca="true" t="shared" si="0" ref="J23:J30">G23*I23</f>
        <v>65000</v>
      </c>
      <c r="K23" s="14"/>
    </row>
    <row r="24" spans="2:11" s="3" customFormat="1" ht="18">
      <c r="B24" s="195" t="s">
        <v>109</v>
      </c>
      <c r="C24" s="196"/>
      <c r="D24" s="197"/>
      <c r="E24" s="222" t="s">
        <v>90</v>
      </c>
      <c r="F24" s="223"/>
      <c r="G24" s="171">
        <v>1082</v>
      </c>
      <c r="H24" s="172" t="s">
        <v>94</v>
      </c>
      <c r="I24" s="173">
        <v>800</v>
      </c>
      <c r="J24" s="126">
        <f t="shared" si="0"/>
        <v>865600</v>
      </c>
      <c r="K24" s="14"/>
    </row>
    <row r="25" spans="2:11" s="3" customFormat="1" ht="18">
      <c r="B25" s="195" t="s">
        <v>93</v>
      </c>
      <c r="C25" s="196"/>
      <c r="D25" s="197"/>
      <c r="E25" s="222" t="s">
        <v>110</v>
      </c>
      <c r="F25" s="223"/>
      <c r="G25" s="171">
        <v>5</v>
      </c>
      <c r="H25" s="172" t="s">
        <v>6</v>
      </c>
      <c r="I25" s="173">
        <f>$E$15</f>
        <v>13000</v>
      </c>
      <c r="J25" s="126">
        <f t="shared" si="0"/>
        <v>65000</v>
      </c>
      <c r="K25" s="14"/>
    </row>
    <row r="26" spans="2:11" s="3" customFormat="1" ht="18">
      <c r="B26" s="297" t="s">
        <v>111</v>
      </c>
      <c r="C26" s="298"/>
      <c r="D26" s="299"/>
      <c r="E26" s="222" t="s">
        <v>112</v>
      </c>
      <c r="F26" s="223"/>
      <c r="G26" s="171">
        <v>1082</v>
      </c>
      <c r="H26" s="172" t="s">
        <v>94</v>
      </c>
      <c r="I26" s="173">
        <v>250</v>
      </c>
      <c r="J26" s="126">
        <f t="shared" si="0"/>
        <v>270500</v>
      </c>
      <c r="K26" s="14"/>
    </row>
    <row r="27" spans="2:11" s="3" customFormat="1" ht="18">
      <c r="B27" s="195" t="s">
        <v>113</v>
      </c>
      <c r="C27" s="196"/>
      <c r="D27" s="197"/>
      <c r="E27" s="222" t="s">
        <v>62</v>
      </c>
      <c r="F27" s="223"/>
      <c r="G27" s="171">
        <v>6</v>
      </c>
      <c r="H27" s="172" t="s">
        <v>6</v>
      </c>
      <c r="I27" s="173">
        <f>$E$15</f>
        <v>13000</v>
      </c>
      <c r="J27" s="126">
        <f t="shared" si="0"/>
        <v>78000</v>
      </c>
      <c r="K27" s="14"/>
    </row>
    <row r="28" spans="2:11" s="3" customFormat="1" ht="18">
      <c r="B28" s="297" t="s">
        <v>114</v>
      </c>
      <c r="C28" s="298"/>
      <c r="D28" s="299"/>
      <c r="E28" s="222" t="s">
        <v>115</v>
      </c>
      <c r="F28" s="223"/>
      <c r="G28" s="171">
        <v>1082</v>
      </c>
      <c r="H28" s="172" t="s">
        <v>94</v>
      </c>
      <c r="I28" s="173">
        <v>500</v>
      </c>
      <c r="J28" s="126">
        <f t="shared" si="0"/>
        <v>541000</v>
      </c>
      <c r="K28" s="14"/>
    </row>
    <row r="29" spans="2:11" s="3" customFormat="1" ht="18">
      <c r="B29" s="297" t="s">
        <v>116</v>
      </c>
      <c r="C29" s="306"/>
      <c r="D29" s="307"/>
      <c r="E29" s="222" t="s">
        <v>117</v>
      </c>
      <c r="F29" s="223"/>
      <c r="G29" s="171">
        <v>15</v>
      </c>
      <c r="H29" s="172" t="s">
        <v>6</v>
      </c>
      <c r="I29" s="173">
        <f>$E$15</f>
        <v>13000</v>
      </c>
      <c r="J29" s="126">
        <f t="shared" si="0"/>
        <v>195000</v>
      </c>
      <c r="K29" s="14"/>
    </row>
    <row r="30" spans="2:11" s="3" customFormat="1" ht="18">
      <c r="B30" s="297" t="s">
        <v>118</v>
      </c>
      <c r="C30" s="306"/>
      <c r="D30" s="307"/>
      <c r="E30" s="222" t="s">
        <v>119</v>
      </c>
      <c r="F30" s="223"/>
      <c r="G30" s="171">
        <f>rdto_variable!C2*rdto_variable!E5</f>
        <v>55000</v>
      </c>
      <c r="H30" s="172" t="s">
        <v>44</v>
      </c>
      <c r="I30" s="173">
        <v>14</v>
      </c>
      <c r="J30" s="126">
        <f t="shared" si="0"/>
        <v>770000</v>
      </c>
      <c r="K30" s="14"/>
    </row>
    <row r="31" spans="2:11" ht="18">
      <c r="B31" s="314" t="s">
        <v>20</v>
      </c>
      <c r="C31" s="315"/>
      <c r="D31" s="315"/>
      <c r="E31" s="315"/>
      <c r="F31" s="315"/>
      <c r="G31" s="315"/>
      <c r="H31" s="315"/>
      <c r="I31" s="315"/>
      <c r="J31" s="81">
        <f>SUM(J22:J30)</f>
        <v>3045100</v>
      </c>
      <c r="K31" s="14"/>
    </row>
    <row r="32" spans="2:11" s="3" customFormat="1" ht="18">
      <c r="B32" s="18"/>
      <c r="C32" s="18"/>
      <c r="D32" s="18"/>
      <c r="E32" s="18"/>
      <c r="F32" s="18"/>
      <c r="G32" s="128"/>
      <c r="H32" s="18"/>
      <c r="I32" s="18"/>
      <c r="J32" s="129"/>
      <c r="K32" s="14"/>
    </row>
    <row r="33" spans="2:11" s="26" customFormat="1" ht="18">
      <c r="B33" s="295" t="s">
        <v>21</v>
      </c>
      <c r="C33" s="296"/>
      <c r="D33" s="296"/>
      <c r="E33" s="237"/>
      <c r="F33" s="237"/>
      <c r="G33" s="93"/>
      <c r="H33" s="94"/>
      <c r="I33" s="95"/>
      <c r="J33" s="136"/>
      <c r="K33" s="14"/>
    </row>
    <row r="34" spans="2:11" s="3" customFormat="1" ht="18">
      <c r="B34" s="308" t="s">
        <v>97</v>
      </c>
      <c r="C34" s="309"/>
      <c r="D34" s="309"/>
      <c r="E34" s="310" t="s">
        <v>62</v>
      </c>
      <c r="F34" s="311"/>
      <c r="G34" s="201">
        <v>8</v>
      </c>
      <c r="H34" s="203" t="s">
        <v>55</v>
      </c>
      <c r="I34" s="199">
        <v>25000</v>
      </c>
      <c r="J34" s="127">
        <f aca="true" t="shared" si="1" ref="J34:J40">G34*I34</f>
        <v>200000</v>
      </c>
      <c r="K34" s="14"/>
    </row>
    <row r="35" spans="2:11" s="3" customFormat="1" ht="18">
      <c r="B35" s="195" t="s">
        <v>87</v>
      </c>
      <c r="C35" s="196"/>
      <c r="D35" s="196"/>
      <c r="E35" s="312" t="s">
        <v>148</v>
      </c>
      <c r="F35" s="313"/>
      <c r="G35" s="202">
        <v>2</v>
      </c>
      <c r="H35" s="204" t="s">
        <v>55</v>
      </c>
      <c r="I35" s="200">
        <v>30000</v>
      </c>
      <c r="J35" s="125">
        <f t="shared" si="1"/>
        <v>60000</v>
      </c>
      <c r="K35" s="14"/>
    </row>
    <row r="36" spans="2:11" s="3" customFormat="1" ht="18">
      <c r="B36" s="195" t="s">
        <v>126</v>
      </c>
      <c r="C36" s="196"/>
      <c r="D36" s="196"/>
      <c r="E36" s="312" t="s">
        <v>148</v>
      </c>
      <c r="F36" s="313"/>
      <c r="G36" s="202">
        <v>2</v>
      </c>
      <c r="H36" s="204" t="s">
        <v>55</v>
      </c>
      <c r="I36" s="200">
        <v>25000</v>
      </c>
      <c r="J36" s="125">
        <f t="shared" si="1"/>
        <v>50000</v>
      </c>
      <c r="K36" s="14"/>
    </row>
    <row r="37" spans="2:11" s="3" customFormat="1" ht="18">
      <c r="B37" s="195" t="s">
        <v>98</v>
      </c>
      <c r="C37" s="196"/>
      <c r="D37" s="196"/>
      <c r="E37" s="312" t="s">
        <v>86</v>
      </c>
      <c r="F37" s="313"/>
      <c r="G37" s="202">
        <v>2</v>
      </c>
      <c r="H37" s="204" t="s">
        <v>55</v>
      </c>
      <c r="I37" s="200">
        <v>40000</v>
      </c>
      <c r="J37" s="125">
        <f t="shared" si="1"/>
        <v>80000</v>
      </c>
      <c r="K37" s="14"/>
    </row>
    <row r="38" spans="2:11" s="3" customFormat="1" ht="18">
      <c r="B38" s="195" t="s">
        <v>123</v>
      </c>
      <c r="C38" s="196"/>
      <c r="D38" s="196"/>
      <c r="E38" s="312" t="s">
        <v>62</v>
      </c>
      <c r="F38" s="313"/>
      <c r="G38" s="202">
        <v>1</v>
      </c>
      <c r="H38" s="204" t="s">
        <v>55</v>
      </c>
      <c r="I38" s="200">
        <v>80000</v>
      </c>
      <c r="J38" s="125">
        <f t="shared" si="1"/>
        <v>80000</v>
      </c>
      <c r="K38" s="14"/>
    </row>
    <row r="39" spans="2:11" s="3" customFormat="1" ht="18">
      <c r="B39" s="297" t="s">
        <v>105</v>
      </c>
      <c r="C39" s="298"/>
      <c r="D39" s="299"/>
      <c r="E39" s="312" t="s">
        <v>119</v>
      </c>
      <c r="F39" s="313"/>
      <c r="G39" s="174">
        <f>rdto_variable!C2*rdto_variable!E8</f>
        <v>55000</v>
      </c>
      <c r="H39" s="204" t="s">
        <v>44</v>
      </c>
      <c r="I39" s="200">
        <v>5</v>
      </c>
      <c r="J39" s="125">
        <f t="shared" si="1"/>
        <v>275000</v>
      </c>
      <c r="K39" s="14"/>
    </row>
    <row r="40" spans="2:11" s="3" customFormat="1" ht="18">
      <c r="B40" s="322" t="s">
        <v>127</v>
      </c>
      <c r="C40" s="323"/>
      <c r="D40" s="324"/>
      <c r="E40" s="312" t="s">
        <v>119</v>
      </c>
      <c r="F40" s="313"/>
      <c r="G40" s="174">
        <f>rdto_variable!C2*rdto_variable!E9</f>
        <v>55000</v>
      </c>
      <c r="H40" s="204" t="s">
        <v>44</v>
      </c>
      <c r="I40" s="200">
        <v>6</v>
      </c>
      <c r="J40" s="206">
        <f t="shared" si="1"/>
        <v>330000</v>
      </c>
      <c r="K40" s="14"/>
    </row>
    <row r="41" spans="2:12" ht="18">
      <c r="B41" s="314" t="s">
        <v>22</v>
      </c>
      <c r="C41" s="315"/>
      <c r="D41" s="315"/>
      <c r="E41" s="315"/>
      <c r="F41" s="315"/>
      <c r="G41" s="315"/>
      <c r="H41" s="315"/>
      <c r="I41" s="315"/>
      <c r="J41" s="103">
        <f>SUM(J34:J40)</f>
        <v>1075000</v>
      </c>
      <c r="K41" s="14"/>
      <c r="L41" s="14"/>
    </row>
    <row r="42" spans="2:12" s="3" customFormat="1" ht="18">
      <c r="B42" s="74"/>
      <c r="C42" s="74"/>
      <c r="D42" s="74"/>
      <c r="E42" s="74"/>
      <c r="F42" s="74"/>
      <c r="G42" s="23" t="s">
        <v>56</v>
      </c>
      <c r="H42" s="74"/>
      <c r="I42" s="74"/>
      <c r="J42" s="25"/>
      <c r="K42" s="14"/>
      <c r="L42" s="17"/>
    </row>
    <row r="43" spans="2:12" s="3" customFormat="1" ht="21">
      <c r="B43" s="295" t="s">
        <v>65</v>
      </c>
      <c r="C43" s="296"/>
      <c r="D43" s="296"/>
      <c r="E43" s="237"/>
      <c r="F43" s="237"/>
      <c r="G43" s="93"/>
      <c r="H43" s="94"/>
      <c r="I43" s="95"/>
      <c r="J43" s="96"/>
      <c r="K43" s="14"/>
      <c r="L43" s="22"/>
    </row>
    <row r="44" spans="2:12" s="3" customFormat="1" ht="18">
      <c r="B44" s="181" t="s">
        <v>41</v>
      </c>
      <c r="C44" s="176"/>
      <c r="D44" s="177"/>
      <c r="E44" s="182"/>
      <c r="F44" s="183"/>
      <c r="G44" s="178"/>
      <c r="H44" s="179"/>
      <c r="I44" s="180"/>
      <c r="J44" s="9"/>
      <c r="K44" s="14"/>
      <c r="L44" s="22"/>
    </row>
    <row r="45" spans="2:12" s="3" customFormat="1" ht="18">
      <c r="B45" s="175" t="s">
        <v>72</v>
      </c>
      <c r="C45" s="184"/>
      <c r="D45" s="185"/>
      <c r="E45" s="222" t="s">
        <v>99</v>
      </c>
      <c r="F45" s="223"/>
      <c r="G45" s="186">
        <v>100</v>
      </c>
      <c r="H45" s="172" t="s">
        <v>44</v>
      </c>
      <c r="I45" s="180">
        <v>670</v>
      </c>
      <c r="J45" s="9">
        <f>G45*I45</f>
        <v>67000</v>
      </c>
      <c r="K45" s="14"/>
      <c r="L45" s="22"/>
    </row>
    <row r="46" spans="2:12" s="3" customFormat="1" ht="18">
      <c r="B46" s="175" t="s">
        <v>71</v>
      </c>
      <c r="C46" s="184"/>
      <c r="D46" s="185"/>
      <c r="E46" s="222" t="s">
        <v>120</v>
      </c>
      <c r="F46" s="223"/>
      <c r="G46" s="186">
        <v>150</v>
      </c>
      <c r="H46" s="172" t="s">
        <v>44</v>
      </c>
      <c r="I46" s="180">
        <v>362</v>
      </c>
      <c r="J46" s="9">
        <f>G46*I46</f>
        <v>54300</v>
      </c>
      <c r="K46" s="14"/>
      <c r="L46" s="22"/>
    </row>
    <row r="47" spans="2:12" s="3" customFormat="1" ht="18">
      <c r="B47" s="175" t="s">
        <v>121</v>
      </c>
      <c r="C47" s="184"/>
      <c r="D47" s="185"/>
      <c r="E47" s="222" t="s">
        <v>122</v>
      </c>
      <c r="F47" s="223"/>
      <c r="G47" s="186">
        <v>150</v>
      </c>
      <c r="H47" s="172" t="s">
        <v>44</v>
      </c>
      <c r="I47" s="180">
        <v>373</v>
      </c>
      <c r="J47" s="9">
        <f>G47*I47</f>
        <v>55950</v>
      </c>
      <c r="K47" s="14"/>
      <c r="L47" s="22"/>
    </row>
    <row r="48" spans="2:12" s="3" customFormat="1" ht="18">
      <c r="B48" s="175" t="s">
        <v>158</v>
      </c>
      <c r="C48" s="184"/>
      <c r="D48" s="185"/>
      <c r="E48" s="222"/>
      <c r="F48" s="223"/>
      <c r="G48" s="186"/>
      <c r="H48" s="172"/>
      <c r="I48" s="180"/>
      <c r="J48" s="9"/>
      <c r="K48" s="14"/>
      <c r="L48" s="22"/>
    </row>
    <row r="49" spans="2:12" s="3" customFormat="1" ht="18">
      <c r="B49" s="190" t="s">
        <v>42</v>
      </c>
      <c r="C49" s="191"/>
      <c r="D49" s="192"/>
      <c r="E49" s="187"/>
      <c r="F49" s="183"/>
      <c r="G49" s="186"/>
      <c r="H49" s="172"/>
      <c r="I49" s="180"/>
      <c r="J49" s="9"/>
      <c r="K49" s="14"/>
      <c r="L49" s="22"/>
    </row>
    <row r="50" spans="2:12" s="3" customFormat="1" ht="18">
      <c r="B50" s="213" t="s">
        <v>137</v>
      </c>
      <c r="C50" s="214"/>
      <c r="D50" s="215"/>
      <c r="E50" s="222" t="s">
        <v>100</v>
      </c>
      <c r="F50" s="223"/>
      <c r="G50" s="186">
        <v>8</v>
      </c>
      <c r="H50" s="172" t="s">
        <v>44</v>
      </c>
      <c r="I50" s="180">
        <v>6750</v>
      </c>
      <c r="J50" s="9">
        <f aca="true" t="shared" si="2" ref="J50:J75">G50*I50</f>
        <v>54000</v>
      </c>
      <c r="K50" s="14"/>
      <c r="L50" s="22"/>
    </row>
    <row r="51" spans="2:12" s="3" customFormat="1" ht="18">
      <c r="B51" s="213" t="s">
        <v>138</v>
      </c>
      <c r="C51" s="218"/>
      <c r="D51" s="219"/>
      <c r="E51" s="222" t="s">
        <v>90</v>
      </c>
      <c r="F51" s="223"/>
      <c r="G51" s="186">
        <v>5</v>
      </c>
      <c r="H51" s="172" t="s">
        <v>40</v>
      </c>
      <c r="I51" s="180">
        <v>2806</v>
      </c>
      <c r="J51" s="9">
        <f t="shared" si="2"/>
        <v>14030</v>
      </c>
      <c r="K51" s="14"/>
      <c r="L51" s="22"/>
    </row>
    <row r="52" spans="2:12" s="3" customFormat="1" ht="18">
      <c r="B52" s="213" t="s">
        <v>139</v>
      </c>
      <c r="C52" s="218"/>
      <c r="D52" s="219"/>
      <c r="E52" s="222" t="s">
        <v>88</v>
      </c>
      <c r="F52" s="223"/>
      <c r="G52" s="186">
        <v>1</v>
      </c>
      <c r="H52" s="172" t="s">
        <v>40</v>
      </c>
      <c r="I52" s="180">
        <v>80475</v>
      </c>
      <c r="J52" s="9">
        <f t="shared" si="2"/>
        <v>80475</v>
      </c>
      <c r="K52" s="14"/>
      <c r="L52" s="22"/>
    </row>
    <row r="53" spans="2:12" s="3" customFormat="1" ht="18">
      <c r="B53" s="213" t="s">
        <v>128</v>
      </c>
      <c r="C53" s="218"/>
      <c r="D53" s="219"/>
      <c r="E53" s="222" t="s">
        <v>129</v>
      </c>
      <c r="F53" s="223"/>
      <c r="G53" s="186">
        <v>0.5</v>
      </c>
      <c r="H53" s="172" t="s">
        <v>44</v>
      </c>
      <c r="I53" s="180">
        <v>170000</v>
      </c>
      <c r="J53" s="9">
        <f t="shared" si="2"/>
        <v>85000</v>
      </c>
      <c r="K53" s="14"/>
      <c r="L53" s="22"/>
    </row>
    <row r="54" spans="2:12" s="3" customFormat="1" ht="18">
      <c r="B54" s="213" t="s">
        <v>158</v>
      </c>
      <c r="C54" s="214"/>
      <c r="D54" s="215"/>
      <c r="E54" s="187"/>
      <c r="F54" s="183"/>
      <c r="G54" s="186"/>
      <c r="H54" s="172"/>
      <c r="I54" s="180"/>
      <c r="J54" s="9"/>
      <c r="K54" s="14"/>
      <c r="L54" s="22"/>
    </row>
    <row r="55" spans="2:13" s="3" customFormat="1" ht="18">
      <c r="B55" s="190" t="s">
        <v>43</v>
      </c>
      <c r="C55" s="191"/>
      <c r="D55" s="192"/>
      <c r="E55" s="187"/>
      <c r="F55" s="183"/>
      <c r="G55" s="186"/>
      <c r="H55" s="172"/>
      <c r="I55" s="180"/>
      <c r="J55" s="9"/>
      <c r="K55" s="14"/>
      <c r="L55" s="22"/>
      <c r="M55" s="3" t="s">
        <v>61</v>
      </c>
    </row>
    <row r="56" spans="2:12" s="3" customFormat="1" ht="18">
      <c r="B56" s="213" t="s">
        <v>140</v>
      </c>
      <c r="C56" s="214"/>
      <c r="D56" s="215"/>
      <c r="E56" s="222" t="s">
        <v>90</v>
      </c>
      <c r="F56" s="223"/>
      <c r="G56" s="178">
        <v>20</v>
      </c>
      <c r="H56" s="179" t="s">
        <v>40</v>
      </c>
      <c r="I56" s="180">
        <v>3172</v>
      </c>
      <c r="J56" s="9">
        <f t="shared" si="2"/>
        <v>63440</v>
      </c>
      <c r="K56" s="14"/>
      <c r="L56" s="22"/>
    </row>
    <row r="57" spans="2:12" s="3" customFormat="1" ht="18">
      <c r="B57" s="213" t="s">
        <v>141</v>
      </c>
      <c r="C57" s="220"/>
      <c r="D57" s="221"/>
      <c r="E57" s="222" t="s">
        <v>90</v>
      </c>
      <c r="F57" s="223"/>
      <c r="G57" s="178">
        <v>2</v>
      </c>
      <c r="H57" s="179" t="s">
        <v>40</v>
      </c>
      <c r="I57" s="180">
        <v>7229</v>
      </c>
      <c r="J57" s="9">
        <f t="shared" si="2"/>
        <v>14458</v>
      </c>
      <c r="K57" s="14"/>
      <c r="L57" s="22"/>
    </row>
    <row r="58" spans="2:12" s="3" customFormat="1" ht="18">
      <c r="B58" s="213" t="s">
        <v>143</v>
      </c>
      <c r="C58" s="220"/>
      <c r="D58" s="221"/>
      <c r="E58" s="222" t="s">
        <v>95</v>
      </c>
      <c r="F58" s="223"/>
      <c r="G58" s="178">
        <v>0.5</v>
      </c>
      <c r="H58" s="179" t="s">
        <v>40</v>
      </c>
      <c r="I58" s="180">
        <v>28400</v>
      </c>
      <c r="J58" s="9">
        <f t="shared" si="2"/>
        <v>14200</v>
      </c>
      <c r="K58" s="14"/>
      <c r="L58" s="22"/>
    </row>
    <row r="59" spans="2:12" s="3" customFormat="1" ht="18">
      <c r="B59" s="210" t="s">
        <v>158</v>
      </c>
      <c r="C59" s="216"/>
      <c r="D59" s="217"/>
      <c r="E59" s="188"/>
      <c r="F59" s="205"/>
      <c r="G59" s="178"/>
      <c r="H59" s="179"/>
      <c r="I59" s="180"/>
      <c r="J59" s="9"/>
      <c r="K59" s="14"/>
      <c r="L59" s="22"/>
    </row>
    <row r="60" spans="2:12" s="3" customFormat="1" ht="18">
      <c r="B60" s="190" t="s">
        <v>102</v>
      </c>
      <c r="C60" s="214"/>
      <c r="D60" s="215"/>
      <c r="E60" s="188"/>
      <c r="F60" s="198"/>
      <c r="G60" s="178"/>
      <c r="H60" s="179"/>
      <c r="I60" s="180"/>
      <c r="J60" s="9"/>
      <c r="K60" s="14"/>
      <c r="L60" s="22"/>
    </row>
    <row r="61" spans="2:12" s="3" customFormat="1" ht="18">
      <c r="B61" s="213" t="s">
        <v>142</v>
      </c>
      <c r="C61" s="218"/>
      <c r="D61" s="219"/>
      <c r="E61" s="222" t="s">
        <v>103</v>
      </c>
      <c r="F61" s="223"/>
      <c r="G61" s="178">
        <v>4</v>
      </c>
      <c r="H61" s="179" t="s">
        <v>40</v>
      </c>
      <c r="I61" s="180">
        <v>6327</v>
      </c>
      <c r="J61" s="9">
        <f t="shared" si="2"/>
        <v>25308</v>
      </c>
      <c r="K61" s="14"/>
      <c r="L61" s="22"/>
    </row>
    <row r="62" spans="2:12" s="3" customFormat="1" ht="18">
      <c r="B62" s="210" t="s">
        <v>158</v>
      </c>
      <c r="C62" s="211"/>
      <c r="D62" s="212"/>
      <c r="E62" s="188"/>
      <c r="F62" s="205"/>
      <c r="G62" s="178"/>
      <c r="H62" s="179"/>
      <c r="I62" s="180"/>
      <c r="J62" s="9"/>
      <c r="K62" s="14"/>
      <c r="L62" s="22"/>
    </row>
    <row r="63" spans="2:12" s="3" customFormat="1" ht="18">
      <c r="B63" s="190" t="s">
        <v>69</v>
      </c>
      <c r="C63" s="214"/>
      <c r="D63" s="215"/>
      <c r="E63" s="188"/>
      <c r="F63" s="189"/>
      <c r="G63" s="178"/>
      <c r="H63" s="179"/>
      <c r="I63" s="180"/>
      <c r="J63" s="9"/>
      <c r="K63" s="14"/>
      <c r="L63" s="22"/>
    </row>
    <row r="64" spans="2:12" s="3" customFormat="1" ht="18">
      <c r="B64" s="213" t="s">
        <v>144</v>
      </c>
      <c r="C64" s="218"/>
      <c r="D64" s="219"/>
      <c r="E64" s="222" t="s">
        <v>104</v>
      </c>
      <c r="F64" s="223"/>
      <c r="G64" s="178">
        <v>4</v>
      </c>
      <c r="H64" s="179" t="s">
        <v>40</v>
      </c>
      <c r="I64" s="180">
        <v>8724</v>
      </c>
      <c r="J64" s="9">
        <f t="shared" si="2"/>
        <v>34896</v>
      </c>
      <c r="K64" s="14"/>
      <c r="L64" s="22"/>
    </row>
    <row r="65" spans="2:12" s="3" customFormat="1" ht="18">
      <c r="B65" s="213" t="s">
        <v>145</v>
      </c>
      <c r="C65" s="218"/>
      <c r="D65" s="219"/>
      <c r="E65" s="222" t="s">
        <v>101</v>
      </c>
      <c r="F65" s="223"/>
      <c r="G65" s="178">
        <v>2</v>
      </c>
      <c r="H65" s="179" t="s">
        <v>44</v>
      </c>
      <c r="I65" s="180">
        <v>3505</v>
      </c>
      <c r="J65" s="9">
        <f t="shared" si="2"/>
        <v>7010</v>
      </c>
      <c r="K65" s="14"/>
      <c r="L65" s="22"/>
    </row>
    <row r="66" spans="2:12" s="3" customFormat="1" ht="18">
      <c r="B66" s="175" t="s">
        <v>130</v>
      </c>
      <c r="C66" s="184"/>
      <c r="D66" s="185"/>
      <c r="E66" s="222" t="s">
        <v>103</v>
      </c>
      <c r="F66" s="223"/>
      <c r="G66" s="178">
        <v>4</v>
      </c>
      <c r="H66" s="179" t="s">
        <v>40</v>
      </c>
      <c r="I66" s="180">
        <v>3250</v>
      </c>
      <c r="J66" s="9">
        <f t="shared" si="2"/>
        <v>13000</v>
      </c>
      <c r="K66" s="14"/>
      <c r="L66" s="22"/>
    </row>
    <row r="67" spans="2:12" s="3" customFormat="1" ht="18">
      <c r="B67" s="213" t="s">
        <v>133</v>
      </c>
      <c r="C67" s="214"/>
      <c r="D67" s="215"/>
      <c r="E67" s="222"/>
      <c r="F67" s="223"/>
      <c r="G67" s="178"/>
      <c r="H67" s="179"/>
      <c r="I67" s="180"/>
      <c r="J67" s="9"/>
      <c r="K67" s="14"/>
      <c r="L67" s="22"/>
    </row>
    <row r="68" spans="2:12" s="3" customFormat="1" ht="18">
      <c r="B68" s="213" t="s">
        <v>157</v>
      </c>
      <c r="C68" s="193"/>
      <c r="D68" s="215"/>
      <c r="E68" s="222" t="s">
        <v>134</v>
      </c>
      <c r="F68" s="223"/>
      <c r="G68" s="178">
        <v>20</v>
      </c>
      <c r="H68" s="179" t="s">
        <v>40</v>
      </c>
      <c r="I68" s="180">
        <v>5507</v>
      </c>
      <c r="J68" s="9">
        <f t="shared" si="2"/>
        <v>110140</v>
      </c>
      <c r="K68" s="14"/>
      <c r="L68" s="22"/>
    </row>
    <row r="69" spans="2:12" s="3" customFormat="1" ht="18">
      <c r="B69" s="213" t="s">
        <v>158</v>
      </c>
      <c r="C69" s="193"/>
      <c r="D69" s="215"/>
      <c r="E69" s="222"/>
      <c r="F69" s="223"/>
      <c r="G69" s="178"/>
      <c r="H69" s="179"/>
      <c r="I69" s="180"/>
      <c r="J69" s="9"/>
      <c r="K69" s="14"/>
      <c r="L69" s="22"/>
    </row>
    <row r="70" spans="2:12" s="3" customFormat="1" ht="18">
      <c r="B70" s="181" t="s">
        <v>70</v>
      </c>
      <c r="C70" s="184"/>
      <c r="D70" s="185"/>
      <c r="E70" s="188"/>
      <c r="F70" s="189"/>
      <c r="G70" s="178"/>
      <c r="H70" s="179"/>
      <c r="I70" s="180"/>
      <c r="J70" s="9"/>
      <c r="K70" s="14"/>
      <c r="L70" s="22"/>
    </row>
    <row r="71" spans="2:12" s="3" customFormat="1" ht="18">
      <c r="B71" s="175" t="s">
        <v>73</v>
      </c>
      <c r="C71" s="184"/>
      <c r="D71" s="185"/>
      <c r="E71" s="222" t="s">
        <v>147</v>
      </c>
      <c r="F71" s="223"/>
      <c r="G71" s="178">
        <v>2</v>
      </c>
      <c r="H71" s="179" t="s">
        <v>89</v>
      </c>
      <c r="I71" s="180">
        <v>75000</v>
      </c>
      <c r="J71" s="9">
        <f t="shared" si="2"/>
        <v>150000</v>
      </c>
      <c r="K71" s="14"/>
      <c r="L71" s="22"/>
    </row>
    <row r="72" spans="2:12" s="3" customFormat="1" ht="18">
      <c r="B72" s="175" t="s">
        <v>124</v>
      </c>
      <c r="C72" s="184"/>
      <c r="D72" s="185"/>
      <c r="E72" s="222" t="s">
        <v>62</v>
      </c>
      <c r="F72" s="223"/>
      <c r="G72" s="178">
        <v>1200</v>
      </c>
      <c r="H72" s="179" t="s">
        <v>89</v>
      </c>
      <c r="I72" s="194">
        <v>200</v>
      </c>
      <c r="J72" s="9">
        <f t="shared" si="2"/>
        <v>240000</v>
      </c>
      <c r="K72" s="14"/>
      <c r="L72" s="22"/>
    </row>
    <row r="73" spans="2:12" s="3" customFormat="1" ht="18">
      <c r="B73" s="175" t="s">
        <v>131</v>
      </c>
      <c r="C73" s="184"/>
      <c r="D73" s="185"/>
      <c r="E73" s="222" t="s">
        <v>88</v>
      </c>
      <c r="F73" s="223"/>
      <c r="G73" s="178">
        <v>6</v>
      </c>
      <c r="H73" s="179" t="s">
        <v>132</v>
      </c>
      <c r="I73" s="194">
        <v>11000</v>
      </c>
      <c r="J73" s="9">
        <f t="shared" si="2"/>
        <v>66000</v>
      </c>
      <c r="K73" s="14"/>
      <c r="L73" s="22"/>
    </row>
    <row r="74" spans="2:12" s="3" customFormat="1" ht="18">
      <c r="B74" s="175" t="s">
        <v>146</v>
      </c>
      <c r="C74" s="184"/>
      <c r="D74" s="185"/>
      <c r="E74" s="222" t="s">
        <v>62</v>
      </c>
      <c r="F74" s="223"/>
      <c r="G74" s="178">
        <v>1</v>
      </c>
      <c r="H74" s="179" t="s">
        <v>55</v>
      </c>
      <c r="I74" s="194">
        <v>30000</v>
      </c>
      <c r="J74" s="9">
        <f t="shared" si="2"/>
        <v>30000</v>
      </c>
      <c r="K74" s="14"/>
      <c r="L74" s="22"/>
    </row>
    <row r="75" spans="2:12" s="3" customFormat="1" ht="21">
      <c r="B75" s="207" t="s">
        <v>92</v>
      </c>
      <c r="C75" s="208"/>
      <c r="D75" s="209"/>
      <c r="E75" s="233" t="s">
        <v>96</v>
      </c>
      <c r="F75" s="234"/>
      <c r="G75" s="178">
        <v>1</v>
      </c>
      <c r="H75" s="179" t="s">
        <v>63</v>
      </c>
      <c r="I75" s="180">
        <v>25000</v>
      </c>
      <c r="J75" s="9">
        <f t="shared" si="2"/>
        <v>25000</v>
      </c>
      <c r="K75" s="14"/>
      <c r="L75" s="22"/>
    </row>
    <row r="76" spans="2:14" ht="18">
      <c r="B76" s="235" t="s">
        <v>23</v>
      </c>
      <c r="C76" s="236"/>
      <c r="D76" s="236"/>
      <c r="E76" s="236"/>
      <c r="F76" s="236"/>
      <c r="G76" s="236"/>
      <c r="H76" s="236"/>
      <c r="I76" s="236"/>
      <c r="J76" s="106">
        <f>SUM(J44:J75)</f>
        <v>1204207</v>
      </c>
      <c r="K76" s="14"/>
      <c r="M76" s="14"/>
      <c r="N76" s="14"/>
    </row>
    <row r="77" spans="2:14" s="3" customFormat="1" ht="18">
      <c r="B77" s="27"/>
      <c r="C77" s="27"/>
      <c r="D77" s="27"/>
      <c r="E77" s="27"/>
      <c r="F77" s="27"/>
      <c r="G77" s="28"/>
      <c r="H77" s="27"/>
      <c r="I77" s="27"/>
      <c r="J77" s="29"/>
      <c r="K77" s="14"/>
      <c r="M77" s="14"/>
      <c r="N77" s="14"/>
    </row>
    <row r="78" spans="2:16" ht="18">
      <c r="B78" s="242" t="s">
        <v>24</v>
      </c>
      <c r="C78" s="243"/>
      <c r="D78" s="243"/>
      <c r="E78" s="243"/>
      <c r="F78" s="243"/>
      <c r="G78" s="243"/>
      <c r="H78" s="243"/>
      <c r="I78" s="243"/>
      <c r="J78" s="81">
        <f>total_mano_obra+total_maquinaria+total_insumos</f>
        <v>5324307</v>
      </c>
      <c r="K78" s="14"/>
      <c r="M78" s="14"/>
      <c r="N78" s="14"/>
      <c r="O78" s="8"/>
      <c r="P78" s="8"/>
    </row>
    <row r="79" spans="2:14" s="3" customFormat="1" ht="18">
      <c r="B79" s="75"/>
      <c r="C79" s="75"/>
      <c r="D79" s="75"/>
      <c r="E79" s="75"/>
      <c r="F79" s="75"/>
      <c r="G79" s="30"/>
      <c r="H79" s="75"/>
      <c r="I79" s="75"/>
      <c r="J79" s="25"/>
      <c r="K79" s="14"/>
      <c r="M79" s="14"/>
      <c r="N79" s="14"/>
    </row>
    <row r="80" spans="2:14" s="3" customFormat="1" ht="18">
      <c r="B80" s="130" t="s">
        <v>53</v>
      </c>
      <c r="C80" s="131"/>
      <c r="D80" s="132"/>
      <c r="E80" s="244" t="s">
        <v>62</v>
      </c>
      <c r="F80" s="244"/>
      <c r="G80" s="133">
        <v>0.05</v>
      </c>
      <c r="H80" s="134" t="s">
        <v>1</v>
      </c>
      <c r="I80" s="135"/>
      <c r="J80" s="135">
        <f>total_costos_directos*G80</f>
        <v>266215.35000000003</v>
      </c>
      <c r="K80" s="14"/>
      <c r="M80" s="14"/>
      <c r="N80" s="14"/>
    </row>
    <row r="81" spans="2:14" s="3" customFormat="1" ht="18">
      <c r="B81" s="108"/>
      <c r="C81" s="108"/>
      <c r="D81" s="108"/>
      <c r="E81" s="108"/>
      <c r="F81" s="108"/>
      <c r="G81" s="30"/>
      <c r="H81" s="108"/>
      <c r="I81" s="108"/>
      <c r="J81" s="25"/>
      <c r="K81" s="14"/>
      <c r="M81" s="14"/>
      <c r="N81" s="14"/>
    </row>
    <row r="82" spans="2:14" s="3" customFormat="1" ht="20.25">
      <c r="B82" s="102" t="s">
        <v>52</v>
      </c>
      <c r="C82" s="101"/>
      <c r="D82" s="101"/>
      <c r="E82" s="18"/>
      <c r="F82" s="18"/>
      <c r="G82" s="19"/>
      <c r="H82" s="20"/>
      <c r="I82" s="21"/>
      <c r="J82" s="21"/>
      <c r="K82" s="14"/>
      <c r="M82" s="14"/>
      <c r="N82" s="14"/>
    </row>
    <row r="83" spans="2:14" s="3" customFormat="1" ht="18">
      <c r="B83" s="259" t="s">
        <v>51</v>
      </c>
      <c r="C83" s="237"/>
      <c r="D83" s="237"/>
      <c r="E83" s="237" t="s">
        <v>15</v>
      </c>
      <c r="F83" s="237"/>
      <c r="G83" s="93" t="s">
        <v>16</v>
      </c>
      <c r="H83" s="94" t="s">
        <v>17</v>
      </c>
      <c r="I83" s="95" t="s">
        <v>18</v>
      </c>
      <c r="J83" s="96" t="s">
        <v>3</v>
      </c>
      <c r="K83" s="14"/>
      <c r="M83" s="14"/>
      <c r="N83" s="14"/>
    </row>
    <row r="84" spans="2:15" s="3" customFormat="1" ht="21">
      <c r="B84" s="264" t="s">
        <v>66</v>
      </c>
      <c r="C84" s="265"/>
      <c r="D84" s="266"/>
      <c r="E84" s="224" t="s">
        <v>62</v>
      </c>
      <c r="F84" s="225"/>
      <c r="G84" s="104">
        <f>E16</f>
        <v>0.015</v>
      </c>
      <c r="H84" s="7" t="s">
        <v>1</v>
      </c>
      <c r="I84" s="105"/>
      <c r="J84" s="9">
        <f>total_costos_directos*tasa_interes_mensual*meses_financiamiento*0.5</f>
        <v>479187.63</v>
      </c>
      <c r="K84" s="14"/>
      <c r="L84" s="265"/>
      <c r="M84" s="265"/>
      <c r="N84" s="265"/>
      <c r="O84" s="265"/>
    </row>
    <row r="85" spans="2:14" s="3" customFormat="1" ht="18">
      <c r="B85" s="264" t="s">
        <v>26</v>
      </c>
      <c r="C85" s="265"/>
      <c r="D85" s="266"/>
      <c r="E85" s="238"/>
      <c r="F85" s="239"/>
      <c r="G85" s="82"/>
      <c r="H85" s="82"/>
      <c r="I85" s="82"/>
      <c r="J85" s="84"/>
      <c r="K85" s="14"/>
      <c r="M85" s="14"/>
      <c r="N85" s="14"/>
    </row>
    <row r="86" spans="2:14" s="3" customFormat="1" ht="18">
      <c r="B86" s="264" t="s">
        <v>2</v>
      </c>
      <c r="C86" s="265"/>
      <c r="D86" s="266"/>
      <c r="E86" s="238"/>
      <c r="F86" s="239"/>
      <c r="G86" s="82"/>
      <c r="H86" s="82"/>
      <c r="I86" s="82"/>
      <c r="J86" s="84"/>
      <c r="K86" s="14"/>
      <c r="M86" s="14"/>
      <c r="N86" s="14"/>
    </row>
    <row r="87" spans="2:14" s="3" customFormat="1" ht="18">
      <c r="B87" s="260" t="s">
        <v>27</v>
      </c>
      <c r="C87" s="261"/>
      <c r="D87" s="262"/>
      <c r="E87" s="281"/>
      <c r="F87" s="282"/>
      <c r="G87" s="83"/>
      <c r="H87" s="83"/>
      <c r="I87" s="83"/>
      <c r="J87" s="85"/>
      <c r="K87" s="14"/>
      <c r="M87" s="14"/>
      <c r="N87" s="14"/>
    </row>
    <row r="88" spans="2:14" ht="18">
      <c r="B88" s="270" t="s">
        <v>48</v>
      </c>
      <c r="C88" s="271"/>
      <c r="D88" s="271"/>
      <c r="E88" s="271"/>
      <c r="F88" s="271"/>
      <c r="G88" s="271"/>
      <c r="H88" s="271"/>
      <c r="I88" s="271"/>
      <c r="J88" s="103">
        <f>SUM(J84:J87)</f>
        <v>479187.63</v>
      </c>
      <c r="K88" s="14"/>
      <c r="M88" s="14"/>
      <c r="N88" s="14"/>
    </row>
    <row r="89" spans="2:12" s="3" customFormat="1" ht="18" customHeight="1">
      <c r="B89" s="74"/>
      <c r="C89" s="74"/>
      <c r="D89" s="74"/>
      <c r="E89" s="74"/>
      <c r="F89" s="74"/>
      <c r="G89" s="23"/>
      <c r="H89" s="74"/>
      <c r="I89" s="74"/>
      <c r="J89" s="25"/>
      <c r="K89" s="14"/>
      <c r="L89" s="14"/>
    </row>
    <row r="90" spans="2:12" ht="18" customHeight="1">
      <c r="B90" s="268" t="s">
        <v>28</v>
      </c>
      <c r="C90" s="269"/>
      <c r="D90" s="269"/>
      <c r="E90" s="269"/>
      <c r="F90" s="269"/>
      <c r="G90" s="269"/>
      <c r="H90" s="269"/>
      <c r="I90" s="269"/>
      <c r="J90" s="228">
        <f>total_costos_directos+imprevistos+total_costos_indirectos</f>
        <v>6069709.9799999995</v>
      </c>
      <c r="K90" s="14"/>
      <c r="L90" s="14"/>
    </row>
    <row r="91" spans="2:12" s="3" customFormat="1" ht="18" customHeight="1">
      <c r="B91" s="270"/>
      <c r="C91" s="271"/>
      <c r="D91" s="271"/>
      <c r="E91" s="271"/>
      <c r="F91" s="271"/>
      <c r="G91" s="271"/>
      <c r="H91" s="271"/>
      <c r="I91" s="271"/>
      <c r="J91" s="229"/>
      <c r="K91" s="14"/>
      <c r="L91" s="14"/>
    </row>
    <row r="92" spans="2:12" s="3" customFormat="1" ht="18" customHeight="1">
      <c r="B92" s="27"/>
      <c r="C92" s="27"/>
      <c r="D92" s="27"/>
      <c r="E92" s="27"/>
      <c r="F92" s="27"/>
      <c r="G92" s="28"/>
      <c r="H92" s="27"/>
      <c r="I92" s="27"/>
      <c r="J92" s="29"/>
      <c r="K92" s="14"/>
      <c r="L92" s="14"/>
    </row>
    <row r="93" spans="2:12" ht="18" customHeight="1">
      <c r="B93" s="275" t="s">
        <v>67</v>
      </c>
      <c r="C93" s="276"/>
      <c r="D93" s="276"/>
      <c r="E93" s="276"/>
      <c r="F93" s="276"/>
      <c r="G93" s="276"/>
      <c r="H93" s="276"/>
      <c r="I93" s="276"/>
      <c r="J93" s="277"/>
      <c r="K93" s="14"/>
      <c r="L93" s="22"/>
    </row>
    <row r="94" spans="2:12" ht="18" customHeight="1">
      <c r="B94" s="278" t="s">
        <v>34</v>
      </c>
      <c r="C94" s="279"/>
      <c r="D94" s="279"/>
      <c r="E94" s="279"/>
      <c r="F94" s="279"/>
      <c r="G94" s="279"/>
      <c r="H94" s="279"/>
      <c r="I94" s="279"/>
      <c r="J94" s="280"/>
      <c r="K94" s="14"/>
      <c r="L94" s="22"/>
    </row>
    <row r="95" spans="2:12" s="3" customFormat="1" ht="18" customHeight="1">
      <c r="B95" s="286" t="s">
        <v>59</v>
      </c>
      <c r="C95" s="286"/>
      <c r="D95" s="286"/>
      <c r="E95" s="283" t="s">
        <v>58</v>
      </c>
      <c r="F95" s="284"/>
      <c r="G95" s="284"/>
      <c r="H95" s="284"/>
      <c r="I95" s="284"/>
      <c r="J95" s="285"/>
      <c r="K95" s="14"/>
      <c r="L95" s="22"/>
    </row>
    <row r="96" spans="2:12" s="3" customFormat="1" ht="18" customHeight="1">
      <c r="B96" s="286"/>
      <c r="C96" s="286"/>
      <c r="D96" s="286"/>
      <c r="E96" s="267">
        <f>G96*0.9</f>
        <v>144</v>
      </c>
      <c r="F96" s="267"/>
      <c r="G96" s="232">
        <f>precio_de_venta</f>
        <v>160</v>
      </c>
      <c r="H96" s="232"/>
      <c r="I96" s="267">
        <f>G96*1.1</f>
        <v>176</v>
      </c>
      <c r="J96" s="267"/>
      <c r="K96" s="14"/>
      <c r="L96" s="22"/>
    </row>
    <row r="97" spans="2:12" s="3" customFormat="1" ht="18" customHeight="1">
      <c r="B97" s="267">
        <f>rendimiento*0.9</f>
        <v>49500</v>
      </c>
      <c r="C97" s="267"/>
      <c r="D97" s="267"/>
      <c r="E97" s="245">
        <f>E$96*$B$97-rdto_variable!$C$44</f>
        <v>1215040.0200000005</v>
      </c>
      <c r="F97" s="245"/>
      <c r="G97" s="245">
        <f>G$96*$B$97-rdto_variable!$C$44</f>
        <v>2007040.0200000005</v>
      </c>
      <c r="H97" s="245"/>
      <c r="I97" s="245">
        <f>I$96*$B$97-rdto_variable!$C$44</f>
        <v>2799040.0200000005</v>
      </c>
      <c r="J97" s="245"/>
      <c r="K97" s="14"/>
      <c r="L97" s="22"/>
    </row>
    <row r="98" spans="2:12" s="3" customFormat="1" ht="18" customHeight="1">
      <c r="B98" s="267">
        <f>rendimiento</f>
        <v>55000</v>
      </c>
      <c r="C98" s="267"/>
      <c r="D98" s="267"/>
      <c r="E98" s="245">
        <f>E$96*$B$98-total_costos</f>
        <v>1850290.0200000005</v>
      </c>
      <c r="F98" s="245"/>
      <c r="G98" s="245">
        <f>G$96*$B$98-total_costos</f>
        <v>2730290.0200000005</v>
      </c>
      <c r="H98" s="245"/>
      <c r="I98" s="245">
        <f>I$96*$B$98-total_costos</f>
        <v>3610290.0200000005</v>
      </c>
      <c r="J98" s="245"/>
      <c r="K98" s="14"/>
      <c r="L98" s="22"/>
    </row>
    <row r="99" spans="2:12" s="3" customFormat="1" ht="18" customHeight="1">
      <c r="B99" s="267">
        <f>rendimiento*1.1</f>
        <v>60500.00000000001</v>
      </c>
      <c r="C99" s="267"/>
      <c r="D99" s="267"/>
      <c r="E99" s="245">
        <f>E$96*$B$99-rdto_variable!$D$44</f>
        <v>2485540.0200000023</v>
      </c>
      <c r="F99" s="245"/>
      <c r="G99" s="245">
        <f>G$96*$B$99-rdto_variable!$D$44</f>
        <v>3453540.0200000023</v>
      </c>
      <c r="H99" s="245"/>
      <c r="I99" s="245">
        <f>I$96*$B$99-rdto_variable!$D$44</f>
        <v>4421540.020000002</v>
      </c>
      <c r="J99" s="245"/>
      <c r="K99" s="14"/>
      <c r="L99" s="22"/>
    </row>
    <row r="100" spans="2:12" s="3" customFormat="1" ht="18" customHeight="1">
      <c r="B100" s="31"/>
      <c r="C100" s="31"/>
      <c r="D100" s="32"/>
      <c r="E100" s="32"/>
      <c r="F100" s="32"/>
      <c r="G100" s="33"/>
      <c r="H100" s="10"/>
      <c r="I100" s="13"/>
      <c r="J100" s="13"/>
      <c r="K100" s="14"/>
      <c r="L100" s="22"/>
    </row>
    <row r="101" spans="2:12" s="3" customFormat="1" ht="18" customHeight="1">
      <c r="B101" s="246" t="s">
        <v>68</v>
      </c>
      <c r="C101" s="247"/>
      <c r="D101" s="247"/>
      <c r="E101" s="247"/>
      <c r="F101" s="247"/>
      <c r="G101" s="247"/>
      <c r="H101" s="247"/>
      <c r="I101" s="247"/>
      <c r="J101" s="248"/>
      <c r="K101" s="14"/>
      <c r="L101" s="22"/>
    </row>
    <row r="102" spans="2:12" s="3" customFormat="1" ht="18" customHeight="1">
      <c r="B102" s="249"/>
      <c r="C102" s="250"/>
      <c r="D102" s="250"/>
      <c r="E102" s="250"/>
      <c r="F102" s="250"/>
      <c r="G102" s="250"/>
      <c r="H102" s="250"/>
      <c r="I102" s="250"/>
      <c r="J102" s="251"/>
      <c r="K102" s="14"/>
      <c r="L102" s="22"/>
    </row>
    <row r="103" spans="2:12" s="3" customFormat="1" ht="18" customHeight="1">
      <c r="B103" s="240" t="s">
        <v>59</v>
      </c>
      <c r="C103" s="226"/>
      <c r="D103" s="226"/>
      <c r="E103" s="226">
        <f>B97</f>
        <v>49500</v>
      </c>
      <c r="F103" s="226"/>
      <c r="G103" s="226">
        <f>B98</f>
        <v>55000</v>
      </c>
      <c r="H103" s="226"/>
      <c r="I103" s="226">
        <f>B99</f>
        <v>60500.00000000001</v>
      </c>
      <c r="J103" s="230"/>
      <c r="K103" s="14"/>
      <c r="L103" s="22"/>
    </row>
    <row r="104" spans="2:12" ht="18" customHeight="1">
      <c r="B104" s="241"/>
      <c r="C104" s="227"/>
      <c r="D104" s="227"/>
      <c r="E104" s="227"/>
      <c r="F104" s="227"/>
      <c r="G104" s="227"/>
      <c r="H104" s="227"/>
      <c r="I104" s="227"/>
      <c r="J104" s="231"/>
      <c r="K104" s="14"/>
      <c r="L104" s="22"/>
    </row>
    <row r="105" spans="2:12" ht="18" customHeight="1">
      <c r="B105" s="328" t="s">
        <v>60</v>
      </c>
      <c r="C105" s="329"/>
      <c r="D105" s="329"/>
      <c r="E105" s="255">
        <f>rdto_variable!C44/manzano!E103</f>
        <v>119.45373696969696</v>
      </c>
      <c r="F105" s="255"/>
      <c r="G105" s="257">
        <f>total_costos/$G$103</f>
        <v>110.35836327272726</v>
      </c>
      <c r="H105" s="257"/>
      <c r="I105" s="255">
        <f>rdto_variable!D44/manzano!I103</f>
        <v>102.9166938842975</v>
      </c>
      <c r="J105" s="256"/>
      <c r="K105" s="14"/>
      <c r="L105" s="22"/>
    </row>
    <row r="106" spans="2:12" ht="18" customHeight="1">
      <c r="B106" s="330"/>
      <c r="C106" s="331"/>
      <c r="D106" s="331"/>
      <c r="E106" s="257"/>
      <c r="F106" s="257"/>
      <c r="G106" s="257"/>
      <c r="H106" s="257"/>
      <c r="I106" s="257"/>
      <c r="J106" s="258"/>
      <c r="K106" s="14"/>
      <c r="L106" s="22"/>
    </row>
    <row r="107" spans="2:12" ht="18" customHeight="1">
      <c r="B107" s="39"/>
      <c r="C107" s="1"/>
      <c r="D107" s="3"/>
      <c r="E107" s="3"/>
      <c r="F107" s="87"/>
      <c r="G107" s="87"/>
      <c r="H107" s="87"/>
      <c r="I107" s="13"/>
      <c r="J107" s="13"/>
      <c r="K107" s="14"/>
      <c r="L107" s="22"/>
    </row>
    <row r="108" spans="2:11" s="3" customFormat="1" ht="18" customHeight="1">
      <c r="B108" s="252" t="s">
        <v>30</v>
      </c>
      <c r="C108" s="253"/>
      <c r="D108" s="253"/>
      <c r="E108" s="253"/>
      <c r="F108" s="253"/>
      <c r="G108" s="253"/>
      <c r="H108" s="253"/>
      <c r="I108" s="253"/>
      <c r="J108" s="254"/>
      <c r="K108" s="72"/>
    </row>
    <row r="109" spans="2:14" s="3" customFormat="1" ht="36" customHeight="1">
      <c r="B109" s="325" t="s">
        <v>159</v>
      </c>
      <c r="C109" s="326"/>
      <c r="D109" s="326"/>
      <c r="E109" s="326"/>
      <c r="F109" s="326"/>
      <c r="G109" s="326"/>
      <c r="H109" s="326"/>
      <c r="I109" s="326"/>
      <c r="J109" s="327"/>
      <c r="K109" s="72"/>
      <c r="N109" s="88"/>
    </row>
    <row r="110" spans="2:11" s="3" customFormat="1" ht="54" customHeight="1">
      <c r="B110" s="316" t="s">
        <v>160</v>
      </c>
      <c r="C110" s="317"/>
      <c r="D110" s="317"/>
      <c r="E110" s="317"/>
      <c r="F110" s="317"/>
      <c r="G110" s="317"/>
      <c r="H110" s="317"/>
      <c r="I110" s="317"/>
      <c r="J110" s="318"/>
      <c r="K110" s="73"/>
    </row>
    <row r="111" spans="2:11" s="3" customFormat="1" ht="18" customHeight="1">
      <c r="B111" s="272" t="s">
        <v>91</v>
      </c>
      <c r="C111" s="273"/>
      <c r="D111" s="273"/>
      <c r="E111" s="273"/>
      <c r="F111" s="273"/>
      <c r="G111" s="273"/>
      <c r="H111" s="273"/>
      <c r="I111" s="273"/>
      <c r="J111" s="274"/>
      <c r="K111" s="72"/>
    </row>
    <row r="112" spans="2:11" s="3" customFormat="1" ht="18" customHeight="1">
      <c r="B112" s="272" t="s">
        <v>151</v>
      </c>
      <c r="C112" s="273"/>
      <c r="D112" s="273"/>
      <c r="E112" s="273"/>
      <c r="F112" s="273"/>
      <c r="G112" s="273"/>
      <c r="H112" s="273"/>
      <c r="I112" s="273"/>
      <c r="J112" s="274"/>
      <c r="K112" s="72"/>
    </row>
    <row r="113" spans="2:11" s="3" customFormat="1" ht="18" customHeight="1">
      <c r="B113" s="316" t="s">
        <v>149</v>
      </c>
      <c r="C113" s="317"/>
      <c r="D113" s="317"/>
      <c r="E113" s="317"/>
      <c r="F113" s="317"/>
      <c r="G113" s="317"/>
      <c r="H113" s="317"/>
      <c r="I113" s="317"/>
      <c r="J113" s="318"/>
      <c r="K113" s="72"/>
    </row>
    <row r="114" spans="2:11" s="3" customFormat="1" ht="18" customHeight="1">
      <c r="B114" s="319" t="s">
        <v>150</v>
      </c>
      <c r="C114" s="320"/>
      <c r="D114" s="320"/>
      <c r="E114" s="320"/>
      <c r="F114" s="320"/>
      <c r="G114" s="320"/>
      <c r="H114" s="320"/>
      <c r="I114" s="320"/>
      <c r="J114" s="321"/>
      <c r="K114" s="72"/>
    </row>
    <row r="115" spans="2:11" s="3" customFormat="1" ht="15">
      <c r="B115" s="4"/>
      <c r="C115" s="4"/>
      <c r="D115" s="4"/>
      <c r="E115" s="4"/>
      <c r="F115" s="4"/>
      <c r="G115" s="5"/>
      <c r="H115" s="4"/>
      <c r="I115" s="4"/>
      <c r="J115" s="4"/>
      <c r="K115" s="8"/>
    </row>
    <row r="116" spans="2:12" s="3" customFormat="1" ht="15">
      <c r="B116" s="59"/>
      <c r="C116" s="59"/>
      <c r="D116" s="59"/>
      <c r="E116" s="59"/>
      <c r="F116" s="59"/>
      <c r="G116" s="60"/>
      <c r="H116" s="59"/>
      <c r="I116" s="59"/>
      <c r="J116" s="59"/>
      <c r="K116" s="61"/>
      <c r="L116" s="59"/>
    </row>
    <row r="117" spans="2:12" s="3" customFormat="1" ht="15">
      <c r="B117" s="59"/>
      <c r="C117" s="59"/>
      <c r="D117" s="59"/>
      <c r="E117" s="59"/>
      <c r="F117" s="59"/>
      <c r="G117" s="60"/>
      <c r="H117" s="59"/>
      <c r="I117" s="59"/>
      <c r="J117" s="59"/>
      <c r="K117" s="61"/>
      <c r="L117" s="59"/>
    </row>
    <row r="118" spans="2:12" s="3" customFormat="1" ht="15">
      <c r="B118" s="59"/>
      <c r="C118" s="59"/>
      <c r="D118" s="59"/>
      <c r="E118" s="59"/>
      <c r="F118" s="59"/>
      <c r="G118" s="60"/>
      <c r="H118" s="59"/>
      <c r="I118" s="59"/>
      <c r="J118" s="59"/>
      <c r="K118" s="61"/>
      <c r="L118" s="59"/>
    </row>
    <row r="119" spans="2:12" s="3" customFormat="1" ht="15">
      <c r="B119" s="59"/>
      <c r="C119" s="59"/>
      <c r="D119" s="59"/>
      <c r="E119" s="59"/>
      <c r="F119" s="59"/>
      <c r="G119" s="60"/>
      <c r="H119" s="59"/>
      <c r="I119" s="59"/>
      <c r="J119" s="59"/>
      <c r="K119" s="61"/>
      <c r="L119" s="59"/>
    </row>
    <row r="120" spans="2:12" ht="18">
      <c r="B120" s="48"/>
      <c r="C120" s="48"/>
      <c r="D120" s="49"/>
      <c r="E120" s="49"/>
      <c r="F120" s="50"/>
      <c r="G120" s="50"/>
      <c r="H120" s="50"/>
      <c r="I120" s="59"/>
      <c r="J120" s="59"/>
      <c r="K120" s="61"/>
      <c r="L120" s="59"/>
    </row>
    <row r="121" spans="2:12" ht="18">
      <c r="B121" s="48"/>
      <c r="C121" s="51"/>
      <c r="D121" s="51"/>
      <c r="E121" s="52"/>
      <c r="F121" s="51"/>
      <c r="G121" s="53"/>
      <c r="H121" s="54"/>
      <c r="I121" s="59"/>
      <c r="J121" s="59"/>
      <c r="K121" s="61"/>
      <c r="L121" s="59"/>
    </row>
    <row r="122" spans="2:12" ht="18">
      <c r="B122" s="49"/>
      <c r="C122" s="49"/>
      <c r="D122" s="49"/>
      <c r="E122" s="49"/>
      <c r="F122" s="49"/>
      <c r="G122" s="49"/>
      <c r="H122" s="49"/>
      <c r="I122" s="59"/>
      <c r="J122" s="59"/>
      <c r="K122" s="61"/>
      <c r="L122" s="59"/>
    </row>
    <row r="123" spans="2:12" ht="18">
      <c r="B123" s="48"/>
      <c r="C123" s="49"/>
      <c r="D123" s="49"/>
      <c r="E123" s="49"/>
      <c r="F123" s="49"/>
      <c r="G123" s="49"/>
      <c r="H123" s="49"/>
      <c r="I123" s="59"/>
      <c r="J123" s="59"/>
      <c r="K123" s="61"/>
      <c r="L123" s="59"/>
    </row>
    <row r="124" spans="2:12" ht="18">
      <c r="B124" s="62"/>
      <c r="C124" s="63"/>
      <c r="D124" s="63"/>
      <c r="E124" s="55"/>
      <c r="F124" s="55"/>
      <c r="G124" s="55"/>
      <c r="H124" s="55"/>
      <c r="I124" s="59"/>
      <c r="J124" s="61"/>
      <c r="K124" s="61"/>
      <c r="L124" s="59"/>
    </row>
    <row r="125" spans="2:12" ht="18">
      <c r="B125" s="62"/>
      <c r="C125" s="63"/>
      <c r="D125" s="63"/>
      <c r="E125" s="55"/>
      <c r="F125" s="55"/>
      <c r="G125" s="55"/>
      <c r="H125" s="55"/>
      <c r="I125" s="59"/>
      <c r="J125" s="61"/>
      <c r="K125" s="61"/>
      <c r="L125" s="59"/>
    </row>
    <row r="126" spans="2:12" ht="18">
      <c r="B126" s="56"/>
      <c r="C126" s="57"/>
      <c r="D126" s="57"/>
      <c r="E126" s="56"/>
      <c r="F126" s="56"/>
      <c r="G126" s="56"/>
      <c r="H126" s="58"/>
      <c r="I126" s="59"/>
      <c r="J126" s="59"/>
      <c r="K126" s="61"/>
      <c r="L126" s="59"/>
    </row>
    <row r="127" spans="2:12" ht="18">
      <c r="B127" s="49"/>
      <c r="C127" s="49"/>
      <c r="D127" s="49"/>
      <c r="E127" s="49"/>
      <c r="F127" s="49"/>
      <c r="G127" s="49"/>
      <c r="H127" s="49"/>
      <c r="I127" s="59"/>
      <c r="J127" s="59"/>
      <c r="K127" s="61"/>
      <c r="L127" s="59"/>
    </row>
    <row r="128" spans="2:12" ht="18">
      <c r="B128" s="48"/>
      <c r="C128" s="49"/>
      <c r="D128" s="49"/>
      <c r="E128" s="49"/>
      <c r="F128" s="49"/>
      <c r="G128" s="49"/>
      <c r="H128" s="49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263"/>
      <c r="C131" s="263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8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8">
      <c r="B134" s="64"/>
      <c r="C134" s="65"/>
      <c r="D134" s="66"/>
      <c r="E134" s="67"/>
      <c r="F134" s="66"/>
      <c r="G134" s="68"/>
      <c r="H134" s="68"/>
      <c r="I134" s="59"/>
      <c r="J134" s="59"/>
      <c r="K134" s="61"/>
      <c r="L134" s="59"/>
    </row>
    <row r="135" spans="2:12" ht="18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8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8">
      <c r="B137" s="64"/>
      <c r="C137" s="65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64"/>
      <c r="C140" s="65"/>
      <c r="D140" s="66"/>
      <c r="E140" s="67"/>
      <c r="F140" s="66"/>
      <c r="G140" s="68"/>
      <c r="H140" s="68"/>
      <c r="I140" s="59"/>
      <c r="J140" s="59"/>
      <c r="K140" s="61"/>
      <c r="L140" s="59"/>
    </row>
    <row r="141" spans="2:12" ht="18">
      <c r="B141" s="64"/>
      <c r="C141" s="65"/>
      <c r="D141" s="66"/>
      <c r="E141" s="67"/>
      <c r="F141" s="66"/>
      <c r="G141" s="68"/>
      <c r="H141" s="68"/>
      <c r="I141" s="59"/>
      <c r="J141" s="59"/>
      <c r="K141" s="61"/>
      <c r="L141" s="59"/>
    </row>
    <row r="142" spans="2:12" ht="18">
      <c r="B142" s="56"/>
      <c r="C142" s="57"/>
      <c r="D142" s="57"/>
      <c r="E142" s="56"/>
      <c r="F142" s="56"/>
      <c r="G142" s="56"/>
      <c r="H142" s="58"/>
      <c r="I142" s="59"/>
      <c r="J142" s="59"/>
      <c r="K142" s="61"/>
      <c r="L142" s="59"/>
    </row>
    <row r="143" spans="2:12" ht="18">
      <c r="B143" s="49"/>
      <c r="C143" s="49"/>
      <c r="D143" s="49"/>
      <c r="E143" s="49"/>
      <c r="F143" s="49"/>
      <c r="G143" s="49"/>
      <c r="H143" s="49"/>
      <c r="I143" s="59"/>
      <c r="J143" s="59"/>
      <c r="K143" s="61"/>
      <c r="L143" s="59"/>
    </row>
    <row r="144" spans="2:12" ht="18">
      <c r="B144" s="56"/>
      <c r="C144" s="57"/>
      <c r="D144" s="57"/>
      <c r="E144" s="56"/>
      <c r="F144" s="56"/>
      <c r="G144" s="56"/>
      <c r="H144" s="58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69"/>
      <c r="C155" s="69"/>
      <c r="D155" s="69"/>
      <c r="E155" s="69"/>
      <c r="F155" s="6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61"/>
      <c r="D158" s="61"/>
      <c r="E158" s="61"/>
      <c r="F158" s="61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61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61"/>
      <c r="D165" s="61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60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61"/>
      <c r="C178" s="61"/>
      <c r="D178" s="61"/>
      <c r="E178" s="61"/>
      <c r="F178" s="61"/>
      <c r="G178" s="61"/>
      <c r="H178" s="61"/>
      <c r="I178" s="61"/>
      <c r="J178" s="59"/>
      <c r="K178" s="61"/>
      <c r="L178" s="59"/>
    </row>
    <row r="179" spans="2:12" s="3" customFormat="1" ht="15">
      <c r="B179" s="61"/>
      <c r="C179" s="61"/>
      <c r="D179" s="61"/>
      <c r="E179" s="61"/>
      <c r="F179" s="61"/>
      <c r="G179" s="70"/>
      <c r="H179" s="61"/>
      <c r="I179" s="61"/>
      <c r="J179" s="59"/>
      <c r="K179" s="61"/>
      <c r="L179" s="70"/>
    </row>
    <row r="180" spans="2:12" s="3" customFormat="1" ht="15">
      <c r="B180" s="61"/>
      <c r="C180" s="61"/>
      <c r="D180" s="61"/>
      <c r="E180" s="61"/>
      <c r="F180" s="61"/>
      <c r="G180" s="61"/>
      <c r="H180" s="61"/>
      <c r="I180" s="71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61"/>
      <c r="I189" s="61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61"/>
      <c r="I196" s="61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61"/>
      <c r="I197" s="61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61"/>
      <c r="I198" s="61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s="3" customFormat="1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s="3" customFormat="1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  <row r="322" spans="2:12" ht="15">
      <c r="B322" s="59"/>
      <c r="C322" s="59"/>
      <c r="D322" s="59"/>
      <c r="E322" s="59"/>
      <c r="F322" s="59"/>
      <c r="G322" s="60"/>
      <c r="H322" s="59"/>
      <c r="I322" s="59"/>
      <c r="J322" s="59"/>
      <c r="K322" s="61"/>
      <c r="L322" s="59"/>
    </row>
    <row r="323" spans="2:12" ht="15">
      <c r="B323" s="59"/>
      <c r="C323" s="59"/>
      <c r="D323" s="59"/>
      <c r="E323" s="59"/>
      <c r="F323" s="59"/>
      <c r="G323" s="60"/>
      <c r="H323" s="59"/>
      <c r="I323" s="59"/>
      <c r="J323" s="59"/>
      <c r="K323" s="61"/>
      <c r="L323" s="59"/>
    </row>
  </sheetData>
  <sheetProtection/>
  <mergeCells count="117">
    <mergeCell ref="B113:J113"/>
    <mergeCell ref="B114:J114"/>
    <mergeCell ref="B33:D33"/>
    <mergeCell ref="B31:I31"/>
    <mergeCell ref="B40:D40"/>
    <mergeCell ref="B111:J111"/>
    <mergeCell ref="B110:J110"/>
    <mergeCell ref="B109:J109"/>
    <mergeCell ref="B105:D106"/>
    <mergeCell ref="E86:F86"/>
    <mergeCell ref="E25:F25"/>
    <mergeCell ref="E26:F26"/>
    <mergeCell ref="E27:F27"/>
    <mergeCell ref="E33:F33"/>
    <mergeCell ref="E35:F35"/>
    <mergeCell ref="B43:D43"/>
    <mergeCell ref="E43:F43"/>
    <mergeCell ref="B41:I41"/>
    <mergeCell ref="E40:F40"/>
    <mergeCell ref="B30:D30"/>
    <mergeCell ref="E29:F29"/>
    <mergeCell ref="E30:F30"/>
    <mergeCell ref="B29:D29"/>
    <mergeCell ref="B34:D34"/>
    <mergeCell ref="E34:F34"/>
    <mergeCell ref="B39:D39"/>
    <mergeCell ref="E36:F36"/>
    <mergeCell ref="E37:F37"/>
    <mergeCell ref="E38:F38"/>
    <mergeCell ref="E39:F39"/>
    <mergeCell ref="E28:F28"/>
    <mergeCell ref="D6:J6"/>
    <mergeCell ref="E20:F20"/>
    <mergeCell ref="B14:D14"/>
    <mergeCell ref="E21:F21"/>
    <mergeCell ref="B23:D23"/>
    <mergeCell ref="B28:D28"/>
    <mergeCell ref="B26:D26"/>
    <mergeCell ref="E22:F22"/>
    <mergeCell ref="E23:F23"/>
    <mergeCell ref="E24:F24"/>
    <mergeCell ref="B2:J2"/>
    <mergeCell ref="B12:E12"/>
    <mergeCell ref="G12:J12"/>
    <mergeCell ref="D4:H4"/>
    <mergeCell ref="B21:D21"/>
    <mergeCell ref="B22:D22"/>
    <mergeCell ref="D3:H3"/>
    <mergeCell ref="L84:O84"/>
    <mergeCell ref="E64:F64"/>
    <mergeCell ref="E65:F65"/>
    <mergeCell ref="E66:F66"/>
    <mergeCell ref="E56:F56"/>
    <mergeCell ref="E57:F57"/>
    <mergeCell ref="E58:F58"/>
    <mergeCell ref="E61:F61"/>
    <mergeCell ref="E72:F72"/>
    <mergeCell ref="E67:F67"/>
    <mergeCell ref="G98:H98"/>
    <mergeCell ref="B86:D86"/>
    <mergeCell ref="B85:D85"/>
    <mergeCell ref="B88:I88"/>
    <mergeCell ref="E87:F87"/>
    <mergeCell ref="B97:D97"/>
    <mergeCell ref="E95:J95"/>
    <mergeCell ref="E97:F97"/>
    <mergeCell ref="B95:D96"/>
    <mergeCell ref="B112:J112"/>
    <mergeCell ref="B93:J93"/>
    <mergeCell ref="I97:J97"/>
    <mergeCell ref="B94:J94"/>
    <mergeCell ref="B98:D98"/>
    <mergeCell ref="I98:J98"/>
    <mergeCell ref="E99:F99"/>
    <mergeCell ref="I96:J96"/>
    <mergeCell ref="I99:J99"/>
    <mergeCell ref="G99:H99"/>
    <mergeCell ref="E45:F45"/>
    <mergeCell ref="E46:F46"/>
    <mergeCell ref="E47:F47"/>
    <mergeCell ref="E48:F48"/>
    <mergeCell ref="E71:F71"/>
    <mergeCell ref="B131:C131"/>
    <mergeCell ref="B84:D84"/>
    <mergeCell ref="B99:D99"/>
    <mergeCell ref="E96:F96"/>
    <mergeCell ref="E105:F106"/>
    <mergeCell ref="E50:F50"/>
    <mergeCell ref="E51:F51"/>
    <mergeCell ref="E52:F52"/>
    <mergeCell ref="B108:J108"/>
    <mergeCell ref="E74:F74"/>
    <mergeCell ref="I105:J106"/>
    <mergeCell ref="G105:H106"/>
    <mergeCell ref="B83:D83"/>
    <mergeCell ref="E53:F53"/>
    <mergeCell ref="B87:D87"/>
    <mergeCell ref="B76:I76"/>
    <mergeCell ref="E83:F83"/>
    <mergeCell ref="E85:F85"/>
    <mergeCell ref="B103:D104"/>
    <mergeCell ref="B78:I78"/>
    <mergeCell ref="E80:F80"/>
    <mergeCell ref="E98:F98"/>
    <mergeCell ref="B101:J102"/>
    <mergeCell ref="G97:H97"/>
    <mergeCell ref="B90:I91"/>
    <mergeCell ref="E73:F73"/>
    <mergeCell ref="E84:F84"/>
    <mergeCell ref="E103:F104"/>
    <mergeCell ref="J90:J91"/>
    <mergeCell ref="E68:F68"/>
    <mergeCell ref="E69:F69"/>
    <mergeCell ref="I103:J104"/>
    <mergeCell ref="G96:H96"/>
    <mergeCell ref="E75:F75"/>
    <mergeCell ref="G103:H10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74</v>
      </c>
      <c r="C1" s="43">
        <v>55000</v>
      </c>
    </row>
    <row r="2" spans="2:3" ht="15">
      <c r="B2" s="40" t="s">
        <v>75</v>
      </c>
      <c r="C2" s="137">
        <f>((rendimiento-$C$1)/$C$1)+1</f>
        <v>1</v>
      </c>
    </row>
    <row r="3" ht="18">
      <c r="B3" s="11"/>
    </row>
    <row r="4" spans="2:12" ht="18">
      <c r="B4" s="332" t="s">
        <v>33</v>
      </c>
      <c r="C4" s="332"/>
      <c r="E4" s="3" t="s">
        <v>85</v>
      </c>
      <c r="K4" s="139"/>
      <c r="L4" s="8"/>
    </row>
    <row r="5" spans="1:5" ht="18">
      <c r="A5" s="140" t="s">
        <v>76</v>
      </c>
      <c r="B5" s="141" t="s">
        <v>118</v>
      </c>
      <c r="C5" s="142"/>
      <c r="D5" s="142"/>
      <c r="E5" s="143">
        <v>55000</v>
      </c>
    </row>
    <row r="6" spans="1:5" ht="18">
      <c r="A6" s="140" t="s">
        <v>76</v>
      </c>
      <c r="B6" s="141" t="s">
        <v>80</v>
      </c>
      <c r="C6" s="144"/>
      <c r="D6" s="144"/>
      <c r="E6" s="143"/>
    </row>
    <row r="7" spans="1:5" ht="18">
      <c r="A7" s="140" t="s">
        <v>76</v>
      </c>
      <c r="B7" s="141" t="s">
        <v>81</v>
      </c>
      <c r="C7" s="144"/>
      <c r="D7" s="144"/>
      <c r="E7" s="143"/>
    </row>
    <row r="8" spans="1:5" ht="18">
      <c r="A8" s="145" t="s">
        <v>77</v>
      </c>
      <c r="B8" s="146" t="s">
        <v>105</v>
      </c>
      <c r="C8" s="149"/>
      <c r="D8" s="149"/>
      <c r="E8" s="148">
        <v>55000</v>
      </c>
    </row>
    <row r="9" spans="1:5" ht="18">
      <c r="A9" s="145" t="s">
        <v>77</v>
      </c>
      <c r="B9" s="146" t="s">
        <v>127</v>
      </c>
      <c r="C9" s="149"/>
      <c r="D9" s="149"/>
      <c r="E9" s="148">
        <v>55000</v>
      </c>
    </row>
    <row r="10" spans="1:5" ht="18">
      <c r="A10" s="145" t="s">
        <v>77</v>
      </c>
      <c r="B10" s="146" t="s">
        <v>82</v>
      </c>
      <c r="C10" s="147"/>
      <c r="D10" s="147"/>
      <c r="E10" s="148"/>
    </row>
    <row r="11" spans="1:5" ht="18">
      <c r="A11" s="140" t="s">
        <v>78</v>
      </c>
      <c r="B11" s="141" t="s">
        <v>79</v>
      </c>
      <c r="C11" s="142"/>
      <c r="D11" s="142"/>
      <c r="E11" s="143"/>
    </row>
    <row r="12" spans="1:5" ht="18">
      <c r="A12" s="140" t="s">
        <v>78</v>
      </c>
      <c r="B12" s="141" t="s">
        <v>83</v>
      </c>
      <c r="C12" s="142"/>
      <c r="D12" s="142"/>
      <c r="E12" s="143"/>
    </row>
    <row r="13" spans="1:5" ht="18">
      <c r="A13" s="140" t="s">
        <v>78</v>
      </c>
      <c r="B13" s="141" t="s">
        <v>84</v>
      </c>
      <c r="C13" s="150"/>
      <c r="D13" s="150"/>
      <c r="E13" s="143"/>
    </row>
    <row r="18" spans="2:4" ht="15">
      <c r="B18" s="333" t="s">
        <v>29</v>
      </c>
      <c r="C18" s="333"/>
      <c r="D18" s="333"/>
    </row>
    <row r="20" spans="2:4" ht="18">
      <c r="B20" s="42" t="s">
        <v>31</v>
      </c>
      <c r="C20" s="41">
        <f>manzano!B97</f>
        <v>49500</v>
      </c>
      <c r="D20" s="41">
        <f>manzano!B99</f>
        <v>60500.00000000001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SUM(manzano!J22:J30)-_xlfn.IFERROR(INDEX(manzano!$J$22:$J$30,MATCH(B5,manzano!$B$22:$B$30,0)),"0")-_xlfn.IFERROR(INDEX(manzano!$J$22:$J$30,MATCH(B6,manzano!$B$22:$B$30,0)),"0")-_xlfn.IFERROR(INDEX(manzano!$J$22:$J$30,MATCH(B7,manzano!$B$22:$B$30,0)),"0")</f>
        <v>2275100</v>
      </c>
      <c r="D25" s="8">
        <f>SUM(manzano!J22:J30)-_xlfn.IFERROR(INDEX(manzano!$J$22:$J$30,MATCH(B5,manzano!$B$22:$B$30,0)),"0")-_xlfn.IFERROR(INDEX(manzano!$J$22:$J$30,MATCH(B6,manzano!$B$22:$B$30,0)),"0")-_xlfn.IFERROR(INDEX(manzano!$J$22:$J$30,MATCH(B7,manzano!$B$22:$B$30,0)),"0")</f>
        <v>2275100</v>
      </c>
      <c r="E25" s="8"/>
    </row>
    <row r="26" spans="2:4" ht="18">
      <c r="B26" s="44" t="s">
        <v>36</v>
      </c>
      <c r="C26" s="138">
        <f>C22*(_xlfn.IFERROR(INDEX(manzano!$J$22:$J$30,MATCH(B5,manzano!$B$22:$B$30,0)),"0")+_xlfn.IFERROR(INDEX(manzano!$J$22:$J$30,MATCH(B6,manzano!$B$22:$B$30,0)),"0")+_xlfn.IFERROR(INDEX(manzano!$J$22:$J$30,MATCH(B7,manzano!$B$22:$B$30,0)),"0"))</f>
        <v>693000</v>
      </c>
      <c r="D26" s="138">
        <f>D22*(_xlfn.IFERROR(INDEX(manzano!$J$22:$J$30,MATCH(B5,manzano!$B$22:$B$30,0)),"0")+_xlfn.IFERROR(INDEX(manzano!$J$22:$J$30,MATCH(B6,manzano!$B$22:$B$30,0)),"0")+_xlfn.IFERROR(INDEX(manzano!$J$22:$J$30,MATCH(B7,manzano!$B$22:$B$30,0)),"0"))</f>
        <v>847000.0000000001</v>
      </c>
    </row>
    <row r="27" spans="2:4" ht="18">
      <c r="B27" s="15" t="s">
        <v>37</v>
      </c>
      <c r="C27" s="8">
        <f>SUM(C25:C26)</f>
        <v>2968100</v>
      </c>
      <c r="D27" s="8">
        <f>SUM(D25:D26)</f>
        <v>3122100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SUM(manzano!J34:J40)-_xlfn.IFERROR(INDEX(manzano!$J$34:$J$40,MATCH(B8,manzano!$B$34:$B$40,0)),"0")-_xlfn.IFERROR(INDEX(manzano!$J$34:$J$40,MATCH(B9,manzano!$B$34:$B$40,0)),"0")-_xlfn.IFERROR(INDEX(manzano!$J$34:$J$40,MATCH(B10,manzano!$B$34:$B$40,0)),"0")</f>
        <v>470000</v>
      </c>
      <c r="D30" s="8">
        <f>SUM(manzano!J34:J40)-_xlfn.IFERROR(INDEX(manzano!$J$34:$J$40,MATCH(B8,manzano!$B$34:$B$40,0)),"0")-_xlfn.IFERROR(INDEX(manzano!$J$34:$J$40,MATCH(B9,manzano!$B$34:$B$40,0)),"0")-_xlfn.IFERROR(INDEX(manzano!$J$34:$J$40,MATCH(B10,manzano!$B$34:$B$40,0)),"0")</f>
        <v>470000</v>
      </c>
    </row>
    <row r="31" spans="2:4" ht="18">
      <c r="B31" s="44" t="s">
        <v>36</v>
      </c>
      <c r="C31" s="138">
        <f>C22*(_xlfn.IFERROR(INDEX(manzano!$J$34:$J$40,MATCH(B8,manzano!$B$34:$B$40,0)),"0")+_xlfn.IFERROR(INDEX(manzano!$J$34:$J$40,MATCH(B9,manzano!$B$34:$B$40,0)),"0")+_xlfn.IFERROR(INDEX(manzano!$J$34:$J$40,MATCH(B10,manzano!$B$34:$B$40,0)),"0"))</f>
        <v>544500</v>
      </c>
      <c r="D31" s="138">
        <f>D22*(_xlfn.IFERROR(INDEX(manzano!$J$34:$J$40,MATCH(B8,manzano!$B$34:$B$40,0)),"0")+_xlfn.IFERROR(INDEX(manzano!$J$34:$J$40,MATCH(B9,manzano!$B$34:$B$40,0)),"0")+_xlfn.IFERROR(INDEX(manzano!$J$34:$J$40,MATCH(B10,manzano!$B$34:$B$40,0)),"0"))</f>
        <v>665500</v>
      </c>
    </row>
    <row r="32" spans="2:4" ht="18">
      <c r="B32" s="15" t="s">
        <v>37</v>
      </c>
      <c r="C32" s="8">
        <f>SUM(C30:C31)</f>
        <v>1014500</v>
      </c>
      <c r="D32" s="8">
        <f>SUM(D30:D31)</f>
        <v>1135500</v>
      </c>
    </row>
    <row r="34" ht="18">
      <c r="B34" s="42" t="s">
        <v>38</v>
      </c>
    </row>
    <row r="35" spans="2:4" ht="18">
      <c r="B35" s="15" t="s">
        <v>35</v>
      </c>
      <c r="C35" s="8">
        <f>SUM(manzano!J44:J75)-_xlfn.IFERROR(INDEX(manzano!$J$44:$J$75,MATCH(B11,manzano!$B$44:$B$75,0)),"0")-_xlfn.IFERROR(INDEX(manzano!$J$44:$J$75,MATCH(B12,manzano!$B$44:$B$75,0)),"0")-_xlfn.IFERROR(INDEX(manzano!$J$44:$J$75,MATCH(B13,manzano!$B$44:$B$75,0)),"0")</f>
        <v>1204207</v>
      </c>
      <c r="D35" s="8">
        <f>SUM(manzano!J44:J75)-_xlfn.IFERROR(INDEX(manzano!$J$44:$J$75,MATCH(B11,manzano!$B$44:$B$75,0)),"0")-_xlfn.IFERROR(INDEX(manzano!$J$44:$J$75,MATCH(B12,manzano!$B$44:$B$75,0)),"0")-_xlfn.IFERROR(INDEX(manzano!$J$44:$J$75,MATCH(B13,manzano!$B$44:$B$75,0)),"0")</f>
        <v>1204207</v>
      </c>
    </row>
    <row r="36" spans="2:4" ht="18">
      <c r="B36" s="44" t="s">
        <v>36</v>
      </c>
      <c r="C36" s="138">
        <f>C22*(_xlfn.IFERROR(INDEX(manzano!$J$44:$J$75,MATCH(B11,manzano!$B$44:$B$75,0)),"0")+_xlfn.IFERROR(INDEX(manzano!$J$44:$J$75,MATCH(B12,manzano!$B$44:$B$75,0)),"0")+_xlfn.IFERROR(INDEX(manzano!$J$44:$J$75,MATCH(B13,manzano!$B$44:$B$75,0)),"0"))</f>
        <v>0</v>
      </c>
      <c r="D36" s="138">
        <f>D22*(_xlfn.IFERROR(INDEX(manzano!$J$44:$J$75,MATCH(B11,manzano!$B$44:$B$75,0)),"0")+_xlfn.IFERROR(INDEX(manzano!$J$44:$J$75,MATCH(B12,manzano!$B$44:$B$75,0)),"0")+_xlfn.IFERROR(INDEX(manzano!$J$44:$J$75,MATCH(B13,manzano!$B$44:$B$75,0)),"0"))</f>
        <v>0</v>
      </c>
    </row>
    <row r="37" spans="2:4" ht="18">
      <c r="B37" s="15" t="s">
        <v>37</v>
      </c>
      <c r="C37" s="8">
        <f>SUM(C35:C36)</f>
        <v>1204207</v>
      </c>
      <c r="D37" s="8">
        <f>SUM(D35:D36)</f>
        <v>1204207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5186807</v>
      </c>
      <c r="D39" s="47">
        <f>D27+D32+D37</f>
        <v>5461807</v>
      </c>
    </row>
    <row r="40" ht="15">
      <c r="B40" s="22"/>
    </row>
    <row r="41" spans="2:4" ht="18">
      <c r="B41" s="45" t="s">
        <v>0</v>
      </c>
      <c r="C41" s="8">
        <f>C39*manzano!$G$80</f>
        <v>259340.35</v>
      </c>
      <c r="D41" s="8">
        <f>D39*manzano!$G$80</f>
        <v>273090.35000000003</v>
      </c>
    </row>
    <row r="42" spans="2:4" ht="18">
      <c r="B42" s="45" t="s">
        <v>25</v>
      </c>
      <c r="C42" s="8">
        <f>C39*tasa_interes_mensual*meses_financiamiento*0.5</f>
        <v>466812.63</v>
      </c>
      <c r="D42" s="8">
        <f>D39*tasa_interes_mensual*meses_financiamiento*0.5</f>
        <v>491562.63</v>
      </c>
    </row>
    <row r="43" ht="15">
      <c r="B43" s="22"/>
    </row>
    <row r="44" spans="2:4" ht="18">
      <c r="B44" s="46" t="s">
        <v>28</v>
      </c>
      <c r="C44" s="47">
        <f>C39+C41+C42</f>
        <v>5912959.9799999995</v>
      </c>
      <c r="D44" s="47">
        <f>D39+D41+D42</f>
        <v>6226459.9799999995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2017-04-21T14:56:48Z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