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85" windowWidth="18810" windowHeight="7140" activeTab="0"/>
  </bookViews>
  <sheets>
    <sheet name="Ajo" sheetId="1" r:id="rId1"/>
    <sheet name="Hoja1" sheetId="2" r:id="rId2"/>
  </sheets>
  <definedNames>
    <definedName name="_xlnm.Print_Area" localSheetId="0">'Ajo'!$A$1:$K$113</definedName>
  </definedNames>
  <calcPr fullCalcOnLoad="1"/>
</workbook>
</file>

<file path=xl/sharedStrings.xml><?xml version="1.0" encoding="utf-8"?>
<sst xmlns="http://schemas.openxmlformats.org/spreadsheetml/2006/main" count="200" uniqueCount="139">
  <si>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</si>
  <si>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</si>
  <si>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</si>
  <si>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</si>
  <si>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</si>
  <si>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</si>
  <si>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</si>
  <si>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</si>
  <si>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</si>
  <si>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</si>
  <si>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</si>
  <si>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</si>
  <si>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</si>
  <si>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</si>
  <si>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</si>
  <si>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</si>
  <si>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</si>
  <si>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</si>
  <si>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</si>
  <si>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</si>
  <si>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</si>
  <si>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</si>
  <si>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</si>
  <si>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</si>
  <si>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</si>
  <si>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</si>
  <si>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</si>
  <si>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</si>
  <si>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</si>
  <si>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</si>
  <si>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</si>
  <si>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</si>
  <si>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</si>
  <si>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</si>
  <si>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</si>
  <si>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</si>
  <si>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</si>
  <si>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</si>
  <si>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</si>
  <si>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</si>
  <si>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</si>
  <si>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Kg</t>
  </si>
  <si>
    <t>ha</t>
  </si>
  <si>
    <t>Análisis</t>
  </si>
  <si>
    <t>Rastraje</t>
  </si>
  <si>
    <t>Destino de producción: consumo fresco</t>
  </si>
  <si>
    <t>Tecnología de riego: riego por surco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</si>
  <si>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</si>
  <si>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</si>
  <si>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</si>
  <si>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</si>
  <si>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</si>
  <si>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</si>
  <si>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</si>
  <si>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</si>
  <si>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</si>
  <si>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Plantación</t>
  </si>
  <si>
    <t>Riegos</t>
  </si>
  <si>
    <t xml:space="preserve">Aradura </t>
  </si>
  <si>
    <t>Acequiadura</t>
  </si>
  <si>
    <t>Acarreo de insumos</t>
  </si>
  <si>
    <t>Mezcla hortalicera</t>
  </si>
  <si>
    <t>Fosfimax 40 - 20</t>
  </si>
  <si>
    <t>Terrasorb foliar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</si>
  <si>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</si>
  <si>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y tipos de fertilizantes recomendados son sólo referenciales, deben definirse según un análisis específico del terreno.</t>
  </si>
  <si>
    <t xml:space="preserve"> (5) el costo financiero equivalente a una tasa de interés mensual simple de 1,5% por sobre el total de los costos directos por el total de meses de duración del cultivo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</si>
  <si>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</si>
  <si>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</si>
  <si>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Precio($/Un)</t>
  </si>
  <si>
    <t>Región O'Higgins</t>
  </si>
  <si>
    <t>Agosto-enero</t>
  </si>
  <si>
    <t>Diciembre-enero</t>
  </si>
  <si>
    <t>1 hectárea marzo 2015</t>
  </si>
  <si>
    <t>Ajo</t>
  </si>
  <si>
    <t>Variedad: Chino</t>
  </si>
  <si>
    <t>Seleccionar semillas</t>
  </si>
  <si>
    <t>Enero-febrero</t>
  </si>
  <si>
    <t>Marzo</t>
  </si>
  <si>
    <t>Abril-diciembre</t>
  </si>
  <si>
    <t>Febrero-marzo</t>
  </si>
  <si>
    <t>Aplicación de fertilizantes</t>
  </si>
  <si>
    <t>Febrero-agosto</t>
  </si>
  <si>
    <t>Semilla</t>
  </si>
  <si>
    <t>Fertilizar con trompo</t>
  </si>
  <si>
    <t>Rotofresa y melgadura</t>
  </si>
  <si>
    <t>Pulverizaciones</t>
  </si>
  <si>
    <t>Febrero</t>
  </si>
  <si>
    <t>Febrero--octubre</t>
  </si>
  <si>
    <t>Noviembre-diciembre</t>
  </si>
  <si>
    <t>Febrero-diciembre</t>
  </si>
  <si>
    <t>Urea granulada</t>
  </si>
  <si>
    <t>Mayo-agosto</t>
  </si>
  <si>
    <t>Junio-octubre</t>
  </si>
  <si>
    <t>Mayo-septiembre</t>
  </si>
  <si>
    <t>Polyben 50 WP</t>
  </si>
  <si>
    <t>Abril-noviembre</t>
  </si>
  <si>
    <t xml:space="preserve"> (2) Cosecha.</t>
  </si>
  <si>
    <t>Mayo-octubre</t>
  </si>
  <si>
    <t>Rendimiento (Kg/ha):</t>
  </si>
  <si>
    <t>Margen neto ($/Kg)</t>
  </si>
  <si>
    <t>Rendimiento (Kg/ha)</t>
  </si>
  <si>
    <t>Precio ($/Kg)</t>
  </si>
  <si>
    <t>Costo Unitario ($/Kg)</t>
  </si>
  <si>
    <t>Junio-noviembre</t>
  </si>
  <si>
    <t>Frutaliv</t>
  </si>
  <si>
    <t>Abril-octubre</t>
  </si>
  <si>
    <t>Adherente Break</t>
  </si>
  <si>
    <t>Plantación: Marzo-mayo</t>
  </si>
  <si>
    <t>Muriato de potasio</t>
  </si>
  <si>
    <t>Manzate 200</t>
  </si>
  <si>
    <t>Metomil 90% PS</t>
  </si>
  <si>
    <t>Cosecha: Noviembre</t>
  </si>
  <si>
    <t>Herbicidas:</t>
  </si>
  <si>
    <t>Goal 2 EC</t>
  </si>
  <si>
    <t>Marzo-mayo</t>
  </si>
  <si>
    <t>Raft 400 SC</t>
  </si>
  <si>
    <t>Mayo-julio</t>
  </si>
  <si>
    <t>Densidad (Plantas/ha): 350.000</t>
  </si>
  <si>
    <t>Cosecha: del predio a bódega (coloso-tractor)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</si>
  <si>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</si>
  <si>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>Fertilizantes</t>
    </r>
    <r>
      <rPr>
        <b/>
        <vertAlign val="superscript"/>
        <sz val="14"/>
        <rFont val="Arial"/>
        <family val="2"/>
      </rPr>
      <t xml:space="preserve"> (4)</t>
    </r>
    <r>
      <rPr>
        <b/>
        <sz val="14"/>
        <rFont val="Arial"/>
        <family val="2"/>
      </rPr>
      <t>:</t>
    </r>
  </si>
  <si>
    <t>Fungicidas:</t>
  </si>
  <si>
    <t>Insecticidas:</t>
  </si>
  <si>
    <t>Otros:</t>
  </si>
  <si>
    <r>
      <t>Precio de venta mercado interno ($/Kg):</t>
    </r>
    <r>
      <rPr>
        <b/>
        <vertAlign val="superscript"/>
        <sz val="14"/>
        <rFont val="Arial"/>
        <family val="2"/>
      </rPr>
      <t xml:space="preserve"> (1)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</si>
  <si>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</si>
  <si>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</si>
  <si>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</si>
  <si>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Arranque, arrodelado y acarreo a bódega </t>
    </r>
    <r>
      <rPr>
        <vertAlign val="superscript"/>
        <sz val="14"/>
        <rFont val="Arial"/>
        <family val="2"/>
      </rPr>
      <t>(2)</t>
    </r>
  </si>
  <si>
    <t>Nitrato de potasio</t>
  </si>
  <si>
    <t>Hache Uno 2000 175 EC</t>
  </si>
  <si>
    <t>Neres 50 % SP</t>
  </si>
  <si>
    <t>Karate con tecnología zeon</t>
  </si>
  <si>
    <t>Induce pH</t>
  </si>
  <si>
    <t>Análisis de suelo</t>
  </si>
  <si>
    <t>Arranque, arrodelado y acarreo a bódega (2)</t>
  </si>
  <si>
    <t xml:space="preserve"> (1) El precio del ajo utilizado en el análisis de sensibilidad, corresponde al promedio de la región durante el periodo de cosecha en el predio en la temporada 2014/15, precio al productor.</t>
  </si>
  <si>
    <t>Apache Plus 535 SC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</si>
</sst>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10" applyNumberFormat="0" applyFill="0" applyAlignment="0" applyProtection="0"/>
  </cellStyleXfs>
  <cellXfs count="30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8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8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0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61" fillId="0" borderId="0" xfId="56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56" applyFont="1" applyFill="1" applyBorder="1" applyAlignment="1" applyProtection="1">
      <alignment horizontal="center"/>
      <protection/>
    </xf>
    <xf numFmtId="4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181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62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 horizont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62" fillId="0" borderId="0" xfId="56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180" fontId="62" fillId="0" borderId="0" xfId="67" applyFont="1" applyFill="1" applyBorder="1" applyAlignment="1" applyProtection="1">
      <alignment horizontal="right"/>
      <protection/>
    </xf>
    <xf numFmtId="3" fontId="62" fillId="0" borderId="0" xfId="56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181" fontId="10" fillId="34" borderId="12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8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9" fillId="34" borderId="15" xfId="0" applyFont="1" applyFill="1" applyBorder="1" applyAlignment="1">
      <alignment/>
    </xf>
    <xf numFmtId="180" fontId="10" fillId="34" borderId="0" xfId="67" applyFont="1" applyFill="1" applyBorder="1" applyAlignment="1" applyProtection="1">
      <alignment/>
      <protection/>
    </xf>
    <xf numFmtId="0" fontId="58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7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181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62" fillId="23" borderId="19" xfId="56" applyNumberFormat="1" applyFont="1" applyFill="1" applyBorder="1" applyAlignment="1" applyProtection="1">
      <alignment horizontal="center" vertical="center" wrapText="1"/>
      <protection/>
    </xf>
    <xf numFmtId="0" fontId="62" fillId="23" borderId="19" xfId="56" applyFont="1" applyFill="1" applyBorder="1" applyAlignment="1" applyProtection="1">
      <alignment horizontal="center" vertical="center" wrapText="1"/>
      <protection/>
    </xf>
    <xf numFmtId="3" fontId="62" fillId="23" borderId="19" xfId="56" applyNumberFormat="1" applyFont="1" applyFill="1" applyBorder="1" applyAlignment="1" applyProtection="1">
      <alignment horizontal="center" vertical="center" wrapText="1"/>
      <protection/>
    </xf>
    <xf numFmtId="3" fontId="62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>
      <alignment/>
    </xf>
    <xf numFmtId="2" fontId="59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6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180" fontId="63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181" fontId="10" fillId="34" borderId="22" xfId="56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/>
      <protection/>
    </xf>
    <xf numFmtId="3" fontId="12" fillId="0" borderId="0" xfId="53" applyNumberFormat="1" applyFont="1" applyFill="1" applyBorder="1" applyAlignment="1">
      <alignment horizontal="left" vertical="center" wrapText="1"/>
      <protection/>
    </xf>
    <xf numFmtId="3" fontId="12" fillId="0" borderId="11" xfId="53" applyNumberFormat="1" applyFont="1" applyFill="1" applyBorder="1" applyAlignment="1">
      <alignment horizontal="left" vertical="center" wrapText="1"/>
      <protection/>
    </xf>
    <xf numFmtId="3" fontId="12" fillId="34" borderId="20" xfId="53" applyNumberFormat="1" applyFont="1" applyFill="1" applyBorder="1" applyAlignment="1">
      <alignment horizontal="left" vertical="center"/>
      <protection/>
    </xf>
    <xf numFmtId="3" fontId="12" fillId="34" borderId="0" xfId="53" applyNumberFormat="1" applyFont="1" applyFill="1" applyBorder="1" applyAlignment="1">
      <alignment horizontal="left" vertical="center" wrapText="1"/>
      <protection/>
    </xf>
    <xf numFmtId="3" fontId="12" fillId="34" borderId="11" xfId="53" applyNumberFormat="1" applyFont="1" applyFill="1" applyBorder="1" applyAlignment="1">
      <alignment horizontal="left" vertical="center" wrapText="1"/>
      <protection/>
    </xf>
    <xf numFmtId="3" fontId="12" fillId="0" borderId="20" xfId="53" applyNumberFormat="1" applyFont="1" applyFill="1" applyBorder="1" applyAlignment="1">
      <alignment horizontal="left" vertical="center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181" fontId="10" fillId="34" borderId="15" xfId="67" applyNumberFormat="1" applyFont="1" applyFill="1" applyBorder="1" applyAlignment="1">
      <alignment/>
      <protection/>
    </xf>
    <xf numFmtId="0" fontId="58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3" fillId="34" borderId="12" xfId="67" applyNumberFormat="1" applyFont="1" applyFill="1" applyBorder="1" applyAlignment="1">
      <alignment/>
      <protection/>
    </xf>
    <xf numFmtId="180" fontId="10" fillId="34" borderId="2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63" fillId="34" borderId="11" xfId="67" applyFont="1" applyFill="1" applyBorder="1" applyAlignment="1" applyProtection="1">
      <alignment/>
      <protection/>
    </xf>
    <xf numFmtId="180" fontId="10" fillId="34" borderId="24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3" fillId="34" borderId="17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0" fontId="8" fillId="34" borderId="20" xfId="55" applyFont="1" applyFill="1" applyBorder="1" applyAlignment="1">
      <alignment horizontal="left"/>
      <protection/>
    </xf>
    <xf numFmtId="0" fontId="10" fillId="34" borderId="0" xfId="55" applyFont="1" applyFill="1" applyBorder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10" fontId="8" fillId="34" borderId="11" xfId="69" applyNumberFormat="1" applyFont="1" applyFill="1" applyBorder="1" applyAlignment="1">
      <alignment horizontal="right"/>
    </xf>
    <xf numFmtId="9" fontId="8" fillId="34" borderId="11" xfId="69" applyFont="1" applyFill="1" applyBorder="1" applyAlignment="1">
      <alignment horizontal="right"/>
    </xf>
    <xf numFmtId="0" fontId="8" fillId="34" borderId="24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59" fillId="34" borderId="14" xfId="0" applyFont="1" applyFill="1" applyBorder="1" applyAlignment="1">
      <alignment/>
    </xf>
    <xf numFmtId="0" fontId="8" fillId="34" borderId="17" xfId="55" applyFont="1" applyFill="1" applyBorder="1">
      <alignment/>
      <protection/>
    </xf>
    <xf numFmtId="181" fontId="63" fillId="34" borderId="24" xfId="0" applyNumberFormat="1" applyFont="1" applyFill="1" applyBorder="1" applyAlignment="1">
      <alignment/>
    </xf>
    <xf numFmtId="3" fontId="10" fillId="34" borderId="14" xfId="56" applyNumberFormat="1" applyFont="1" applyFill="1" applyBorder="1" applyAlignment="1">
      <alignment/>
      <protection/>
    </xf>
    <xf numFmtId="183" fontId="8" fillId="34" borderId="17" xfId="56" applyNumberFormat="1" applyFont="1" applyFill="1" applyBorder="1" applyAlignment="1">
      <alignment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2" fontId="10" fillId="34" borderId="18" xfId="56" applyNumberFormat="1" applyFont="1" applyFill="1" applyBorder="1" applyAlignment="1" applyProtection="1">
      <alignment horizontal="right"/>
      <protection/>
    </xf>
    <xf numFmtId="2" fontId="10" fillId="34" borderId="22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85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0" fontId="0" fillId="34" borderId="12" xfId="0" applyFill="1" applyBorder="1" applyAlignment="1">
      <alignment/>
    </xf>
    <xf numFmtId="3" fontId="8" fillId="34" borderId="12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4" fillId="34" borderId="19" xfId="67" applyNumberFormat="1" applyFont="1" applyFill="1" applyBorder="1" applyAlignment="1" applyProtection="1">
      <alignment horizontal="left"/>
      <protection/>
    </xf>
    <xf numFmtId="0" fontId="64" fillId="34" borderId="16" xfId="67" applyNumberFormat="1" applyFont="1" applyFill="1" applyBorder="1" applyAlignment="1" applyProtection="1">
      <alignment horizontal="left"/>
      <protection/>
    </xf>
    <xf numFmtId="9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6" xfId="56" applyFont="1" applyFill="1" applyBorder="1" applyAlignment="1" applyProtection="1">
      <alignment horizontal="center"/>
      <protection/>
    </xf>
    <xf numFmtId="3" fontId="10" fillId="34" borderId="16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2" fillId="23" borderId="19" xfId="56" applyFont="1" applyFill="1" applyBorder="1" applyAlignment="1" applyProtection="1">
      <alignment horizontal="center" vertic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1" fillId="37" borderId="18" xfId="67" applyNumberFormat="1" applyFont="1" applyFill="1" applyBorder="1" applyAlignment="1" applyProtection="1">
      <alignment horizontal="center"/>
      <protection/>
    </xf>
    <xf numFmtId="17" fontId="61" fillId="37" borderId="15" xfId="67" applyNumberFormat="1" applyFont="1" applyFill="1" applyBorder="1" applyAlignment="1" applyProtection="1">
      <alignment horizontal="center"/>
      <protection/>
    </xf>
    <xf numFmtId="17" fontId="61" fillId="37" borderId="12" xfId="67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61" fillId="23" borderId="25" xfId="56" applyFont="1" applyFill="1" applyBorder="1" applyAlignment="1" applyProtection="1">
      <alignment horizontal="left"/>
      <protection/>
    </xf>
    <xf numFmtId="0" fontId="61" fillId="23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1" fillId="37" borderId="25" xfId="55" applyFont="1" applyFill="1" applyBorder="1" applyAlignment="1">
      <alignment horizontal="center"/>
      <protection/>
    </xf>
    <xf numFmtId="0" fontId="61" fillId="37" borderId="19" xfId="55" applyFont="1" applyFill="1" applyBorder="1" applyAlignment="1">
      <alignment horizontal="center"/>
      <protection/>
    </xf>
    <xf numFmtId="0" fontId="61" fillId="37" borderId="16" xfId="55" applyFont="1" applyFill="1" applyBorder="1" applyAlignment="1">
      <alignment horizontal="center"/>
      <protection/>
    </xf>
    <xf numFmtId="0" fontId="10" fillId="34" borderId="24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13" xfId="0" applyNumberFormat="1" applyFont="1" applyFill="1" applyBorder="1" applyAlignment="1">
      <alignment horizontal="center"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 vertical="top" wrapText="1"/>
      <protection/>
    </xf>
    <xf numFmtId="0" fontId="10" fillId="34" borderId="12" xfId="56" applyFont="1" applyFill="1" applyBorder="1" applyAlignment="1">
      <alignment horizontal="center" vertical="top" wrapText="1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12" fillId="0" borderId="24" xfId="56" applyFont="1" applyFill="1" applyBorder="1" applyAlignment="1">
      <alignment horizontal="left" vertical="center" wrapText="1"/>
      <protection/>
    </xf>
    <xf numFmtId="0" fontId="12" fillId="0" borderId="14" xfId="56" applyFont="1" applyFill="1" applyBorder="1" applyAlignment="1">
      <alignment horizontal="left" vertical="center" wrapText="1"/>
      <protection/>
    </xf>
    <xf numFmtId="0" fontId="12" fillId="0" borderId="17" xfId="56" applyFont="1" applyFill="1" applyBorder="1" applyAlignment="1">
      <alignment horizontal="left" vertical="center" wrapText="1"/>
      <protection/>
    </xf>
    <xf numFmtId="0" fontId="61" fillId="38" borderId="18" xfId="0" applyFont="1" applyFill="1" applyBorder="1" applyAlignment="1">
      <alignment horizontal="center"/>
    </xf>
    <xf numFmtId="0" fontId="61" fillId="38" borderId="15" xfId="0" applyFont="1" applyFill="1" applyBorder="1" applyAlignment="1">
      <alignment horizontal="center"/>
    </xf>
    <xf numFmtId="0" fontId="61" fillId="38" borderId="12" xfId="0" applyFont="1" applyFill="1" applyBorder="1" applyAlignment="1">
      <alignment horizontal="center"/>
    </xf>
    <xf numFmtId="0" fontId="61" fillId="38" borderId="24" xfId="0" applyFont="1" applyFill="1" applyBorder="1" applyAlignment="1">
      <alignment horizontal="center"/>
    </xf>
    <xf numFmtId="0" fontId="61" fillId="38" borderId="14" xfId="0" applyFont="1" applyFill="1" applyBorder="1" applyAlignment="1">
      <alignment horizontal="center"/>
    </xf>
    <xf numFmtId="0" fontId="61" fillId="38" borderId="17" xfId="0" applyFont="1" applyFill="1" applyBorder="1" applyAlignment="1">
      <alignment horizontal="center"/>
    </xf>
    <xf numFmtId="3" fontId="8" fillId="39" borderId="13" xfId="0" applyNumberFormat="1" applyFont="1" applyFill="1" applyBorder="1" applyAlignment="1">
      <alignment horizontal="center"/>
    </xf>
    <xf numFmtId="1" fontId="8" fillId="39" borderId="13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19" xfId="56" applyFont="1" applyFill="1" applyBorder="1" applyAlignment="1" applyProtection="1">
      <alignment horizontal="left"/>
      <protection/>
    </xf>
    <xf numFmtId="0" fontId="62" fillId="23" borderId="25" xfId="56" applyFont="1" applyFill="1" applyBorder="1" applyAlignment="1" applyProtection="1">
      <alignment horizontal="center" vertic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0" fillId="34" borderId="2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0" fillId="34" borderId="24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8" fillId="39" borderId="13" xfId="0" applyFont="1" applyFill="1" applyBorder="1" applyAlignment="1">
      <alignment horizontal="center" vertical="center" wrapText="1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183" fontId="10" fillId="34" borderId="14" xfId="0" applyNumberFormat="1" applyFont="1" applyFill="1" applyBorder="1" applyAlignment="1">
      <alignment horizontal="center" vertical="center"/>
    </xf>
    <xf numFmtId="0" fontId="61" fillId="38" borderId="18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center" vertical="center"/>
    </xf>
    <xf numFmtId="0" fontId="61" fillId="38" borderId="12" xfId="0" applyFont="1" applyFill="1" applyBorder="1" applyAlignment="1">
      <alignment horizontal="center" vertical="center"/>
    </xf>
    <xf numFmtId="0" fontId="61" fillId="38" borderId="24" xfId="0" applyFont="1" applyFill="1" applyBorder="1" applyAlignment="1">
      <alignment horizontal="center" vertical="center"/>
    </xf>
    <xf numFmtId="0" fontId="61" fillId="38" borderId="14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3" fontId="8" fillId="39" borderId="15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2" fillId="0" borderId="20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12" fillId="0" borderId="11" xfId="56" applyFont="1" applyFill="1" applyBorder="1" applyAlignment="1">
      <alignment horizontal="left" vertical="center" wrapText="1"/>
      <protection/>
    </xf>
    <xf numFmtId="0" fontId="10" fillId="34" borderId="2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2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3" fontId="12" fillId="0" borderId="20" xfId="53" applyNumberFormat="1" applyFont="1" applyFill="1" applyBorder="1" applyAlignment="1">
      <alignment horizontal="left" vertical="center" wrapText="1"/>
      <protection/>
    </xf>
    <xf numFmtId="3" fontId="12" fillId="0" borderId="0" xfId="53" applyNumberFormat="1" applyFont="1" applyFill="1" applyBorder="1" applyAlignment="1">
      <alignment horizontal="left" vertical="center" wrapText="1"/>
      <protection/>
    </xf>
    <xf numFmtId="3" fontId="12" fillId="0" borderId="11" xfId="53" applyNumberFormat="1" applyFont="1" applyFill="1" applyBorder="1" applyAlignment="1">
      <alignment horizontal="left" vertical="center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7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12" fillId="0" borderId="18" xfId="53" applyNumberFormat="1" applyFont="1" applyFill="1" applyBorder="1" applyAlignment="1">
      <alignment horizontal="left" vertical="center" wrapText="1"/>
      <protection/>
    </xf>
    <xf numFmtId="3" fontId="12" fillId="0" borderId="15" xfId="53" applyNumberFormat="1" applyFont="1" applyFill="1" applyBorder="1" applyAlignment="1">
      <alignment horizontal="left" vertical="center" wrapText="1"/>
      <protection/>
    </xf>
    <xf numFmtId="3" fontId="12" fillId="0" borderId="12" xfId="53" applyNumberFormat="1" applyFont="1" applyFill="1" applyBorder="1" applyAlignment="1">
      <alignment horizontal="left" vertical="center" wrapText="1"/>
      <protection/>
    </xf>
    <xf numFmtId="3" fontId="8" fillId="39" borderId="12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19" xfId="0" applyFont="1" applyFill="1" applyBorder="1" applyAlignment="1" applyProtection="1">
      <alignment horizontal="left"/>
      <protection/>
    </xf>
    <xf numFmtId="0" fontId="8" fillId="39" borderId="25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5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571500</xdr:colOff>
      <xdr:row>9</xdr:row>
      <xdr:rowOff>190500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04825"/>
          <a:ext cx="18192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111</xdr:row>
      <xdr:rowOff>180975</xdr:rowOff>
    </xdr:from>
    <xdr:to>
      <xdr:col>2</xdr:col>
      <xdr:colOff>1000125</xdr:colOff>
      <xdr:row>112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14425" y="26031825"/>
          <a:ext cx="2257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5"/>
  <sheetViews>
    <sheetView showGridLines="0" tabSelected="1" view="pageBreakPreview" zoomScale="80" zoomScaleNormal="70" zoomScaleSheetLayoutView="80" zoomScalePageLayoutView="80" workbookViewId="0" topLeftCell="A1">
      <selection activeCell="A1" sqref="A1"/>
    </sheetView>
  </sheetViews>
  <sheetFormatPr defaultColWidth="11.421875" defaultRowHeight="15"/>
  <cols>
    <col min="1" max="1" width="16.8515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6.8515625" style="0" customWidth="1"/>
    <col min="11" max="11" width="21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221" t="s">
        <v>9</v>
      </c>
      <c r="C2" s="221"/>
      <c r="D2" s="221"/>
      <c r="E2" s="221"/>
      <c r="F2" s="221"/>
      <c r="G2" s="221"/>
      <c r="H2" s="221"/>
      <c r="I2" s="221"/>
      <c r="J2" s="221"/>
    </row>
    <row r="3" spans="2:11" s="3" customFormat="1" ht="18" customHeight="1">
      <c r="B3" s="86"/>
      <c r="C3" s="104"/>
      <c r="D3" s="104"/>
      <c r="E3" s="222" t="s">
        <v>74</v>
      </c>
      <c r="F3" s="222"/>
      <c r="G3" s="222"/>
      <c r="H3" s="104"/>
      <c r="I3" s="105"/>
      <c r="J3" s="104"/>
      <c r="K3" s="15"/>
    </row>
    <row r="4" spans="2:11" s="3" customFormat="1" ht="18" customHeight="1">
      <c r="B4" s="86"/>
      <c r="C4" s="104"/>
      <c r="D4" s="222" t="s">
        <v>70</v>
      </c>
      <c r="E4" s="222"/>
      <c r="F4" s="222"/>
      <c r="G4" s="222"/>
      <c r="H4" s="222"/>
      <c r="I4" s="104"/>
      <c r="J4" s="104"/>
      <c r="K4" s="15"/>
    </row>
    <row r="5" spans="2:11" s="3" customFormat="1" ht="18" customHeight="1">
      <c r="B5" s="43"/>
      <c r="C5" s="43"/>
      <c r="D5" s="106"/>
      <c r="E5" s="44"/>
      <c r="F5" s="44"/>
      <c r="G5" s="93"/>
      <c r="H5" s="44"/>
      <c r="I5" s="43"/>
      <c r="J5" s="107"/>
      <c r="K5" s="17"/>
    </row>
    <row r="6" spans="2:11" s="3" customFormat="1" ht="18" customHeight="1">
      <c r="B6" s="43"/>
      <c r="C6" s="43"/>
      <c r="D6" s="210" t="s">
        <v>51</v>
      </c>
      <c r="E6" s="211"/>
      <c r="F6" s="211"/>
      <c r="G6" s="211"/>
      <c r="H6" s="211"/>
      <c r="I6" s="211"/>
      <c r="J6" s="212"/>
      <c r="K6" s="17"/>
    </row>
    <row r="7" spans="2:11" s="3" customFormat="1" ht="18" customHeight="1">
      <c r="B7" s="43"/>
      <c r="C7" s="43"/>
      <c r="D7" s="145" t="s">
        <v>73</v>
      </c>
      <c r="E7" s="84"/>
      <c r="F7" s="84"/>
      <c r="G7" s="146" t="s">
        <v>75</v>
      </c>
      <c r="H7" s="147"/>
      <c r="I7" s="148"/>
      <c r="J7" s="149"/>
      <c r="K7" s="17"/>
    </row>
    <row r="8" spans="2:11" s="3" customFormat="1" ht="18" customHeight="1">
      <c r="B8" s="43"/>
      <c r="C8" s="43"/>
      <c r="D8" s="150" t="s">
        <v>46</v>
      </c>
      <c r="E8" s="85"/>
      <c r="F8" s="85"/>
      <c r="G8" s="151" t="s">
        <v>45</v>
      </c>
      <c r="H8" s="86"/>
      <c r="I8" s="87"/>
      <c r="J8" s="152"/>
      <c r="K8" s="17"/>
    </row>
    <row r="9" spans="2:11" s="3" customFormat="1" ht="18" customHeight="1">
      <c r="B9" s="43"/>
      <c r="C9" s="43"/>
      <c r="D9" s="150" t="s">
        <v>118</v>
      </c>
      <c r="E9" s="85"/>
      <c r="F9" s="85"/>
      <c r="G9" s="151" t="s">
        <v>47</v>
      </c>
      <c r="H9" s="86"/>
      <c r="I9" s="87"/>
      <c r="J9" s="152"/>
      <c r="K9" s="19"/>
    </row>
    <row r="10" spans="2:11" s="3" customFormat="1" ht="18" customHeight="1">
      <c r="B10" s="43"/>
      <c r="C10" s="43"/>
      <c r="D10" s="153" t="s">
        <v>108</v>
      </c>
      <c r="E10" s="154"/>
      <c r="F10" s="154"/>
      <c r="G10" s="155" t="s">
        <v>112</v>
      </c>
      <c r="H10" s="156"/>
      <c r="I10" s="157"/>
      <c r="J10" s="158"/>
      <c r="K10" s="19"/>
    </row>
    <row r="11" spans="2:11" s="3" customFormat="1" ht="18" customHeight="1">
      <c r="B11" s="43"/>
      <c r="C11" s="43"/>
      <c r="D11" s="27"/>
      <c r="E11" s="85"/>
      <c r="F11" s="85"/>
      <c r="G11" s="27"/>
      <c r="H11" s="86"/>
      <c r="I11" s="87"/>
      <c r="J11" s="124"/>
      <c r="K11" s="19"/>
    </row>
    <row r="12" spans="2:11" ht="18">
      <c r="B12" s="223" t="s">
        <v>52</v>
      </c>
      <c r="C12" s="224"/>
      <c r="D12" s="224"/>
      <c r="E12" s="225"/>
      <c r="F12" s="42"/>
      <c r="G12" s="223" t="s">
        <v>15</v>
      </c>
      <c r="H12" s="224"/>
      <c r="I12" s="224"/>
      <c r="J12" s="225"/>
      <c r="K12" s="17"/>
    </row>
    <row r="13" spans="2:11" ht="18" customHeight="1">
      <c r="B13" s="95" t="s">
        <v>99</v>
      </c>
      <c r="C13" s="96"/>
      <c r="D13" s="84"/>
      <c r="E13" s="97">
        <v>15000</v>
      </c>
      <c r="F13" s="43"/>
      <c r="G13" s="98" t="s">
        <v>7</v>
      </c>
      <c r="H13" s="84"/>
      <c r="I13" s="84"/>
      <c r="J13" s="99">
        <f>E13*E14</f>
        <v>10500000</v>
      </c>
      <c r="K13" s="17"/>
    </row>
    <row r="14" spans="2:11" ht="18" customHeight="1">
      <c r="B14" s="231" t="s">
        <v>125</v>
      </c>
      <c r="C14" s="232"/>
      <c r="D14" s="232"/>
      <c r="E14" s="159">
        <v>700</v>
      </c>
      <c r="F14" s="43"/>
      <c r="G14" s="160" t="s">
        <v>11</v>
      </c>
      <c r="H14" s="43"/>
      <c r="I14" s="43"/>
      <c r="J14" s="161">
        <f>J28+J39+J72+J76</f>
        <v>5671031.1</v>
      </c>
      <c r="K14" s="17"/>
    </row>
    <row r="15" spans="2:11" ht="18" customHeight="1">
      <c r="B15" s="162" t="s">
        <v>10</v>
      </c>
      <c r="C15" s="163"/>
      <c r="D15" s="43"/>
      <c r="E15" s="159">
        <v>14000</v>
      </c>
      <c r="F15" s="43"/>
      <c r="G15" s="160" t="s">
        <v>12</v>
      </c>
      <c r="H15" s="44"/>
      <c r="I15" s="43"/>
      <c r="J15" s="161">
        <f>J28+J39+J72+J76+J84</f>
        <v>6116612.114999999</v>
      </c>
      <c r="K15" s="17"/>
    </row>
    <row r="16" spans="2:11" ht="18" customHeight="1">
      <c r="B16" s="162" t="s">
        <v>4</v>
      </c>
      <c r="C16" s="164"/>
      <c r="D16" s="43"/>
      <c r="E16" s="165">
        <v>0.015</v>
      </c>
      <c r="F16" s="43"/>
      <c r="G16" s="160" t="s">
        <v>13</v>
      </c>
      <c r="H16" s="43"/>
      <c r="I16" s="43"/>
      <c r="J16" s="161">
        <f>J13-J14</f>
        <v>4828968.9</v>
      </c>
      <c r="K16" s="17"/>
    </row>
    <row r="17" spans="2:11" ht="18" customHeight="1">
      <c r="B17" s="162" t="s">
        <v>8</v>
      </c>
      <c r="C17" s="164"/>
      <c r="D17" s="43"/>
      <c r="E17" s="166">
        <v>0.5</v>
      </c>
      <c r="F17" s="43"/>
      <c r="G17" s="160" t="s">
        <v>14</v>
      </c>
      <c r="H17" s="43"/>
      <c r="I17" s="43"/>
      <c r="J17" s="161">
        <f>J13-J15</f>
        <v>4383387.885000001</v>
      </c>
      <c r="K17" s="17"/>
    </row>
    <row r="18" spans="2:11" ht="18" customHeight="1">
      <c r="B18" s="167" t="s">
        <v>5</v>
      </c>
      <c r="C18" s="168"/>
      <c r="D18" s="169"/>
      <c r="E18" s="170">
        <v>11</v>
      </c>
      <c r="F18" s="43"/>
      <c r="G18" s="171" t="s">
        <v>48</v>
      </c>
      <c r="H18" s="169"/>
      <c r="I18" s="172"/>
      <c r="J18" s="173">
        <f>G102</f>
        <v>407.77414099999993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09" t="s">
        <v>49</v>
      </c>
      <c r="C20" s="108"/>
      <c r="D20" s="108"/>
      <c r="E20" s="209" t="s">
        <v>16</v>
      </c>
      <c r="F20" s="209"/>
      <c r="G20" s="110" t="s">
        <v>17</v>
      </c>
      <c r="H20" s="111" t="s">
        <v>18</v>
      </c>
      <c r="I20" s="112" t="s">
        <v>69</v>
      </c>
      <c r="J20" s="113" t="s">
        <v>3</v>
      </c>
      <c r="K20" s="17"/>
    </row>
    <row r="21" spans="2:11" s="3" customFormat="1" ht="18" customHeight="1">
      <c r="B21" s="218" t="s">
        <v>20</v>
      </c>
      <c r="C21" s="219"/>
      <c r="D21" s="219"/>
      <c r="E21" s="208"/>
      <c r="F21" s="208"/>
      <c r="G21" s="100"/>
      <c r="H21" s="101"/>
      <c r="I21" s="102"/>
      <c r="J21" s="103"/>
      <c r="K21" s="17"/>
    </row>
    <row r="22" spans="2:11" s="3" customFormat="1" ht="18" customHeight="1">
      <c r="B22" s="121" t="s">
        <v>76</v>
      </c>
      <c r="C22" s="122"/>
      <c r="D22" s="123"/>
      <c r="E22" s="229" t="s">
        <v>77</v>
      </c>
      <c r="F22" s="230"/>
      <c r="G22" s="79">
        <v>2000</v>
      </c>
      <c r="H22" s="79" t="s">
        <v>41</v>
      </c>
      <c r="I22" s="125">
        <v>120</v>
      </c>
      <c r="J22" s="10">
        <f aca="true" t="shared" si="0" ref="J22:J27">G22*I22</f>
        <v>240000</v>
      </c>
      <c r="K22" s="17"/>
    </row>
    <row r="23" spans="2:11" s="3" customFormat="1" ht="18" customHeight="1">
      <c r="B23" s="142" t="s">
        <v>56</v>
      </c>
      <c r="C23" s="143"/>
      <c r="D23" s="144"/>
      <c r="E23" s="216" t="s">
        <v>78</v>
      </c>
      <c r="F23" s="217"/>
      <c r="G23" s="174">
        <v>32</v>
      </c>
      <c r="H23" s="174" t="s">
        <v>6</v>
      </c>
      <c r="I23" s="175">
        <v>14000</v>
      </c>
      <c r="J23" s="10">
        <f t="shared" si="0"/>
        <v>448000</v>
      </c>
      <c r="K23" s="17"/>
    </row>
    <row r="24" spans="2:18" s="3" customFormat="1" ht="18" customHeight="1">
      <c r="B24" s="213" t="s">
        <v>57</v>
      </c>
      <c r="C24" s="214"/>
      <c r="D24" s="215"/>
      <c r="E24" s="216" t="s">
        <v>79</v>
      </c>
      <c r="F24" s="217"/>
      <c r="G24" s="126">
        <v>8</v>
      </c>
      <c r="H24" s="126" t="s">
        <v>6</v>
      </c>
      <c r="I24" s="175">
        <v>14000</v>
      </c>
      <c r="J24" s="10">
        <f t="shared" si="0"/>
        <v>112000</v>
      </c>
      <c r="K24" s="17"/>
      <c r="R24" s="27"/>
    </row>
    <row r="25" spans="2:18" s="3" customFormat="1" ht="18" customHeight="1">
      <c r="B25" s="213" t="s">
        <v>31</v>
      </c>
      <c r="C25" s="214"/>
      <c r="D25" s="215"/>
      <c r="E25" s="216" t="s">
        <v>80</v>
      </c>
      <c r="F25" s="217"/>
      <c r="G25" s="126">
        <v>4</v>
      </c>
      <c r="H25" s="126" t="s">
        <v>6</v>
      </c>
      <c r="I25" s="175">
        <v>14000</v>
      </c>
      <c r="J25" s="10">
        <f t="shared" si="0"/>
        <v>56000</v>
      </c>
      <c r="K25" s="17"/>
      <c r="R25" s="27"/>
    </row>
    <row r="26" spans="2:18" s="3" customFormat="1" ht="18" customHeight="1">
      <c r="B26" s="142" t="s">
        <v>81</v>
      </c>
      <c r="C26" s="143"/>
      <c r="D26" s="115"/>
      <c r="E26" s="220" t="s">
        <v>82</v>
      </c>
      <c r="F26" s="217"/>
      <c r="G26" s="126">
        <v>7</v>
      </c>
      <c r="H26" s="126" t="s">
        <v>6</v>
      </c>
      <c r="I26" s="175">
        <v>14000</v>
      </c>
      <c r="J26" s="10">
        <f t="shared" si="0"/>
        <v>98000</v>
      </c>
      <c r="K26" s="17"/>
      <c r="R26" s="27"/>
    </row>
    <row r="27" spans="2:11" s="3" customFormat="1" ht="18" customHeight="1">
      <c r="B27" s="226" t="s">
        <v>129</v>
      </c>
      <c r="C27" s="227"/>
      <c r="D27" s="228"/>
      <c r="E27" s="260" t="s">
        <v>72</v>
      </c>
      <c r="F27" s="261"/>
      <c r="G27" s="128">
        <f>Hoja1!E6*Hoja1!C2</f>
        <v>15000</v>
      </c>
      <c r="H27" s="128" t="s">
        <v>41</v>
      </c>
      <c r="I27" s="176">
        <v>36</v>
      </c>
      <c r="J27" s="10">
        <f t="shared" si="0"/>
        <v>540000</v>
      </c>
      <c r="K27" s="17"/>
    </row>
    <row r="28" spans="2:11" ht="18" customHeight="1">
      <c r="B28" s="238" t="s">
        <v>21</v>
      </c>
      <c r="C28" s="239"/>
      <c r="D28" s="239"/>
      <c r="E28" s="239"/>
      <c r="F28" s="239"/>
      <c r="G28" s="239"/>
      <c r="H28" s="239"/>
      <c r="I28" s="239"/>
      <c r="J28" s="88">
        <f>SUM(J22:J27)</f>
        <v>1494000</v>
      </c>
      <c r="K28" s="17"/>
    </row>
    <row r="29" spans="2:11" s="3" customFormat="1" ht="18" customHeight="1">
      <c r="B29" s="82"/>
      <c r="C29" s="82"/>
      <c r="D29" s="82"/>
      <c r="E29" s="82"/>
      <c r="F29" s="82"/>
      <c r="G29" s="26"/>
      <c r="H29" s="82"/>
      <c r="I29" s="82"/>
      <c r="J29" s="28"/>
      <c r="K29" s="17"/>
    </row>
    <row r="30" spans="2:11" s="29" customFormat="1" ht="18" customHeight="1">
      <c r="B30" s="218" t="s">
        <v>22</v>
      </c>
      <c r="C30" s="219"/>
      <c r="D30" s="219"/>
      <c r="E30" s="208"/>
      <c r="F30" s="208"/>
      <c r="G30" s="100"/>
      <c r="H30" s="101"/>
      <c r="I30" s="102"/>
      <c r="J30" s="103"/>
      <c r="K30" s="17"/>
    </row>
    <row r="31" spans="2:11" s="3" customFormat="1" ht="18" customHeight="1">
      <c r="B31" s="234" t="s">
        <v>58</v>
      </c>
      <c r="C31" s="235"/>
      <c r="D31" s="235"/>
      <c r="E31" s="236" t="s">
        <v>87</v>
      </c>
      <c r="F31" s="237"/>
      <c r="G31" s="177">
        <v>1</v>
      </c>
      <c r="H31" s="129" t="s">
        <v>42</v>
      </c>
      <c r="I31" s="125">
        <v>70000</v>
      </c>
      <c r="J31" s="11">
        <f aca="true" t="shared" si="1" ref="J31:J38">I31*G31</f>
        <v>70000</v>
      </c>
      <c r="K31" s="17"/>
    </row>
    <row r="32" spans="2:11" s="3" customFormat="1" ht="18" customHeight="1">
      <c r="B32" s="213" t="s">
        <v>44</v>
      </c>
      <c r="C32" s="214"/>
      <c r="D32" s="215"/>
      <c r="E32" s="216" t="s">
        <v>80</v>
      </c>
      <c r="F32" s="217"/>
      <c r="G32" s="178">
        <v>3</v>
      </c>
      <c r="H32" s="126" t="s">
        <v>42</v>
      </c>
      <c r="I32" s="175">
        <v>30000</v>
      </c>
      <c r="J32" s="12">
        <f t="shared" si="1"/>
        <v>90000</v>
      </c>
      <c r="K32" s="17"/>
    </row>
    <row r="33" spans="2:11" s="3" customFormat="1" ht="18" customHeight="1">
      <c r="B33" s="182" t="s">
        <v>84</v>
      </c>
      <c r="C33" s="183"/>
      <c r="D33" s="184"/>
      <c r="E33" s="216" t="s">
        <v>80</v>
      </c>
      <c r="F33" s="217"/>
      <c r="G33" s="178">
        <v>1</v>
      </c>
      <c r="H33" s="126" t="s">
        <v>42</v>
      </c>
      <c r="I33" s="175">
        <v>20000</v>
      </c>
      <c r="J33" s="12">
        <f t="shared" si="1"/>
        <v>20000</v>
      </c>
      <c r="K33" s="17"/>
    </row>
    <row r="34" spans="2:11" s="3" customFormat="1" ht="18" customHeight="1">
      <c r="B34" s="213" t="s">
        <v>85</v>
      </c>
      <c r="C34" s="214"/>
      <c r="D34" s="215"/>
      <c r="E34" s="216" t="s">
        <v>80</v>
      </c>
      <c r="F34" s="217"/>
      <c r="G34" s="178">
        <v>1</v>
      </c>
      <c r="H34" s="126" t="s">
        <v>42</v>
      </c>
      <c r="I34" s="175">
        <v>40000</v>
      </c>
      <c r="J34" s="12">
        <f t="shared" si="1"/>
        <v>40000</v>
      </c>
      <c r="K34" s="17"/>
    </row>
    <row r="35" spans="2:11" s="3" customFormat="1" ht="18" customHeight="1">
      <c r="B35" s="142" t="s">
        <v>59</v>
      </c>
      <c r="C35" s="143"/>
      <c r="D35" s="144"/>
      <c r="E35" s="216" t="s">
        <v>78</v>
      </c>
      <c r="F35" s="217"/>
      <c r="G35" s="178">
        <v>2</v>
      </c>
      <c r="H35" s="126" t="s">
        <v>42</v>
      </c>
      <c r="I35" s="175">
        <v>5000</v>
      </c>
      <c r="J35" s="12">
        <f t="shared" si="1"/>
        <v>10000</v>
      </c>
      <c r="K35" s="17"/>
    </row>
    <row r="36" spans="2:11" s="3" customFormat="1" ht="18" customHeight="1">
      <c r="B36" s="179" t="s">
        <v>86</v>
      </c>
      <c r="C36" s="180"/>
      <c r="D36" s="181"/>
      <c r="E36" s="216" t="s">
        <v>88</v>
      </c>
      <c r="F36" s="217"/>
      <c r="G36" s="178">
        <v>6</v>
      </c>
      <c r="H36" s="126" t="s">
        <v>42</v>
      </c>
      <c r="I36" s="175">
        <v>15000</v>
      </c>
      <c r="J36" s="12">
        <f t="shared" si="1"/>
        <v>90000</v>
      </c>
      <c r="K36" s="17"/>
    </row>
    <row r="37" spans="2:11" s="3" customFormat="1" ht="18" customHeight="1">
      <c r="B37" s="142" t="s">
        <v>60</v>
      </c>
      <c r="C37" s="143"/>
      <c r="D37" s="144"/>
      <c r="E37" s="216" t="s">
        <v>90</v>
      </c>
      <c r="F37" s="217"/>
      <c r="G37" s="178">
        <v>1</v>
      </c>
      <c r="H37" s="126" t="s">
        <v>42</v>
      </c>
      <c r="I37" s="175">
        <v>60000</v>
      </c>
      <c r="J37" s="12">
        <f t="shared" si="1"/>
        <v>60000</v>
      </c>
      <c r="K37" s="17"/>
    </row>
    <row r="38" spans="2:11" s="3" customFormat="1" ht="18" customHeight="1">
      <c r="B38" s="213" t="s">
        <v>119</v>
      </c>
      <c r="C38" s="214"/>
      <c r="D38" s="215"/>
      <c r="E38" s="216" t="s">
        <v>89</v>
      </c>
      <c r="F38" s="217"/>
      <c r="G38" s="178">
        <v>1</v>
      </c>
      <c r="H38" s="126" t="s">
        <v>42</v>
      </c>
      <c r="I38" s="175">
        <v>160000</v>
      </c>
      <c r="J38" s="12">
        <f t="shared" si="1"/>
        <v>160000</v>
      </c>
      <c r="K38" s="17"/>
    </row>
    <row r="39" spans="2:12" ht="18" customHeight="1">
      <c r="B39" s="238" t="s">
        <v>23</v>
      </c>
      <c r="C39" s="239"/>
      <c r="D39" s="239"/>
      <c r="E39" s="239"/>
      <c r="F39" s="239"/>
      <c r="G39" s="239"/>
      <c r="H39" s="239"/>
      <c r="I39" s="239"/>
      <c r="J39" s="88">
        <f>SUM(J31:J38)</f>
        <v>540000</v>
      </c>
      <c r="K39" s="17"/>
      <c r="L39" s="17"/>
    </row>
    <row r="40" spans="2:12" s="3" customFormat="1" ht="18" customHeight="1">
      <c r="B40" s="82"/>
      <c r="C40" s="82"/>
      <c r="D40" s="82"/>
      <c r="E40" s="82"/>
      <c r="F40" s="82"/>
      <c r="G40" s="26"/>
      <c r="H40" s="82"/>
      <c r="I40" s="82"/>
      <c r="J40" s="28"/>
      <c r="K40" s="17"/>
      <c r="L40" s="20"/>
    </row>
    <row r="41" spans="2:12" s="3" customFormat="1" ht="18" customHeight="1">
      <c r="B41" s="218" t="s">
        <v>120</v>
      </c>
      <c r="C41" s="219"/>
      <c r="D41" s="219"/>
      <c r="E41" s="208"/>
      <c r="F41" s="208"/>
      <c r="G41" s="100"/>
      <c r="H41" s="101"/>
      <c r="I41" s="102"/>
      <c r="J41" s="103"/>
      <c r="K41" s="17"/>
      <c r="L41" s="25"/>
    </row>
    <row r="42" spans="2:12" s="3" customFormat="1" ht="18" customHeight="1">
      <c r="B42" s="204" t="s">
        <v>83</v>
      </c>
      <c r="C42" s="205"/>
      <c r="D42" s="205"/>
      <c r="E42" s="229" t="s">
        <v>72</v>
      </c>
      <c r="F42" s="262"/>
      <c r="G42" s="129">
        <v>2000</v>
      </c>
      <c r="H42" s="130" t="s">
        <v>41</v>
      </c>
      <c r="I42" s="11">
        <v>1200</v>
      </c>
      <c r="J42" s="12">
        <f>G42*I42</f>
        <v>2400000</v>
      </c>
      <c r="K42" s="17"/>
      <c r="L42" s="25"/>
    </row>
    <row r="43" spans="2:12" s="3" customFormat="1" ht="18" customHeight="1">
      <c r="B43" s="200"/>
      <c r="C43" s="201"/>
      <c r="D43" s="201"/>
      <c r="E43" s="117"/>
      <c r="F43" s="120"/>
      <c r="G43" s="126"/>
      <c r="H43" s="131"/>
      <c r="I43" s="12"/>
      <c r="J43" s="12"/>
      <c r="K43" s="17"/>
      <c r="L43" s="25"/>
    </row>
    <row r="44" spans="2:12" s="3" customFormat="1" ht="18" customHeight="1">
      <c r="B44" s="202" t="s">
        <v>121</v>
      </c>
      <c r="C44" s="203"/>
      <c r="D44" s="203"/>
      <c r="E44" s="216"/>
      <c r="F44" s="220"/>
      <c r="G44" s="132"/>
      <c r="H44" s="133"/>
      <c r="I44" s="12"/>
      <c r="J44" s="12"/>
      <c r="K44" s="17"/>
      <c r="L44" s="25"/>
    </row>
    <row r="45" spans="2:12" s="3" customFormat="1" ht="18" customHeight="1">
      <c r="B45" s="200" t="s">
        <v>61</v>
      </c>
      <c r="C45" s="203"/>
      <c r="D45" s="203"/>
      <c r="E45" s="216" t="s">
        <v>87</v>
      </c>
      <c r="F45" s="217"/>
      <c r="G45" s="132">
        <v>300</v>
      </c>
      <c r="H45" s="133" t="s">
        <v>41</v>
      </c>
      <c r="I45" s="12">
        <v>368</v>
      </c>
      <c r="J45" s="12">
        <f>G45*I45</f>
        <v>110400</v>
      </c>
      <c r="K45" s="17"/>
      <c r="L45" s="25"/>
    </row>
    <row r="46" spans="2:12" s="3" customFormat="1" ht="18" customHeight="1">
      <c r="B46" s="198" t="s">
        <v>130</v>
      </c>
      <c r="C46" s="199"/>
      <c r="D46" s="199"/>
      <c r="E46" s="216" t="s">
        <v>92</v>
      </c>
      <c r="F46" s="220"/>
      <c r="G46" s="126">
        <v>250</v>
      </c>
      <c r="H46" s="131" t="s">
        <v>41</v>
      </c>
      <c r="I46" s="12">
        <v>650</v>
      </c>
      <c r="J46" s="12">
        <f>G46*I46</f>
        <v>162500</v>
      </c>
      <c r="K46" s="17"/>
      <c r="L46" s="25"/>
    </row>
    <row r="47" spans="2:12" s="3" customFormat="1" ht="18" customHeight="1">
      <c r="B47" s="200" t="s">
        <v>109</v>
      </c>
      <c r="C47" s="201"/>
      <c r="D47" s="201"/>
      <c r="E47" s="216" t="s">
        <v>93</v>
      </c>
      <c r="F47" s="220"/>
      <c r="G47" s="126">
        <v>200</v>
      </c>
      <c r="H47" s="131" t="s">
        <v>41</v>
      </c>
      <c r="I47" s="12">
        <v>350</v>
      </c>
      <c r="J47" s="12">
        <f>G47*I47</f>
        <v>70000</v>
      </c>
      <c r="K47" s="17"/>
      <c r="L47" s="25"/>
    </row>
    <row r="48" spans="2:12" s="3" customFormat="1" ht="18" customHeight="1">
      <c r="B48" s="200" t="s">
        <v>91</v>
      </c>
      <c r="C48" s="201"/>
      <c r="D48" s="201"/>
      <c r="E48" s="216" t="s">
        <v>92</v>
      </c>
      <c r="F48" s="217"/>
      <c r="G48" s="126">
        <v>300</v>
      </c>
      <c r="H48" s="131" t="s">
        <v>41</v>
      </c>
      <c r="I48" s="12">
        <v>360</v>
      </c>
      <c r="J48" s="12">
        <f>G48*I48</f>
        <v>108000</v>
      </c>
      <c r="K48" s="17"/>
      <c r="L48" s="25"/>
    </row>
    <row r="49" spans="2:12" s="3" customFormat="1" ht="18" customHeight="1">
      <c r="B49" s="200"/>
      <c r="C49" s="201"/>
      <c r="D49" s="201"/>
      <c r="E49" s="185"/>
      <c r="F49" s="186"/>
      <c r="G49" s="126"/>
      <c r="H49" s="131"/>
      <c r="I49" s="12"/>
      <c r="J49" s="12"/>
      <c r="K49" s="17"/>
      <c r="L49" s="25"/>
    </row>
    <row r="50" spans="2:12" s="3" customFormat="1" ht="18" customHeight="1">
      <c r="B50" s="206" t="s">
        <v>113</v>
      </c>
      <c r="C50" s="201"/>
      <c r="D50" s="201"/>
      <c r="E50" s="185"/>
      <c r="F50" s="186"/>
      <c r="G50" s="126"/>
      <c r="H50" s="131"/>
      <c r="I50" s="12"/>
      <c r="J50" s="12"/>
      <c r="K50" s="17"/>
      <c r="L50" s="25"/>
    </row>
    <row r="51" spans="2:12" s="3" customFormat="1" ht="18" customHeight="1">
      <c r="B51" s="198" t="s">
        <v>114</v>
      </c>
      <c r="C51" s="201"/>
      <c r="D51" s="201"/>
      <c r="E51" s="216" t="s">
        <v>115</v>
      </c>
      <c r="F51" s="217"/>
      <c r="G51" s="126">
        <v>1</v>
      </c>
      <c r="H51" s="131" t="s">
        <v>40</v>
      </c>
      <c r="I51" s="12">
        <v>10157</v>
      </c>
      <c r="J51" s="12">
        <f>G51*I51</f>
        <v>10157</v>
      </c>
      <c r="K51" s="17"/>
      <c r="L51" s="25"/>
    </row>
    <row r="52" spans="2:12" s="3" customFormat="1" ht="18" customHeight="1">
      <c r="B52" s="198" t="s">
        <v>116</v>
      </c>
      <c r="C52" s="201"/>
      <c r="D52" s="201"/>
      <c r="E52" s="216" t="s">
        <v>117</v>
      </c>
      <c r="F52" s="217"/>
      <c r="G52" s="126">
        <v>3</v>
      </c>
      <c r="H52" s="131" t="s">
        <v>40</v>
      </c>
      <c r="I52" s="12">
        <v>30652</v>
      </c>
      <c r="J52" s="12">
        <f>G52*I52</f>
        <v>91956</v>
      </c>
      <c r="K52" s="17"/>
      <c r="L52" s="25"/>
    </row>
    <row r="53" spans="2:12" s="3" customFormat="1" ht="18" customHeight="1">
      <c r="B53" s="198" t="s">
        <v>131</v>
      </c>
      <c r="C53" s="201"/>
      <c r="D53" s="201"/>
      <c r="E53" s="216" t="s">
        <v>98</v>
      </c>
      <c r="F53" s="217"/>
      <c r="G53" s="126">
        <v>2</v>
      </c>
      <c r="H53" s="131" t="s">
        <v>40</v>
      </c>
      <c r="I53" s="12">
        <v>20031</v>
      </c>
      <c r="J53" s="12">
        <f>G53*I53</f>
        <v>40062</v>
      </c>
      <c r="K53" s="17"/>
      <c r="L53" s="25"/>
    </row>
    <row r="54" spans="2:12" s="3" customFormat="1" ht="18" customHeight="1">
      <c r="B54" s="200"/>
      <c r="C54" s="201"/>
      <c r="D54" s="201"/>
      <c r="E54" s="140"/>
      <c r="F54" s="141"/>
      <c r="G54" s="126"/>
      <c r="H54" s="131"/>
      <c r="I54" s="12"/>
      <c r="J54" s="12"/>
      <c r="K54" s="17"/>
      <c r="L54" s="25"/>
    </row>
    <row r="55" spans="2:12" s="3" customFormat="1" ht="18" customHeight="1">
      <c r="B55" s="206" t="s">
        <v>122</v>
      </c>
      <c r="C55" s="207"/>
      <c r="D55" s="207"/>
      <c r="E55" s="216"/>
      <c r="F55" s="220"/>
      <c r="G55" s="126"/>
      <c r="H55" s="131"/>
      <c r="I55" s="12"/>
      <c r="J55" s="12"/>
      <c r="K55" s="17"/>
      <c r="L55" s="25"/>
    </row>
    <row r="56" spans="2:12" s="3" customFormat="1" ht="18" customHeight="1">
      <c r="B56" s="198" t="s">
        <v>110</v>
      </c>
      <c r="C56" s="199"/>
      <c r="D56" s="199"/>
      <c r="E56" s="216" t="s">
        <v>94</v>
      </c>
      <c r="F56" s="217"/>
      <c r="G56" s="126">
        <v>4</v>
      </c>
      <c r="H56" s="131" t="s">
        <v>41</v>
      </c>
      <c r="I56" s="12">
        <v>4478</v>
      </c>
      <c r="J56" s="12">
        <f>G56*I56</f>
        <v>17912</v>
      </c>
      <c r="K56" s="17"/>
      <c r="L56" s="25"/>
    </row>
    <row r="57" spans="2:12" s="3" customFormat="1" ht="18" customHeight="1">
      <c r="B57" s="198" t="s">
        <v>138</v>
      </c>
      <c r="C57" s="199"/>
      <c r="D57" s="199"/>
      <c r="E57" s="216" t="s">
        <v>93</v>
      </c>
      <c r="F57" s="217"/>
      <c r="G57" s="126">
        <v>1</v>
      </c>
      <c r="H57" s="131" t="s">
        <v>40</v>
      </c>
      <c r="I57" s="12">
        <v>65300</v>
      </c>
      <c r="J57" s="12">
        <f>G57*I57</f>
        <v>65300</v>
      </c>
      <c r="K57" s="17"/>
      <c r="L57" s="25"/>
    </row>
    <row r="58" spans="2:12" s="3" customFormat="1" ht="18" customHeight="1">
      <c r="B58" s="200" t="s">
        <v>95</v>
      </c>
      <c r="C58" s="201"/>
      <c r="D58" s="201"/>
      <c r="E58" s="216" t="s">
        <v>96</v>
      </c>
      <c r="F58" s="217"/>
      <c r="G58" s="132">
        <v>2</v>
      </c>
      <c r="H58" s="133" t="s">
        <v>41</v>
      </c>
      <c r="I58" s="12">
        <v>10500</v>
      </c>
      <c r="J58" s="12">
        <f>G58*I58</f>
        <v>21000</v>
      </c>
      <c r="K58" s="17"/>
      <c r="L58" s="25"/>
    </row>
    <row r="59" spans="2:12" s="3" customFormat="1" ht="18" customHeight="1">
      <c r="B59" s="198"/>
      <c r="C59" s="199"/>
      <c r="D59" s="199"/>
      <c r="E59" s="216"/>
      <c r="F59" s="220"/>
      <c r="G59" s="126"/>
      <c r="H59" s="131"/>
      <c r="I59" s="12"/>
      <c r="J59" s="12"/>
      <c r="K59" s="17"/>
      <c r="L59" s="25"/>
    </row>
    <row r="60" spans="2:12" s="3" customFormat="1" ht="18" customHeight="1">
      <c r="B60" s="206" t="s">
        <v>123</v>
      </c>
      <c r="C60" s="207"/>
      <c r="D60" s="207"/>
      <c r="E60" s="216"/>
      <c r="F60" s="220"/>
      <c r="G60" s="126"/>
      <c r="H60" s="131"/>
      <c r="I60" s="12"/>
      <c r="J60" s="12"/>
      <c r="K60" s="17"/>
      <c r="L60" s="25"/>
    </row>
    <row r="61" spans="2:12" s="3" customFormat="1" ht="18" customHeight="1">
      <c r="B61" s="198" t="s">
        <v>132</v>
      </c>
      <c r="C61" s="199"/>
      <c r="D61" s="199"/>
      <c r="E61" s="216" t="s">
        <v>104</v>
      </c>
      <c r="F61" s="220"/>
      <c r="G61" s="132">
        <v>1</v>
      </c>
      <c r="H61" s="133" t="s">
        <v>41</v>
      </c>
      <c r="I61" s="12">
        <v>33500</v>
      </c>
      <c r="J61" s="12">
        <f>G61*I61</f>
        <v>33500</v>
      </c>
      <c r="K61" s="17"/>
      <c r="L61" s="25"/>
    </row>
    <row r="62" spans="2:12" s="3" customFormat="1" ht="18" customHeight="1">
      <c r="B62" s="198" t="s">
        <v>133</v>
      </c>
      <c r="C62" s="199"/>
      <c r="D62" s="199"/>
      <c r="E62" s="216" t="s">
        <v>98</v>
      </c>
      <c r="F62" s="220"/>
      <c r="G62" s="132">
        <v>1</v>
      </c>
      <c r="H62" s="133" t="s">
        <v>40</v>
      </c>
      <c r="I62" s="12">
        <v>28400</v>
      </c>
      <c r="J62" s="12">
        <f>G62*I62</f>
        <v>28400</v>
      </c>
      <c r="K62" s="17"/>
      <c r="L62" s="25"/>
    </row>
    <row r="63" spans="2:12" s="3" customFormat="1" ht="18" customHeight="1">
      <c r="B63" s="198" t="s">
        <v>111</v>
      </c>
      <c r="C63" s="199"/>
      <c r="D63" s="199"/>
      <c r="E63" s="216" t="s">
        <v>93</v>
      </c>
      <c r="F63" s="217"/>
      <c r="G63" s="126">
        <v>2</v>
      </c>
      <c r="H63" s="131" t="s">
        <v>41</v>
      </c>
      <c r="I63" s="12">
        <v>17500</v>
      </c>
      <c r="J63" s="12">
        <f>G63*I63</f>
        <v>35000</v>
      </c>
      <c r="K63" s="17"/>
      <c r="L63" s="25"/>
    </row>
    <row r="64" spans="2:12" s="3" customFormat="1" ht="18" customHeight="1">
      <c r="B64" s="198"/>
      <c r="C64" s="199"/>
      <c r="D64" s="199"/>
      <c r="E64" s="185"/>
      <c r="F64" s="186"/>
      <c r="G64" s="126"/>
      <c r="H64" s="131"/>
      <c r="I64" s="12"/>
      <c r="J64" s="12"/>
      <c r="K64" s="17"/>
      <c r="L64" s="25"/>
    </row>
    <row r="65" spans="2:12" s="3" customFormat="1" ht="18" customHeight="1">
      <c r="B65" s="202" t="s">
        <v>124</v>
      </c>
      <c r="C65" s="203"/>
      <c r="D65" s="203"/>
      <c r="E65" s="216"/>
      <c r="F65" s="220"/>
      <c r="G65" s="132"/>
      <c r="H65" s="133"/>
      <c r="I65" s="12"/>
      <c r="J65" s="12"/>
      <c r="K65" s="17"/>
      <c r="L65" s="25"/>
    </row>
    <row r="66" spans="2:12" s="3" customFormat="1" ht="18">
      <c r="B66" s="200" t="s">
        <v>62</v>
      </c>
      <c r="C66" s="203"/>
      <c r="D66" s="203"/>
      <c r="E66" s="216" t="s">
        <v>98</v>
      </c>
      <c r="F66" s="217"/>
      <c r="G66" s="132">
        <v>4</v>
      </c>
      <c r="H66" s="133" t="s">
        <v>40</v>
      </c>
      <c r="I66" s="12">
        <v>7850</v>
      </c>
      <c r="J66" s="12">
        <f aca="true" t="shared" si="2" ref="J66:J71">G66*I66</f>
        <v>31400</v>
      </c>
      <c r="K66" s="17"/>
      <c r="L66" s="25"/>
    </row>
    <row r="67" spans="2:12" s="3" customFormat="1" ht="18">
      <c r="B67" s="198" t="s">
        <v>105</v>
      </c>
      <c r="C67" s="199"/>
      <c r="D67" s="199"/>
      <c r="E67" s="216" t="s">
        <v>98</v>
      </c>
      <c r="F67" s="217"/>
      <c r="G67" s="132">
        <v>5</v>
      </c>
      <c r="H67" s="133" t="s">
        <v>40</v>
      </c>
      <c r="I67" s="12">
        <v>8579</v>
      </c>
      <c r="J67" s="12">
        <f t="shared" si="2"/>
        <v>42895</v>
      </c>
      <c r="K67" s="17"/>
      <c r="L67" s="25"/>
    </row>
    <row r="68" spans="2:12" s="3" customFormat="1" ht="18">
      <c r="B68" s="200" t="s">
        <v>63</v>
      </c>
      <c r="C68" s="201"/>
      <c r="D68" s="201"/>
      <c r="E68" s="216" t="s">
        <v>93</v>
      </c>
      <c r="F68" s="220"/>
      <c r="G68" s="132">
        <v>3</v>
      </c>
      <c r="H68" s="133" t="s">
        <v>40</v>
      </c>
      <c r="I68" s="12">
        <v>5500</v>
      </c>
      <c r="J68" s="12">
        <f t="shared" si="2"/>
        <v>16500</v>
      </c>
      <c r="K68" s="17"/>
      <c r="L68" s="25"/>
    </row>
    <row r="69" spans="2:12" s="3" customFormat="1" ht="18">
      <c r="B69" s="200" t="s">
        <v>107</v>
      </c>
      <c r="C69" s="203"/>
      <c r="D69" s="203"/>
      <c r="E69" s="216" t="s">
        <v>106</v>
      </c>
      <c r="F69" s="217"/>
      <c r="G69" s="132">
        <v>2</v>
      </c>
      <c r="H69" s="133" t="s">
        <v>40</v>
      </c>
      <c r="I69" s="12">
        <v>19500</v>
      </c>
      <c r="J69" s="12">
        <f t="shared" si="2"/>
        <v>39000</v>
      </c>
      <c r="K69" s="17"/>
      <c r="L69" s="25"/>
    </row>
    <row r="70" spans="2:12" s="3" customFormat="1" ht="18">
      <c r="B70" s="200" t="s">
        <v>134</v>
      </c>
      <c r="C70" s="203"/>
      <c r="D70" s="203"/>
      <c r="E70" s="216" t="s">
        <v>106</v>
      </c>
      <c r="F70" s="217"/>
      <c r="G70" s="132">
        <v>3</v>
      </c>
      <c r="H70" s="133" t="s">
        <v>40</v>
      </c>
      <c r="I70" s="12">
        <v>6000</v>
      </c>
      <c r="J70" s="12">
        <f t="shared" si="2"/>
        <v>18000</v>
      </c>
      <c r="K70" s="17"/>
      <c r="L70" s="25"/>
    </row>
    <row r="71" spans="2:12" s="3" customFormat="1" ht="18">
      <c r="B71" s="200" t="s">
        <v>135</v>
      </c>
      <c r="C71" s="203"/>
      <c r="D71" s="203"/>
      <c r="E71" s="216" t="s">
        <v>77</v>
      </c>
      <c r="F71" s="217"/>
      <c r="G71" s="132">
        <v>1</v>
      </c>
      <c r="H71" s="133" t="s">
        <v>43</v>
      </c>
      <c r="I71" s="12">
        <v>25000</v>
      </c>
      <c r="J71" s="12">
        <f t="shared" si="2"/>
        <v>25000</v>
      </c>
      <c r="K71" s="17"/>
      <c r="L71" s="25"/>
    </row>
    <row r="72" spans="2:14" ht="18" customHeight="1">
      <c r="B72" s="301" t="s">
        <v>24</v>
      </c>
      <c r="C72" s="302"/>
      <c r="D72" s="302"/>
      <c r="E72" s="302"/>
      <c r="F72" s="302"/>
      <c r="G72" s="302"/>
      <c r="H72" s="302"/>
      <c r="I72" s="302"/>
      <c r="J72" s="116">
        <f>SUM(J42:J71)</f>
        <v>3366982</v>
      </c>
      <c r="K72" s="17"/>
      <c r="M72" s="17"/>
      <c r="N72" s="17"/>
    </row>
    <row r="73" spans="2:14" s="3" customFormat="1" ht="18" customHeight="1">
      <c r="B73" s="30"/>
      <c r="C73" s="30"/>
      <c r="D73" s="30"/>
      <c r="E73" s="30"/>
      <c r="F73" s="30"/>
      <c r="G73" s="31"/>
      <c r="H73" s="30"/>
      <c r="I73" s="30"/>
      <c r="J73" s="32"/>
      <c r="K73" s="17"/>
      <c r="M73" s="17"/>
      <c r="N73" s="17"/>
    </row>
    <row r="74" spans="2:16" ht="18" customHeight="1">
      <c r="B74" s="253" t="s">
        <v>25</v>
      </c>
      <c r="C74" s="254"/>
      <c r="D74" s="254"/>
      <c r="E74" s="254"/>
      <c r="F74" s="254"/>
      <c r="G74" s="254"/>
      <c r="H74" s="254"/>
      <c r="I74" s="254"/>
      <c r="J74" s="88">
        <f>J28+J39+J72</f>
        <v>5400982</v>
      </c>
      <c r="K74" s="17"/>
      <c r="M74" s="17"/>
      <c r="N74" s="17"/>
      <c r="O74" s="9"/>
      <c r="P74" s="9"/>
    </row>
    <row r="75" spans="2:16" ht="18" customHeight="1">
      <c r="B75" s="187"/>
      <c r="C75" s="187"/>
      <c r="D75" s="187"/>
      <c r="E75" s="187"/>
      <c r="F75" s="187"/>
      <c r="G75" s="187"/>
      <c r="H75" s="187"/>
      <c r="I75" s="187"/>
      <c r="J75" s="28"/>
      <c r="K75" s="17"/>
      <c r="M75" s="17"/>
      <c r="N75" s="17"/>
      <c r="O75" s="9"/>
      <c r="P75" s="9"/>
    </row>
    <row r="76" spans="2:12" s="3" customFormat="1" ht="18" customHeight="1">
      <c r="B76" s="192" t="s">
        <v>55</v>
      </c>
      <c r="C76" s="193"/>
      <c r="D76" s="194"/>
      <c r="E76" s="287" t="s">
        <v>71</v>
      </c>
      <c r="F76" s="288"/>
      <c r="G76" s="195">
        <v>0.05</v>
      </c>
      <c r="H76" s="196" t="s">
        <v>1</v>
      </c>
      <c r="I76" s="197"/>
      <c r="J76" s="197">
        <f>J74*G76</f>
        <v>270049.10000000003</v>
      </c>
      <c r="K76" s="17"/>
      <c r="L76" s="25"/>
    </row>
    <row r="77" spans="2:14" s="3" customFormat="1" ht="18" customHeight="1">
      <c r="B77" s="83"/>
      <c r="C77" s="83"/>
      <c r="D77" s="83"/>
      <c r="E77" s="83"/>
      <c r="F77" s="83"/>
      <c r="G77" s="33"/>
      <c r="H77" s="83"/>
      <c r="I77" s="83"/>
      <c r="J77" s="28"/>
      <c r="K77" s="17"/>
      <c r="M77" s="17"/>
      <c r="N77" s="17"/>
    </row>
    <row r="78" spans="2:14" s="3" customFormat="1" ht="18" customHeight="1">
      <c r="B78" s="109" t="s">
        <v>54</v>
      </c>
      <c r="C78" s="108"/>
      <c r="D78" s="108"/>
      <c r="E78" s="21"/>
      <c r="F78" s="21"/>
      <c r="G78" s="22"/>
      <c r="H78" s="23"/>
      <c r="I78" s="24"/>
      <c r="J78" s="24"/>
      <c r="K78" s="17"/>
      <c r="M78" s="17"/>
      <c r="N78" s="17"/>
    </row>
    <row r="79" spans="2:14" s="3" customFormat="1" ht="18" customHeight="1">
      <c r="B79" s="255" t="s">
        <v>53</v>
      </c>
      <c r="C79" s="208"/>
      <c r="D79" s="208"/>
      <c r="E79" s="208" t="s">
        <v>16</v>
      </c>
      <c r="F79" s="208"/>
      <c r="G79" s="100" t="s">
        <v>17</v>
      </c>
      <c r="H79" s="101" t="s">
        <v>18</v>
      </c>
      <c r="I79" s="102" t="s">
        <v>19</v>
      </c>
      <c r="J79" s="103" t="s">
        <v>3</v>
      </c>
      <c r="K79" s="17"/>
      <c r="M79" s="17"/>
      <c r="N79" s="17"/>
    </row>
    <row r="80" spans="2:15" s="3" customFormat="1" ht="18" customHeight="1">
      <c r="B80" s="234" t="s">
        <v>126</v>
      </c>
      <c r="C80" s="235"/>
      <c r="D80" s="257"/>
      <c r="E80" s="229" t="s">
        <v>71</v>
      </c>
      <c r="F80" s="230"/>
      <c r="G80" s="188">
        <f>E16</f>
        <v>0.015</v>
      </c>
      <c r="H80" s="189" t="s">
        <v>1</v>
      </c>
      <c r="I80" s="190"/>
      <c r="J80" s="191">
        <f>E16*E17*E18*J74</f>
        <v>445581.01499999996</v>
      </c>
      <c r="K80" s="17"/>
      <c r="L80" s="214"/>
      <c r="M80" s="214"/>
      <c r="N80" s="214"/>
      <c r="O80" s="214"/>
    </row>
    <row r="81" spans="2:14" s="3" customFormat="1" ht="18" customHeight="1">
      <c r="B81" s="213" t="s">
        <v>27</v>
      </c>
      <c r="C81" s="214"/>
      <c r="D81" s="215"/>
      <c r="E81" s="251"/>
      <c r="F81" s="252"/>
      <c r="G81" s="89"/>
      <c r="H81" s="89"/>
      <c r="I81" s="89"/>
      <c r="J81" s="91"/>
      <c r="K81" s="17"/>
      <c r="M81" s="17"/>
      <c r="N81" s="17"/>
    </row>
    <row r="82" spans="2:14" s="3" customFormat="1" ht="18" customHeight="1">
      <c r="B82" s="213" t="s">
        <v>2</v>
      </c>
      <c r="C82" s="214"/>
      <c r="D82" s="215"/>
      <c r="E82" s="251"/>
      <c r="F82" s="252"/>
      <c r="G82" s="89"/>
      <c r="H82" s="89"/>
      <c r="I82" s="89"/>
      <c r="J82" s="91"/>
      <c r="K82" s="17"/>
      <c r="M82" s="17"/>
      <c r="N82" s="17"/>
    </row>
    <row r="83" spans="2:14" s="3" customFormat="1" ht="18" customHeight="1">
      <c r="B83" s="226" t="s">
        <v>28</v>
      </c>
      <c r="C83" s="227"/>
      <c r="D83" s="228"/>
      <c r="E83" s="258"/>
      <c r="F83" s="259"/>
      <c r="G83" s="90"/>
      <c r="H83" s="90"/>
      <c r="I83" s="90"/>
      <c r="J83" s="92"/>
      <c r="K83" s="9"/>
      <c r="M83" s="17"/>
      <c r="N83" s="17"/>
    </row>
    <row r="84" spans="2:14" ht="18" customHeight="1">
      <c r="B84" s="266" t="s">
        <v>50</v>
      </c>
      <c r="C84" s="267"/>
      <c r="D84" s="267"/>
      <c r="E84" s="267"/>
      <c r="F84" s="267"/>
      <c r="G84" s="267"/>
      <c r="H84" s="267"/>
      <c r="I84" s="267"/>
      <c r="J84" s="114">
        <f>SUM(J80:J83)</f>
        <v>445581.01499999996</v>
      </c>
      <c r="M84" s="17"/>
      <c r="N84" s="17"/>
    </row>
    <row r="85" spans="2:12" s="3" customFormat="1" ht="18" customHeight="1">
      <c r="B85" s="82"/>
      <c r="C85" s="82"/>
      <c r="D85" s="82"/>
      <c r="E85" s="82"/>
      <c r="F85" s="82"/>
      <c r="G85" s="26"/>
      <c r="H85" s="82"/>
      <c r="I85" s="82"/>
      <c r="J85" s="28"/>
      <c r="K85" s="17"/>
      <c r="L85" s="17"/>
    </row>
    <row r="86" spans="2:12" ht="18" customHeight="1">
      <c r="B86" s="264" t="s">
        <v>29</v>
      </c>
      <c r="C86" s="265"/>
      <c r="D86" s="265"/>
      <c r="E86" s="265"/>
      <c r="F86" s="265"/>
      <c r="G86" s="265"/>
      <c r="H86" s="265"/>
      <c r="I86" s="265"/>
      <c r="J86" s="268">
        <f>J74+J76+J84</f>
        <v>6116612.114999999</v>
      </c>
      <c r="K86" s="17"/>
      <c r="L86" s="17"/>
    </row>
    <row r="87" spans="2:12" s="3" customFormat="1" ht="18" customHeight="1">
      <c r="B87" s="266"/>
      <c r="C87" s="267"/>
      <c r="D87" s="267"/>
      <c r="E87" s="267"/>
      <c r="F87" s="267"/>
      <c r="G87" s="267"/>
      <c r="H87" s="267"/>
      <c r="I87" s="267"/>
      <c r="J87" s="269"/>
      <c r="K87" s="17"/>
      <c r="L87" s="17"/>
    </row>
    <row r="88" spans="2:12" s="3" customFormat="1" ht="18" customHeight="1">
      <c r="B88" s="82"/>
      <c r="C88" s="82"/>
      <c r="D88" s="82"/>
      <c r="E88" s="82"/>
      <c r="F88" s="82"/>
      <c r="G88" s="26"/>
      <c r="H88" s="82"/>
      <c r="I88" s="82"/>
      <c r="J88" s="28"/>
      <c r="K88" s="17"/>
      <c r="L88" s="17"/>
    </row>
    <row r="89" spans="2:12" s="3" customFormat="1" ht="18" customHeight="1">
      <c r="B89" s="82"/>
      <c r="C89" s="82"/>
      <c r="D89" s="82"/>
      <c r="E89" s="82"/>
      <c r="F89" s="82"/>
      <c r="G89" s="26"/>
      <c r="H89" s="82"/>
      <c r="I89" s="82"/>
      <c r="J89" s="28"/>
      <c r="K89" s="17"/>
      <c r="L89" s="17"/>
    </row>
    <row r="90" spans="2:12" ht="18" customHeight="1">
      <c r="B90" s="243" t="s">
        <v>127</v>
      </c>
      <c r="C90" s="244"/>
      <c r="D90" s="244"/>
      <c r="E90" s="244"/>
      <c r="F90" s="244"/>
      <c r="G90" s="244"/>
      <c r="H90" s="244"/>
      <c r="I90" s="244"/>
      <c r="J90" s="245"/>
      <c r="K90" s="17"/>
      <c r="L90" s="25"/>
    </row>
    <row r="91" spans="2:12" ht="18" customHeight="1">
      <c r="B91" s="246" t="s">
        <v>100</v>
      </c>
      <c r="C91" s="247"/>
      <c r="D91" s="247"/>
      <c r="E91" s="247"/>
      <c r="F91" s="247"/>
      <c r="G91" s="247"/>
      <c r="H91" s="247"/>
      <c r="I91" s="247"/>
      <c r="J91" s="248"/>
      <c r="K91" s="17"/>
      <c r="L91" s="25"/>
    </row>
    <row r="92" spans="2:12" s="3" customFormat="1" ht="18" customHeight="1">
      <c r="B92" s="263" t="s">
        <v>101</v>
      </c>
      <c r="C92" s="263"/>
      <c r="D92" s="263"/>
      <c r="E92" s="303" t="s">
        <v>102</v>
      </c>
      <c r="F92" s="304"/>
      <c r="G92" s="304"/>
      <c r="H92" s="304"/>
      <c r="I92" s="304"/>
      <c r="J92" s="305"/>
      <c r="K92" s="17"/>
      <c r="L92" s="25"/>
    </row>
    <row r="93" spans="2:12" s="3" customFormat="1" ht="18" customHeight="1">
      <c r="B93" s="263"/>
      <c r="C93" s="263"/>
      <c r="D93" s="263"/>
      <c r="E93" s="249">
        <f>G93*0.9</f>
        <v>630</v>
      </c>
      <c r="F93" s="249"/>
      <c r="G93" s="250">
        <f>E14</f>
        <v>700</v>
      </c>
      <c r="H93" s="250"/>
      <c r="I93" s="249">
        <f>G93*1.1</f>
        <v>770.0000000000001</v>
      </c>
      <c r="J93" s="249"/>
      <c r="K93" s="17"/>
      <c r="L93" s="25"/>
    </row>
    <row r="94" spans="2:12" s="3" customFormat="1" ht="18" customHeight="1">
      <c r="B94" s="249">
        <f>B95*0.9</f>
        <v>13500</v>
      </c>
      <c r="C94" s="249"/>
      <c r="D94" s="249"/>
      <c r="E94" s="233">
        <f>E$93*$B$94-Hoja1!$C$41</f>
        <v>2520390.3965</v>
      </c>
      <c r="F94" s="233"/>
      <c r="G94" s="233">
        <f>G$93*$B$94-Hoja1!$C$41</f>
        <v>3465390.3965</v>
      </c>
      <c r="H94" s="233"/>
      <c r="I94" s="233">
        <f>I$93*$B$94-Hoja1!$C$41</f>
        <v>4410390.396500002</v>
      </c>
      <c r="J94" s="233"/>
      <c r="K94" s="17"/>
      <c r="L94" s="25"/>
    </row>
    <row r="95" spans="2:12" s="3" customFormat="1" ht="18" customHeight="1">
      <c r="B95" s="249">
        <f>E13</f>
        <v>15000</v>
      </c>
      <c r="C95" s="249"/>
      <c r="D95" s="249"/>
      <c r="E95" s="233">
        <f>E$93*$B$95-$J$86</f>
        <v>3333387.8850000007</v>
      </c>
      <c r="F95" s="233"/>
      <c r="G95" s="233">
        <f>G$93*$B$95-$J$86</f>
        <v>4383387.885000001</v>
      </c>
      <c r="H95" s="233"/>
      <c r="I95" s="233">
        <f>I$93*$B$95-$J$86</f>
        <v>5433387.885000003</v>
      </c>
      <c r="J95" s="233"/>
      <c r="K95" s="17"/>
      <c r="L95" s="25"/>
    </row>
    <row r="96" spans="2:12" s="3" customFormat="1" ht="18" customHeight="1">
      <c r="B96" s="249">
        <f>B95*1.1</f>
        <v>16500</v>
      </c>
      <c r="C96" s="249"/>
      <c r="D96" s="249"/>
      <c r="E96" s="233">
        <f>E$93*$B$96-Hoja1!$D$41</f>
        <v>4144954.3735000007</v>
      </c>
      <c r="F96" s="233"/>
      <c r="G96" s="233">
        <f>G$93*$B$96-Hoja1!$D$41</f>
        <v>5299954.373500001</v>
      </c>
      <c r="H96" s="233"/>
      <c r="I96" s="233">
        <f>I$93*$B$96-Hoja1!$D$41</f>
        <v>6454954.373500003</v>
      </c>
      <c r="J96" s="233"/>
      <c r="K96" s="17"/>
      <c r="L96" s="25"/>
    </row>
    <row r="97" spans="2:12" s="3" customFormat="1" ht="18" customHeight="1">
      <c r="B97" s="35"/>
      <c r="C97" s="35"/>
      <c r="D97" s="36"/>
      <c r="E97" s="36"/>
      <c r="F97" s="36"/>
      <c r="G97" s="37"/>
      <c r="H97" s="13"/>
      <c r="I97" s="16"/>
      <c r="J97" s="16"/>
      <c r="K97" s="17"/>
      <c r="L97" s="25"/>
    </row>
    <row r="98" spans="2:12" s="3" customFormat="1" ht="18" customHeight="1">
      <c r="B98" s="271" t="s">
        <v>128</v>
      </c>
      <c r="C98" s="272"/>
      <c r="D98" s="272"/>
      <c r="E98" s="272"/>
      <c r="F98" s="272"/>
      <c r="G98" s="272"/>
      <c r="H98" s="272"/>
      <c r="I98" s="272"/>
      <c r="J98" s="273"/>
      <c r="K98" s="17"/>
      <c r="L98" s="25"/>
    </row>
    <row r="99" spans="2:12" s="3" customFormat="1" ht="18" customHeight="1">
      <c r="B99" s="274"/>
      <c r="C99" s="275"/>
      <c r="D99" s="275"/>
      <c r="E99" s="275"/>
      <c r="F99" s="275"/>
      <c r="G99" s="275"/>
      <c r="H99" s="275"/>
      <c r="I99" s="275"/>
      <c r="J99" s="276"/>
      <c r="K99" s="17"/>
      <c r="L99" s="25"/>
    </row>
    <row r="100" spans="2:12" s="3" customFormat="1" ht="18" customHeight="1">
      <c r="B100" s="294" t="s">
        <v>101</v>
      </c>
      <c r="C100" s="277"/>
      <c r="D100" s="277"/>
      <c r="E100" s="277">
        <f>B94</f>
        <v>13500</v>
      </c>
      <c r="F100" s="277"/>
      <c r="G100" s="277">
        <f>E13</f>
        <v>15000</v>
      </c>
      <c r="H100" s="277"/>
      <c r="I100" s="277">
        <f>B96</f>
        <v>16500</v>
      </c>
      <c r="J100" s="299"/>
      <c r="K100" s="17"/>
      <c r="L100" s="25"/>
    </row>
    <row r="101" spans="2:12" ht="18" customHeight="1">
      <c r="B101" s="295"/>
      <c r="C101" s="278"/>
      <c r="D101" s="278"/>
      <c r="E101" s="278"/>
      <c r="F101" s="278"/>
      <c r="G101" s="278"/>
      <c r="H101" s="278"/>
      <c r="I101" s="278"/>
      <c r="J101" s="300"/>
      <c r="K101" s="17"/>
      <c r="L101" s="25"/>
    </row>
    <row r="102" spans="2:12" ht="18" customHeight="1">
      <c r="B102" s="282" t="s">
        <v>103</v>
      </c>
      <c r="C102" s="283"/>
      <c r="D102" s="283"/>
      <c r="E102" s="286">
        <f>Hoja1!C41/Ajo!E100</f>
        <v>443.3044150740741</v>
      </c>
      <c r="F102" s="286"/>
      <c r="G102" s="270">
        <f>$J$86/G100</f>
        <v>407.77414099999993</v>
      </c>
      <c r="H102" s="270"/>
      <c r="I102" s="286">
        <f>Hoja1!D41/Ajo!I100</f>
        <v>378.790644030303</v>
      </c>
      <c r="J102" s="292"/>
      <c r="K102" s="17"/>
      <c r="L102" s="25"/>
    </row>
    <row r="103" spans="2:12" ht="18" customHeight="1">
      <c r="B103" s="284"/>
      <c r="C103" s="285"/>
      <c r="D103" s="285"/>
      <c r="E103" s="270"/>
      <c r="F103" s="270"/>
      <c r="G103" s="270"/>
      <c r="H103" s="270"/>
      <c r="I103" s="270"/>
      <c r="J103" s="293"/>
      <c r="K103" s="17"/>
      <c r="L103" s="25"/>
    </row>
    <row r="104" spans="2:12" ht="18" customHeight="1">
      <c r="B104" s="45"/>
      <c r="C104" s="1"/>
      <c r="D104" s="3"/>
      <c r="E104" s="3"/>
      <c r="F104" s="94"/>
      <c r="G104" s="94"/>
      <c r="H104" s="94"/>
      <c r="I104" s="16"/>
      <c r="J104" s="16"/>
      <c r="K104" s="17"/>
      <c r="L104" s="25"/>
    </row>
    <row r="105" spans="2:11" s="3" customFormat="1" ht="30.75" customHeight="1">
      <c r="B105" s="296" t="s">
        <v>137</v>
      </c>
      <c r="C105" s="297"/>
      <c r="D105" s="297"/>
      <c r="E105" s="297"/>
      <c r="F105" s="297"/>
      <c r="G105" s="297"/>
      <c r="H105" s="297"/>
      <c r="I105" s="297"/>
      <c r="J105" s="298"/>
      <c r="K105" s="80"/>
    </row>
    <row r="106" spans="2:11" s="3" customFormat="1" ht="18.75">
      <c r="B106" s="136" t="s">
        <v>97</v>
      </c>
      <c r="C106" s="137"/>
      <c r="D106" s="137"/>
      <c r="E106" s="137"/>
      <c r="F106" s="137"/>
      <c r="G106" s="137"/>
      <c r="H106" s="137"/>
      <c r="I106" s="137"/>
      <c r="J106" s="138"/>
      <c r="K106" s="81"/>
    </row>
    <row r="107" spans="2:11" s="3" customFormat="1" ht="42" customHeight="1">
      <c r="B107" s="289" t="s">
        <v>64</v>
      </c>
      <c r="C107" s="290"/>
      <c r="D107" s="290"/>
      <c r="E107" s="290"/>
      <c r="F107" s="290"/>
      <c r="G107" s="290"/>
      <c r="H107" s="290"/>
      <c r="I107" s="290"/>
      <c r="J107" s="291"/>
      <c r="K107" s="80"/>
    </row>
    <row r="108" spans="2:11" s="3" customFormat="1" ht="18.75">
      <c r="B108" s="279" t="s">
        <v>65</v>
      </c>
      <c r="C108" s="280"/>
      <c r="D108" s="280"/>
      <c r="E108" s="280"/>
      <c r="F108" s="280"/>
      <c r="G108" s="280"/>
      <c r="H108" s="280"/>
      <c r="I108" s="280"/>
      <c r="J108" s="281"/>
      <c r="K108" s="81"/>
    </row>
    <row r="109" spans="2:11" s="3" customFormat="1" ht="18.75">
      <c r="B109" s="139" t="s">
        <v>66</v>
      </c>
      <c r="C109" s="134"/>
      <c r="D109" s="134"/>
      <c r="E109" s="134"/>
      <c r="F109" s="134"/>
      <c r="G109" s="134"/>
      <c r="H109" s="134"/>
      <c r="I109" s="134"/>
      <c r="J109" s="135"/>
      <c r="K109" s="81"/>
    </row>
    <row r="110" spans="2:11" s="3" customFormat="1" ht="18.75">
      <c r="B110" s="279" t="s">
        <v>67</v>
      </c>
      <c r="C110" s="280"/>
      <c r="D110" s="280"/>
      <c r="E110" s="280"/>
      <c r="F110" s="280"/>
      <c r="G110" s="280"/>
      <c r="H110" s="280"/>
      <c r="I110" s="280"/>
      <c r="J110" s="281"/>
      <c r="K110" s="81"/>
    </row>
    <row r="111" spans="2:11" s="3" customFormat="1" ht="18.75">
      <c r="B111" s="240" t="s">
        <v>68</v>
      </c>
      <c r="C111" s="241"/>
      <c r="D111" s="241"/>
      <c r="E111" s="241"/>
      <c r="F111" s="241"/>
      <c r="G111" s="241"/>
      <c r="H111" s="241"/>
      <c r="I111" s="241"/>
      <c r="J111" s="242"/>
      <c r="K111" s="81"/>
    </row>
    <row r="112" spans="2:11" s="3" customFormat="1" ht="18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4"/>
    </row>
    <row r="113" spans="2:11" s="3" customFormat="1" ht="16.5" customHeight="1">
      <c r="B113" s="40"/>
      <c r="C113" s="40"/>
      <c r="D113" s="40"/>
      <c r="E113" s="40"/>
      <c r="F113" s="40"/>
      <c r="G113" s="41"/>
      <c r="H113" s="40"/>
      <c r="I113" s="40"/>
      <c r="J113" s="40"/>
      <c r="K113" s="9"/>
    </row>
    <row r="114" spans="2:11" s="3" customFormat="1" ht="15">
      <c r="B114" s="4"/>
      <c r="C114" s="4"/>
      <c r="D114" s="4"/>
      <c r="E114" s="4"/>
      <c r="F114" s="4"/>
      <c r="G114" s="5"/>
      <c r="H114" s="4"/>
      <c r="I114" s="4"/>
      <c r="J114" s="4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9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9"/>
    </row>
    <row r="118" spans="2:12" s="3" customFormat="1" ht="15">
      <c r="B118" s="66"/>
      <c r="C118" s="66"/>
      <c r="D118" s="66"/>
      <c r="E118" s="66"/>
      <c r="F118" s="66"/>
      <c r="G118" s="67"/>
      <c r="H118" s="66"/>
      <c r="I118" s="66"/>
      <c r="J118" s="66"/>
      <c r="K118" s="68"/>
      <c r="L118" s="66"/>
    </row>
    <row r="119" spans="2:12" s="3" customFormat="1" ht="15">
      <c r="B119" s="66"/>
      <c r="C119" s="66"/>
      <c r="D119" s="66"/>
      <c r="E119" s="66"/>
      <c r="F119" s="66"/>
      <c r="G119" s="67"/>
      <c r="H119" s="66"/>
      <c r="I119" s="66"/>
      <c r="J119" s="66"/>
      <c r="K119" s="68"/>
      <c r="L119" s="66"/>
    </row>
    <row r="120" spans="2:12" s="3" customFormat="1" ht="15">
      <c r="B120" s="66"/>
      <c r="C120" s="66"/>
      <c r="D120" s="66"/>
      <c r="E120" s="66"/>
      <c r="F120" s="66"/>
      <c r="G120" s="67"/>
      <c r="H120" s="66"/>
      <c r="I120" s="66"/>
      <c r="J120" s="66"/>
      <c r="K120" s="68"/>
      <c r="L120" s="66"/>
    </row>
    <row r="121" spans="2:12" s="3" customFormat="1" ht="15">
      <c r="B121" s="66"/>
      <c r="C121" s="66"/>
      <c r="D121" s="66"/>
      <c r="E121" s="66"/>
      <c r="F121" s="66"/>
      <c r="G121" s="67"/>
      <c r="H121" s="66"/>
      <c r="I121" s="66"/>
      <c r="J121" s="66"/>
      <c r="K121" s="68"/>
      <c r="L121" s="66"/>
    </row>
    <row r="122" spans="2:12" ht="18">
      <c r="B122" s="55"/>
      <c r="C122" s="55"/>
      <c r="D122" s="56"/>
      <c r="E122" s="56"/>
      <c r="F122" s="57"/>
      <c r="G122" s="57"/>
      <c r="H122" s="57"/>
      <c r="I122" s="66"/>
      <c r="J122" s="66"/>
      <c r="K122" s="68"/>
      <c r="L122" s="66"/>
    </row>
    <row r="123" spans="2:12" ht="18">
      <c r="B123" s="55"/>
      <c r="C123" s="58"/>
      <c r="D123" s="58"/>
      <c r="E123" s="59"/>
      <c r="F123" s="58"/>
      <c r="G123" s="60"/>
      <c r="H123" s="61"/>
      <c r="I123" s="66"/>
      <c r="J123" s="66"/>
      <c r="K123" s="68"/>
      <c r="L123" s="66"/>
    </row>
    <row r="124" spans="2:12" ht="18">
      <c r="B124" s="56"/>
      <c r="C124" s="56"/>
      <c r="D124" s="56"/>
      <c r="E124" s="56"/>
      <c r="F124" s="56"/>
      <c r="G124" s="56"/>
      <c r="H124" s="56"/>
      <c r="I124" s="66"/>
      <c r="J124" s="66"/>
      <c r="K124" s="68"/>
      <c r="L124" s="66"/>
    </row>
    <row r="125" spans="2:12" ht="18">
      <c r="B125" s="55"/>
      <c r="C125" s="56"/>
      <c r="D125" s="56"/>
      <c r="E125" s="56"/>
      <c r="F125" s="56"/>
      <c r="G125" s="56"/>
      <c r="H125" s="56"/>
      <c r="I125" s="66"/>
      <c r="J125" s="66"/>
      <c r="K125" s="68"/>
      <c r="L125" s="66"/>
    </row>
    <row r="126" spans="2:12" ht="18">
      <c r="B126" s="69"/>
      <c r="C126" s="70"/>
      <c r="D126" s="70"/>
      <c r="E126" s="62"/>
      <c r="F126" s="62"/>
      <c r="G126" s="62"/>
      <c r="H126" s="62"/>
      <c r="I126" s="66"/>
      <c r="J126" s="68"/>
      <c r="K126" s="68"/>
      <c r="L126" s="66"/>
    </row>
    <row r="127" spans="2:12" ht="18">
      <c r="B127" s="69"/>
      <c r="C127" s="70"/>
      <c r="D127" s="70"/>
      <c r="E127" s="62"/>
      <c r="F127" s="62"/>
      <c r="G127" s="62"/>
      <c r="H127" s="62"/>
      <c r="I127" s="66"/>
      <c r="J127" s="68"/>
      <c r="K127" s="68"/>
      <c r="L127" s="66"/>
    </row>
    <row r="128" spans="2:12" ht="18">
      <c r="B128" s="63"/>
      <c r="C128" s="64"/>
      <c r="D128" s="64"/>
      <c r="E128" s="63"/>
      <c r="F128" s="63"/>
      <c r="G128" s="63"/>
      <c r="H128" s="65"/>
      <c r="I128" s="66"/>
      <c r="J128" s="66"/>
      <c r="K128" s="68"/>
      <c r="L128" s="66"/>
    </row>
    <row r="129" spans="2:12" ht="18">
      <c r="B129" s="56"/>
      <c r="C129" s="56"/>
      <c r="D129" s="56"/>
      <c r="E129" s="56"/>
      <c r="F129" s="56"/>
      <c r="G129" s="56"/>
      <c r="H129" s="56"/>
      <c r="I129" s="66"/>
      <c r="J129" s="66"/>
      <c r="K129" s="68"/>
      <c r="L129" s="66"/>
    </row>
    <row r="130" spans="2:12" ht="18">
      <c r="B130" s="55"/>
      <c r="C130" s="56"/>
      <c r="D130" s="56"/>
      <c r="E130" s="56"/>
      <c r="F130" s="56"/>
      <c r="G130" s="56"/>
      <c r="H130" s="56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256"/>
      <c r="C133" s="256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71"/>
      <c r="C137" s="72"/>
      <c r="D137" s="73"/>
      <c r="E137" s="74"/>
      <c r="F137" s="73"/>
      <c r="G137" s="75"/>
      <c r="H137" s="75"/>
      <c r="I137" s="66"/>
      <c r="J137" s="66"/>
      <c r="K137" s="68"/>
      <c r="L137" s="66"/>
    </row>
    <row r="138" spans="2:12" ht="18">
      <c r="B138" s="71"/>
      <c r="C138" s="72"/>
      <c r="D138" s="73"/>
      <c r="E138" s="74"/>
      <c r="F138" s="73"/>
      <c r="G138" s="75"/>
      <c r="H138" s="75"/>
      <c r="I138" s="66"/>
      <c r="J138" s="66"/>
      <c r="K138" s="68"/>
      <c r="L138" s="66"/>
    </row>
    <row r="139" spans="2:12" ht="18">
      <c r="B139" s="71"/>
      <c r="C139" s="72"/>
      <c r="D139" s="73"/>
      <c r="E139" s="74"/>
      <c r="F139" s="73"/>
      <c r="G139" s="75"/>
      <c r="H139" s="75"/>
      <c r="I139" s="66"/>
      <c r="J139" s="66"/>
      <c r="K139" s="68"/>
      <c r="L139" s="66"/>
    </row>
    <row r="140" spans="2:12" ht="18">
      <c r="B140" s="71"/>
      <c r="C140" s="72"/>
      <c r="D140" s="73"/>
      <c r="E140" s="74"/>
      <c r="F140" s="73"/>
      <c r="G140" s="75"/>
      <c r="H140" s="75"/>
      <c r="I140" s="66"/>
      <c r="J140" s="66"/>
      <c r="K140" s="68"/>
      <c r="L140" s="66"/>
    </row>
    <row r="141" spans="2:12" ht="18">
      <c r="B141" s="71"/>
      <c r="C141" s="72"/>
      <c r="D141" s="73"/>
      <c r="E141" s="74"/>
      <c r="F141" s="73"/>
      <c r="G141" s="75"/>
      <c r="H141" s="75"/>
      <c r="I141" s="66"/>
      <c r="J141" s="66"/>
      <c r="K141" s="68"/>
      <c r="L141" s="66"/>
    </row>
    <row r="142" spans="2:12" ht="18">
      <c r="B142" s="71"/>
      <c r="C142" s="72"/>
      <c r="D142" s="73"/>
      <c r="E142" s="74"/>
      <c r="F142" s="73"/>
      <c r="G142" s="75"/>
      <c r="H142" s="75"/>
      <c r="I142" s="66"/>
      <c r="J142" s="66"/>
      <c r="K142" s="68"/>
      <c r="L142" s="66"/>
    </row>
    <row r="143" spans="2:12" ht="18">
      <c r="B143" s="71"/>
      <c r="C143" s="72"/>
      <c r="D143" s="73"/>
      <c r="E143" s="74"/>
      <c r="F143" s="73"/>
      <c r="G143" s="75"/>
      <c r="H143" s="75"/>
      <c r="I143" s="66"/>
      <c r="J143" s="66"/>
      <c r="K143" s="68"/>
      <c r="L143" s="66"/>
    </row>
    <row r="144" spans="2:12" ht="18">
      <c r="B144" s="63"/>
      <c r="C144" s="64"/>
      <c r="D144" s="64"/>
      <c r="E144" s="63"/>
      <c r="F144" s="63"/>
      <c r="G144" s="63"/>
      <c r="H144" s="65"/>
      <c r="I144" s="66"/>
      <c r="J144" s="66"/>
      <c r="K144" s="68"/>
      <c r="L144" s="66"/>
    </row>
    <row r="145" spans="2:12" ht="18">
      <c r="B145" s="56"/>
      <c r="C145" s="56"/>
      <c r="D145" s="56"/>
      <c r="E145" s="56"/>
      <c r="F145" s="56"/>
      <c r="G145" s="56"/>
      <c r="H145" s="56"/>
      <c r="I145" s="66"/>
      <c r="J145" s="66"/>
      <c r="K145" s="68"/>
      <c r="L145" s="66"/>
    </row>
    <row r="146" spans="2:12" ht="18">
      <c r="B146" s="63"/>
      <c r="C146" s="64"/>
      <c r="D146" s="64"/>
      <c r="E146" s="63"/>
      <c r="F146" s="63"/>
      <c r="G146" s="63"/>
      <c r="H146" s="65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76"/>
      <c r="C157" s="76"/>
      <c r="D157" s="76"/>
      <c r="E157" s="76"/>
      <c r="F157" s="7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8"/>
      <c r="D160" s="68"/>
      <c r="E160" s="68"/>
      <c r="F160" s="68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8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8"/>
      <c r="D167" s="68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7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8"/>
      <c r="C180" s="68"/>
      <c r="D180" s="68"/>
      <c r="E180" s="68"/>
      <c r="F180" s="68"/>
      <c r="G180" s="68"/>
      <c r="H180" s="68"/>
      <c r="I180" s="68"/>
      <c r="J180" s="66"/>
      <c r="K180" s="68"/>
      <c r="L180" s="66"/>
    </row>
    <row r="181" spans="2:12" s="3" customFormat="1" ht="15">
      <c r="B181" s="68"/>
      <c r="C181" s="68"/>
      <c r="D181" s="68"/>
      <c r="E181" s="68"/>
      <c r="F181" s="68"/>
      <c r="G181" s="77"/>
      <c r="H181" s="68"/>
      <c r="I181" s="68"/>
      <c r="J181" s="66"/>
      <c r="K181" s="68"/>
      <c r="L181" s="77"/>
    </row>
    <row r="182" spans="2:12" s="3" customFormat="1" ht="15">
      <c r="B182" s="68"/>
      <c r="C182" s="68"/>
      <c r="D182" s="68"/>
      <c r="E182" s="68"/>
      <c r="F182" s="68"/>
      <c r="G182" s="68"/>
      <c r="H182" s="68"/>
      <c r="I182" s="7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8"/>
      <c r="I189" s="68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8"/>
      <c r="I190" s="68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8"/>
      <c r="I191" s="68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8"/>
      <c r="I198" s="68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8"/>
      <c r="I199" s="68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8"/>
      <c r="I200" s="68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s="3" customFormat="1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s="3" customFormat="1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s="3" customFormat="1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ht="1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ht="1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  <row r="323" spans="2:12" ht="15">
      <c r="B323" s="66"/>
      <c r="C323" s="66"/>
      <c r="D323" s="66"/>
      <c r="E323" s="66"/>
      <c r="F323" s="66"/>
      <c r="G323" s="67"/>
      <c r="H323" s="66"/>
      <c r="I323" s="66"/>
      <c r="J323" s="66"/>
      <c r="K323" s="68"/>
      <c r="L323" s="66"/>
    </row>
    <row r="324" spans="2:12" ht="15">
      <c r="B324" s="66"/>
      <c r="C324" s="66"/>
      <c r="D324" s="66"/>
      <c r="E324" s="66"/>
      <c r="F324" s="66"/>
      <c r="G324" s="67"/>
      <c r="H324" s="66"/>
      <c r="I324" s="66"/>
      <c r="J324" s="66"/>
      <c r="K324" s="68"/>
      <c r="L324" s="66"/>
    </row>
    <row r="325" spans="2:12" ht="15">
      <c r="B325" s="66"/>
      <c r="C325" s="66"/>
      <c r="D325" s="66"/>
      <c r="E325" s="66"/>
      <c r="F325" s="66"/>
      <c r="G325" s="67"/>
      <c r="H325" s="66"/>
      <c r="I325" s="66"/>
      <c r="J325" s="66"/>
      <c r="K325" s="68"/>
      <c r="L325" s="66"/>
    </row>
  </sheetData>
  <sheetProtection/>
  <mergeCells count="113">
    <mergeCell ref="I100:J101"/>
    <mergeCell ref="E55:F55"/>
    <mergeCell ref="G94:H94"/>
    <mergeCell ref="G96:H96"/>
    <mergeCell ref="B72:I72"/>
    <mergeCell ref="E58:F58"/>
    <mergeCell ref="E61:F61"/>
    <mergeCell ref="E56:F56"/>
    <mergeCell ref="E92:J92"/>
    <mergeCell ref="B100:D101"/>
    <mergeCell ref="B105:J105"/>
    <mergeCell ref="E37:F37"/>
    <mergeCell ref="G95:H95"/>
    <mergeCell ref="E81:F81"/>
    <mergeCell ref="E38:F38"/>
    <mergeCell ref="E62:F62"/>
    <mergeCell ref="I95:J95"/>
    <mergeCell ref="I96:J96"/>
    <mergeCell ref="G100:H101"/>
    <mergeCell ref="G102:H103"/>
    <mergeCell ref="B94:D94"/>
    <mergeCell ref="B98:J99"/>
    <mergeCell ref="E100:F101"/>
    <mergeCell ref="B110:J110"/>
    <mergeCell ref="B102:D103"/>
    <mergeCell ref="E102:F103"/>
    <mergeCell ref="B108:J108"/>
    <mergeCell ref="B107:J107"/>
    <mergeCell ref="I102:J103"/>
    <mergeCell ref="B92:D93"/>
    <mergeCell ref="E41:F41"/>
    <mergeCell ref="E44:F44"/>
    <mergeCell ref="E60:F60"/>
    <mergeCell ref="B86:I87"/>
    <mergeCell ref="J86:J87"/>
    <mergeCell ref="E70:F70"/>
    <mergeCell ref="B84:I84"/>
    <mergeCell ref="E76:F76"/>
    <mergeCell ref="E52:F52"/>
    <mergeCell ref="B34:D34"/>
    <mergeCell ref="E27:F27"/>
    <mergeCell ref="E57:F57"/>
    <mergeCell ref="E42:F42"/>
    <mergeCell ref="E45:F45"/>
    <mergeCell ref="E53:F53"/>
    <mergeCell ref="B39:I39"/>
    <mergeCell ref="B41:D41"/>
    <mergeCell ref="B133:C133"/>
    <mergeCell ref="B80:D80"/>
    <mergeCell ref="E71:F71"/>
    <mergeCell ref="E63:F63"/>
    <mergeCell ref="E80:F80"/>
    <mergeCell ref="E94:F94"/>
    <mergeCell ref="E93:F93"/>
    <mergeCell ref="E83:F83"/>
    <mergeCell ref="E65:F65"/>
    <mergeCell ref="E68:F68"/>
    <mergeCell ref="L80:O80"/>
    <mergeCell ref="B82:D82"/>
    <mergeCell ref="B81:D81"/>
    <mergeCell ref="E82:F82"/>
    <mergeCell ref="B74:I74"/>
    <mergeCell ref="E67:F67"/>
    <mergeCell ref="E69:F69"/>
    <mergeCell ref="B79:D79"/>
    <mergeCell ref="E79:F79"/>
    <mergeCell ref="B111:J111"/>
    <mergeCell ref="B90:J90"/>
    <mergeCell ref="B91:J91"/>
    <mergeCell ref="B83:D83"/>
    <mergeCell ref="B95:D95"/>
    <mergeCell ref="B96:D96"/>
    <mergeCell ref="I94:J94"/>
    <mergeCell ref="E95:F95"/>
    <mergeCell ref="I93:J93"/>
    <mergeCell ref="G93:H93"/>
    <mergeCell ref="E66:F66"/>
    <mergeCell ref="E59:F59"/>
    <mergeCell ref="E96:F96"/>
    <mergeCell ref="B21:D21"/>
    <mergeCell ref="E23:F23"/>
    <mergeCell ref="E35:F35"/>
    <mergeCell ref="B31:D31"/>
    <mergeCell ref="E31:F31"/>
    <mergeCell ref="B28:I28"/>
    <mergeCell ref="E51:F51"/>
    <mergeCell ref="B2:J2"/>
    <mergeCell ref="E3:G3"/>
    <mergeCell ref="B12:E12"/>
    <mergeCell ref="G12:J12"/>
    <mergeCell ref="D4:H4"/>
    <mergeCell ref="B27:D27"/>
    <mergeCell ref="E22:F22"/>
    <mergeCell ref="B24:D24"/>
    <mergeCell ref="E24:F24"/>
    <mergeCell ref="B14:D14"/>
    <mergeCell ref="E48:F48"/>
    <mergeCell ref="E32:F32"/>
    <mergeCell ref="E25:F25"/>
    <mergeCell ref="B30:D30"/>
    <mergeCell ref="E34:F34"/>
    <mergeCell ref="B32:D32"/>
    <mergeCell ref="E26:F26"/>
    <mergeCell ref="E47:F47"/>
    <mergeCell ref="E46:F46"/>
    <mergeCell ref="E21:F21"/>
    <mergeCell ref="E20:F20"/>
    <mergeCell ref="D6:J6"/>
    <mergeCell ref="B25:D25"/>
    <mergeCell ref="E30:F30"/>
    <mergeCell ref="B38:D38"/>
    <mergeCell ref="E33:F33"/>
    <mergeCell ref="E36:F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1"/>
  <sheetViews>
    <sheetView zoomScale="70" zoomScaleNormal="70" zoomScalePageLayoutView="0" workbookViewId="0" topLeftCell="A1">
      <selection activeCell="C2" sqref="C2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33</v>
      </c>
      <c r="C2" s="49">
        <f>((Ajo!E13-15000)/15000)+1</f>
        <v>1</v>
      </c>
    </row>
    <row r="3" ht="18">
      <c r="B3" s="14"/>
    </row>
    <row r="4" spans="2:3" ht="18">
      <c r="B4" s="306" t="s">
        <v>34</v>
      </c>
      <c r="C4" s="306"/>
    </row>
    <row r="5" spans="2:4" ht="18">
      <c r="B5" s="118"/>
      <c r="C5" s="119"/>
      <c r="D5" s="127"/>
    </row>
    <row r="6" spans="2:5" ht="18">
      <c r="B6" s="226" t="s">
        <v>136</v>
      </c>
      <c r="C6" s="227"/>
      <c r="D6" s="228"/>
      <c r="E6" s="3">
        <v>15000</v>
      </c>
    </row>
    <row r="7" spans="2:4" ht="15">
      <c r="B7" s="27"/>
      <c r="C7" s="27"/>
      <c r="D7" s="27"/>
    </row>
    <row r="15" spans="2:4" ht="15">
      <c r="B15" s="307" t="s">
        <v>30</v>
      </c>
      <c r="C15" s="307"/>
      <c r="D15" s="307"/>
    </row>
    <row r="17" spans="2:4" ht="18">
      <c r="B17" s="48" t="s">
        <v>32</v>
      </c>
      <c r="C17" s="47">
        <f>Ajo!B94</f>
        <v>13500</v>
      </c>
      <c r="D17" s="47">
        <f>Ajo!B96</f>
        <v>16500</v>
      </c>
    </row>
    <row r="18" ht="15">
      <c r="B18" s="25"/>
    </row>
    <row r="19" spans="2:4" ht="15">
      <c r="B19" s="46" t="s">
        <v>33</v>
      </c>
      <c r="C19" s="49">
        <f>((C17-Ajo!E13)/Ajo!E13)+1</f>
        <v>0.9</v>
      </c>
      <c r="D19" s="49">
        <f>((D17-Ajo!E13)/Ajo!E13)+1</f>
        <v>1.1</v>
      </c>
    </row>
    <row r="20" spans="2:4" ht="18">
      <c r="B20" s="18"/>
      <c r="C20" s="47"/>
      <c r="D20" s="47"/>
    </row>
    <row r="21" spans="2:4" ht="18">
      <c r="B21" s="48" t="s">
        <v>20</v>
      </c>
      <c r="C21" s="47"/>
      <c r="D21" s="47"/>
    </row>
    <row r="22" spans="2:4" ht="18">
      <c r="B22" s="18" t="s">
        <v>35</v>
      </c>
      <c r="C22" s="9">
        <f>SUM(Ajo!J22:J26)</f>
        <v>954000</v>
      </c>
      <c r="D22" s="9">
        <f>SUM(Ajo!J22:J26)</f>
        <v>954000</v>
      </c>
    </row>
    <row r="23" spans="2:4" ht="18">
      <c r="B23" s="50" t="s">
        <v>36</v>
      </c>
      <c r="C23" s="51">
        <f>SUM(Ajo!J27)*Hoja1!C19</f>
        <v>486000</v>
      </c>
      <c r="D23" s="51">
        <f>SUM(Ajo!J27)*Hoja1!D19</f>
        <v>594000</v>
      </c>
    </row>
    <row r="24" spans="2:4" ht="18">
      <c r="B24" s="18" t="s">
        <v>37</v>
      </c>
      <c r="C24" s="9">
        <f>SUM(C22:C23)</f>
        <v>1440000</v>
      </c>
      <c r="D24" s="9">
        <f>SUM(D22:D23)</f>
        <v>1548000</v>
      </c>
    </row>
    <row r="25" ht="18">
      <c r="B25" s="18"/>
    </row>
    <row r="26" ht="18">
      <c r="B26" s="48" t="s">
        <v>22</v>
      </c>
    </row>
    <row r="27" spans="2:4" ht="18">
      <c r="B27" s="18" t="s">
        <v>35</v>
      </c>
      <c r="C27" s="9">
        <f>SUM(Ajo!J31:J38)</f>
        <v>540000</v>
      </c>
      <c r="D27" s="9">
        <f>SUM(Ajo!J31:J38)</f>
        <v>540000</v>
      </c>
    </row>
    <row r="28" spans="2:4" ht="18">
      <c r="B28" s="50" t="s">
        <v>36</v>
      </c>
      <c r="C28" s="51">
        <v>0</v>
      </c>
      <c r="D28" s="51">
        <v>0</v>
      </c>
    </row>
    <row r="29" spans="2:4" ht="18">
      <c r="B29" s="18" t="s">
        <v>37</v>
      </c>
      <c r="C29" s="9">
        <f>SUM(C27:C28)</f>
        <v>540000</v>
      </c>
      <c r="D29" s="9">
        <f>SUM(D27:D28)</f>
        <v>540000</v>
      </c>
    </row>
    <row r="31" ht="18">
      <c r="B31" s="48" t="s">
        <v>38</v>
      </c>
    </row>
    <row r="32" spans="2:4" ht="18">
      <c r="B32" s="18" t="s">
        <v>35</v>
      </c>
      <c r="C32" s="9">
        <f>SUM(Ajo!J42:J71)</f>
        <v>3366982</v>
      </c>
      <c r="D32" s="9">
        <f>SUM(Ajo!J42:J71)</f>
        <v>3366982</v>
      </c>
    </row>
    <row r="33" spans="2:4" ht="18">
      <c r="B33" s="50" t="s">
        <v>36</v>
      </c>
      <c r="C33" s="51">
        <v>0</v>
      </c>
      <c r="D33" s="51">
        <v>0</v>
      </c>
    </row>
    <row r="34" spans="2:4" ht="18">
      <c r="B34" s="18" t="s">
        <v>37</v>
      </c>
      <c r="C34" s="9">
        <f>SUM(C32:C33)</f>
        <v>3366982</v>
      </c>
      <c r="D34" s="9">
        <f>SUM(D32:D33)</f>
        <v>3366982</v>
      </c>
    </row>
    <row r="35" spans="2:4" ht="15">
      <c r="B35" s="25"/>
      <c r="C35" s="29"/>
      <c r="D35" s="29"/>
    </row>
    <row r="36" spans="2:4" ht="18">
      <c r="B36" s="53" t="s">
        <v>39</v>
      </c>
      <c r="C36" s="54">
        <f>C24+C29+C34</f>
        <v>5346982</v>
      </c>
      <c r="D36" s="54">
        <f>D24+D29+D34</f>
        <v>5454982</v>
      </c>
    </row>
    <row r="37" ht="15">
      <c r="B37" s="25"/>
    </row>
    <row r="38" spans="2:4" ht="18">
      <c r="B38" s="52" t="s">
        <v>0</v>
      </c>
      <c r="C38" s="9">
        <f>C36*C19*Ajo!G76</f>
        <v>240614.19</v>
      </c>
      <c r="D38" s="9">
        <f>D36*D19*Ajo!G76</f>
        <v>300024.01</v>
      </c>
    </row>
    <row r="39" spans="2:4" ht="18">
      <c r="B39" s="52" t="s">
        <v>26</v>
      </c>
      <c r="C39" s="9">
        <f>C36*C19*Ajo!E16*Ajo!E17*Ajo!E18</f>
        <v>397013.41349999997</v>
      </c>
      <c r="D39" s="9">
        <f>D36*D19*Ajo!E16*Ajo!E17*Ajo!E18</f>
        <v>495039.61649999995</v>
      </c>
    </row>
    <row r="40" ht="15">
      <c r="B40" s="25"/>
    </row>
    <row r="41" spans="2:4" ht="18">
      <c r="B41" s="53" t="s">
        <v>29</v>
      </c>
      <c r="C41" s="54">
        <f>C36+C38+C39</f>
        <v>5984609.6035</v>
      </c>
      <c r="D41" s="54">
        <f>D36+D38+D39</f>
        <v>6250045.626499999</v>
      </c>
    </row>
  </sheetData>
  <sheetProtection/>
  <mergeCells count="3">
    <mergeCell ref="B4:C4"/>
    <mergeCell ref="B15:D15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2015-07-15T16:15:42Z</cp:lastPrinted>
  <dcterms:created xsi:type="dcterms:W3CDTF">2012-07-09T18:51:50Z</dcterms:created>
  <dcterms:modified xsi:type="dcterms:W3CDTF">2017-10-06T19:12:38Z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