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lcachofa_española_coquimbo" sheetId="1" r:id="rId1"/>
    <sheet name="Hoja1" sheetId="2" state="hidden" r:id="rId2"/>
  </sheets>
  <definedNames>
    <definedName name="_xlnm.Print_Area" localSheetId="0">'alcachofa_española_coquimbo'!$A$1:$K$108</definedName>
  </definedNames>
  <calcPr fullCalcOnLoad="1"/>
</workbook>
</file>

<file path=xl/sharedStrings.xml><?xml version="1.0" encoding="utf-8"?>
<sst xmlns="http://schemas.openxmlformats.org/spreadsheetml/2006/main" count="194" uniqueCount="136">
  <si>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</si>
  <si>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</si>
  <si>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</si>
  <si>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</si>
  <si>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</si>
  <si>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</si>
  <si>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</si>
  <si>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</si>
  <si>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</si>
  <si>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</si>
  <si>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</si>
  <si>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</si>
  <si>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</si>
  <si>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</si>
  <si>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</si>
  <si>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</si>
  <si>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</si>
  <si>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</si>
  <si>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</si>
  <si>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</si>
  <si>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</si>
  <si>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</si>
  <si>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</si>
  <si>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</si>
  <si>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</si>
  <si>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</si>
  <si>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</si>
  <si>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</si>
  <si>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</si>
  <si>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</si>
  <si>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</si>
  <si>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</si>
  <si>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</si>
  <si>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</si>
  <si>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</si>
  <si>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Herbicida:</t>
  </si>
  <si>
    <t>Tecnología: Media</t>
  </si>
  <si>
    <t>Urea</t>
  </si>
  <si>
    <t>Acequiadura</t>
  </si>
  <si>
    <t>Control manual de malezas</t>
  </si>
  <si>
    <t>Energía para el riego</t>
  </si>
  <si>
    <t>Break thru</t>
  </si>
  <si>
    <t>Mezcla hortalicera incorporada</t>
  </si>
  <si>
    <t>Salitre potasico</t>
  </si>
  <si>
    <t>Alcachofa</t>
  </si>
  <si>
    <t xml:space="preserve">  </t>
  </si>
  <si>
    <t>Variedad: Española.</t>
  </si>
  <si>
    <t>Riego</t>
  </si>
  <si>
    <t>Acarreo de insumos e implementos de cosecha</t>
  </si>
  <si>
    <t>Pasar cultivador</t>
  </si>
  <si>
    <t>Aplicación fertilizantes</t>
  </si>
  <si>
    <t>Deshijadura</t>
  </si>
  <si>
    <t>Aplicación agroquímicos</t>
  </si>
  <si>
    <t>Preparar caminos para la cosecha y mantención</t>
  </si>
  <si>
    <t>Sacar follaje de la cosecha</t>
  </si>
  <si>
    <t>Trituradora restos de cosecha</t>
  </si>
  <si>
    <t>Cultivación entre hileras</t>
  </si>
  <si>
    <t>Melgadura y aplicar fertilizante</t>
  </si>
  <si>
    <t>Aplicación pesticidas</t>
  </si>
  <si>
    <t>1 hectárea septiembre 2018</t>
  </si>
  <si>
    <t>Ficha Técnico Económica</t>
  </si>
  <si>
    <t>Etapa del cultivo: en producción.</t>
  </si>
  <si>
    <t>Rendimiento (unidades/hectárea):</t>
  </si>
  <si>
    <r>
      <t>Precio de venta a productor ($/unidad)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</si>
  <si>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</si>
  <si>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marzo - diciembre</t>
  </si>
  <si>
    <t>marzo - septiembre</t>
  </si>
  <si>
    <t>febrero - junio</t>
  </si>
  <si>
    <t>febrero - agosto</t>
  </si>
  <si>
    <t>marzo - junio</t>
  </si>
  <si>
    <t>febrero - noviembre</t>
  </si>
  <si>
    <t>agosto - septiembre</t>
  </si>
  <si>
    <t>enero - febrero</t>
  </si>
  <si>
    <t>junio - septiembre</t>
  </si>
  <si>
    <t>jornada hombre</t>
  </si>
  <si>
    <t>unidad</t>
  </si>
  <si>
    <t>hectárea</t>
  </si>
  <si>
    <t>febrero</t>
  </si>
  <si>
    <t>febrero - abril</t>
  </si>
  <si>
    <t>kilo</t>
  </si>
  <si>
    <t>litro</t>
  </si>
  <si>
    <t>análisis</t>
  </si>
  <si>
    <t>marzo - abril</t>
  </si>
  <si>
    <t>marzo</t>
  </si>
  <si>
    <t>anual</t>
  </si>
  <si>
    <t>abril - junio</t>
  </si>
  <si>
    <t>junio - julio</t>
  </si>
  <si>
    <t>junio - agosto</t>
  </si>
  <si>
    <t>mayo - junio</t>
  </si>
  <si>
    <t>mayo - julio</t>
  </si>
  <si>
    <t>porcentaje</t>
  </si>
  <si>
    <t>Margen neto ($/hectárea)</t>
  </si>
  <si>
    <t>Precio ($/unidad)</t>
  </si>
  <si>
    <t>Rendimiento (unidades/hectárea)</t>
  </si>
  <si>
    <r>
      <t xml:space="preserve">Cosecha </t>
    </r>
    <r>
      <rPr>
        <vertAlign val="superscript"/>
        <sz val="14"/>
        <rFont val="Arial"/>
        <family val="2"/>
      </rPr>
      <t>(2)</t>
    </r>
  </si>
  <si>
    <t>Periodo</t>
  </si>
  <si>
    <t>Precio($/unidad)</t>
  </si>
  <si>
    <t>Región de Coquimbo</t>
  </si>
  <si>
    <t>Cajas plataneras (promedio 45 unidades de alcachofas/caja)</t>
  </si>
  <si>
    <t>Fecha de cosecha: junio - septiembre</t>
  </si>
  <si>
    <t>Iprodion 50 WP</t>
  </si>
  <si>
    <t>Karate Zeon</t>
  </si>
  <si>
    <t>Punto 70 WP</t>
  </si>
  <si>
    <t>Oxifluorfen 24 EC Agrospec</t>
  </si>
  <si>
    <t>Topas 200 EW</t>
  </si>
  <si>
    <t>Tecnología de riego: riego por surco</t>
  </si>
  <si>
    <t>Destino de producción: consumo fresco</t>
  </si>
  <si>
    <t>Fertilizantes:</t>
  </si>
  <si>
    <t>Costo Unitario ($/unidad)</t>
  </si>
  <si>
    <t>(1) El precio de la cabeza de alcachofa corresponde al promedio de las entrevistas de la región, a nivel predial (precio pagado a productor) durante el periodo de cosecha en la temporada 2018.</t>
  </si>
  <si>
    <t>(2) Costo de la cosecha equivale  a la unidad llamada cabeza,e corta, se lleva a las cajas donde son seleccionadas por el cosechero y en promedio llevan 45 unidades.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</si>
  <si>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</si>
  <si>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</si>
  <si>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</si>
  <si>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</si>
  <si>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</si>
  <si>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</si>
  <si>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</si>
  <si>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</si>
  <si>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</si>
  <si>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minimo para cubrir los costos totales de producción.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</si>
  <si>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</si>
  <si>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Imprevistos (d)</t>
  </si>
  <si>
    <t xml:space="preserve">Imprevistos </t>
  </si>
  <si>
    <t>Costos indirectos (e)</t>
  </si>
  <si>
    <t>Total costos directos (a+b+c+d)</t>
  </si>
  <si>
    <t>Costos directos por hectárea (a+b+c+d)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</si>
  <si>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</si>
  <si>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</si>
  <si>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</si>
  <si>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</si>
  <si>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</si>
  <si>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</si>
  <si>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</si>
  <si>
    <t>(6) 1,5% mensual simple sobre el 50% de los costos directos. Tasa de interés promedio de las empresas distribuidoras de insumos.</t>
  </si>
  <si>
    <t>Densidad (plantas/hectárea)(1,0m x 1,0 m): 10.000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</si>
</sst>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4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5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4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4" fillId="34" borderId="0" xfId="0" applyNumberFormat="1" applyFont="1" applyFill="1" applyAlignment="1">
      <alignment/>
    </xf>
    <xf numFmtId="181" fontId="9" fillId="34" borderId="0" xfId="67" applyNumberFormat="1" applyFont="1" applyFill="1" applyBorder="1">
      <alignment/>
      <protection/>
    </xf>
    <xf numFmtId="0" fontId="55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6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7" fillId="0" borderId="0" xfId="56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center"/>
      <protection/>
    </xf>
    <xf numFmtId="4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3" fontId="57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180" fontId="58" fillId="0" borderId="0" xfId="67" applyFont="1" applyFill="1" applyBorder="1" applyAlignment="1" applyProtection="1">
      <alignment horizontal="left"/>
      <protection/>
    </xf>
    <xf numFmtId="0" fontId="58" fillId="0" borderId="0" xfId="56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180" fontId="58" fillId="0" borderId="0" xfId="67" applyFont="1" applyFill="1" applyBorder="1" applyAlignment="1" applyProtection="1">
      <alignment horizontal="right"/>
      <protection/>
    </xf>
    <xf numFmtId="3" fontId="58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9" fillId="34" borderId="0" xfId="56" applyNumberFormat="1" applyFont="1" applyFill="1" applyBorder="1">
      <alignment/>
      <protection/>
    </xf>
    <xf numFmtId="3" fontId="54" fillId="34" borderId="0" xfId="0" applyNumberFormat="1" applyFont="1" applyFill="1" applyBorder="1" applyAlignment="1">
      <alignment/>
    </xf>
    <xf numFmtId="0" fontId="9" fillId="34" borderId="15" xfId="56" applyFont="1" applyFill="1" applyBorder="1" applyAlignment="1" applyProtection="1">
      <alignment/>
      <protection/>
    </xf>
    <xf numFmtId="0" fontId="9" fillId="34" borderId="16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17" fontId="9" fillId="34" borderId="17" xfId="67" applyNumberFormat="1" applyFont="1" applyFill="1" applyBorder="1" applyAlignment="1" applyProtection="1">
      <alignment/>
      <protection/>
    </xf>
    <xf numFmtId="0" fontId="55" fillId="34" borderId="14" xfId="0" applyFont="1" applyFill="1" applyBorder="1" applyAlignment="1">
      <alignment/>
    </xf>
    <xf numFmtId="181" fontId="9" fillId="34" borderId="14" xfId="67" applyNumberFormat="1" applyFont="1" applyFill="1" applyBorder="1" applyAlignment="1">
      <alignment/>
      <protection/>
    </xf>
    <xf numFmtId="0" fontId="54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9" fillId="34" borderId="18" xfId="67" applyNumberFormat="1" applyFont="1" applyFill="1" applyBorder="1" applyAlignment="1">
      <alignment/>
      <protection/>
    </xf>
    <xf numFmtId="180" fontId="9" fillId="34" borderId="19" xfId="67" applyFont="1" applyFill="1" applyBorder="1" applyAlignment="1" applyProtection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4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9" fillId="34" borderId="11" xfId="67" applyFont="1" applyFill="1" applyBorder="1" applyAlignment="1" applyProtection="1">
      <alignment/>
      <protection/>
    </xf>
    <xf numFmtId="180" fontId="9" fillId="34" borderId="15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181" fontId="9" fillId="34" borderId="13" xfId="67" applyNumberFormat="1" applyFont="1" applyFill="1" applyBorder="1" applyAlignment="1" applyProtection="1">
      <alignment/>
      <protection/>
    </xf>
    <xf numFmtId="0" fontId="54" fillId="34" borderId="13" xfId="0" applyFont="1" applyFill="1" applyBorder="1" applyAlignment="1">
      <alignment/>
    </xf>
    <xf numFmtId="180" fontId="7" fillId="34" borderId="13" xfId="67" applyFont="1" applyFill="1" applyBorder="1" applyAlignment="1" applyProtection="1">
      <alignment/>
      <protection/>
    </xf>
    <xf numFmtId="180" fontId="59" fillId="34" borderId="16" xfId="67" applyFont="1" applyFill="1" applyBorder="1" applyAlignment="1" applyProtection="1">
      <alignment/>
      <protection/>
    </xf>
    <xf numFmtId="0" fontId="55" fillId="34" borderId="13" xfId="0" applyFont="1" applyFill="1" applyBorder="1" applyAlignment="1">
      <alignment/>
    </xf>
    <xf numFmtId="3" fontId="7" fillId="36" borderId="20" xfId="56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8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0" fontId="7" fillId="34" borderId="15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181" fontId="7" fillId="34" borderId="17" xfId="0" applyNumberFormat="1" applyFont="1" applyFill="1" applyBorder="1" applyAlignment="1">
      <alignment/>
    </xf>
    <xf numFmtId="181" fontId="7" fillId="34" borderId="19" xfId="0" applyNumberFormat="1" applyFont="1" applyFill="1" applyBorder="1" applyAlignment="1">
      <alignment/>
    </xf>
    <xf numFmtId="181" fontId="59" fillId="34" borderId="15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vertical="center"/>
      <protection/>
    </xf>
    <xf numFmtId="0" fontId="54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3" fontId="7" fillId="36" borderId="20" xfId="0" applyNumberFormat="1" applyFont="1" applyFill="1" applyBorder="1" applyAlignment="1" applyProtection="1">
      <alignment horizontal="righ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180" fontId="59" fillId="34" borderId="0" xfId="67" applyFont="1" applyFill="1" applyBorder="1" applyAlignment="1" applyProtection="1">
      <alignment/>
      <protection/>
    </xf>
    <xf numFmtId="180" fontId="9" fillId="34" borderId="21" xfId="67" applyFont="1" applyFill="1" applyBorder="1" applyAlignment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0" fontId="9" fillId="34" borderId="13" xfId="56" applyFont="1" applyFill="1" applyBorder="1" applyAlignment="1" applyProtection="1">
      <alignment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>
      <alignment horizontal="lef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2" fontId="10" fillId="34" borderId="13" xfId="67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181" fontId="9" fillId="34" borderId="21" xfId="67" applyNumberFormat="1" applyFont="1" applyFill="1" applyBorder="1" applyAlignment="1" applyProtection="1">
      <alignment horizontal="right"/>
      <protection/>
    </xf>
    <xf numFmtId="0" fontId="49" fillId="37" borderId="0" xfId="0" applyFont="1" applyFill="1" applyAlignment="1">
      <alignment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vertical="center" wrapText="1"/>
      <protection/>
    </xf>
    <xf numFmtId="195" fontId="7" fillId="34" borderId="18" xfId="56" applyNumberFormat="1" applyFont="1" applyFill="1" applyBorder="1" applyAlignment="1">
      <alignment/>
      <protection/>
    </xf>
    <xf numFmtId="195" fontId="7" fillId="34" borderId="11" xfId="56" applyNumberFormat="1" applyFont="1" applyFill="1" applyBorder="1" applyAlignment="1">
      <alignment/>
      <protection/>
    </xf>
    <xf numFmtId="195" fontId="7" fillId="34" borderId="16" xfId="56" applyNumberFormat="1" applyFont="1" applyFill="1" applyBorder="1" applyAlignment="1">
      <alignment/>
      <protection/>
    </xf>
    <xf numFmtId="195" fontId="7" fillId="34" borderId="11" xfId="55" applyNumberFormat="1" applyFont="1" applyFill="1" applyBorder="1" applyAlignment="1">
      <alignment horizontal="right"/>
      <protection/>
    </xf>
    <xf numFmtId="0" fontId="9" fillId="34" borderId="22" xfId="56" applyFont="1" applyFill="1" applyBorder="1" applyAlignment="1" applyProtection="1">
      <alignment horizontal="center"/>
      <protection/>
    </xf>
    <xf numFmtId="3" fontId="9" fillId="34" borderId="22" xfId="67" applyNumberFormat="1" applyFont="1" applyFill="1" applyBorder="1" applyAlignment="1" applyProtection="1">
      <alignment horizontal="center"/>
      <protection/>
    </xf>
    <xf numFmtId="181" fontId="9" fillId="34" borderId="21" xfId="56" applyNumberFormat="1" applyFont="1" applyFill="1" applyBorder="1" applyAlignment="1" applyProtection="1">
      <alignment horizontal="center"/>
      <protection/>
    </xf>
    <xf numFmtId="3" fontId="9" fillId="34" borderId="21" xfId="67" applyNumberFormat="1" applyFont="1" applyFill="1" applyBorder="1" applyAlignment="1" applyProtection="1">
      <alignment horizontal="center"/>
      <protection/>
    </xf>
    <xf numFmtId="0" fontId="9" fillId="34" borderId="23" xfId="56" applyFont="1" applyFill="1" applyBorder="1" applyAlignment="1" applyProtection="1">
      <alignment horizontal="center"/>
      <protection/>
    </xf>
    <xf numFmtId="3" fontId="9" fillId="34" borderId="23" xfId="67" applyNumberFormat="1" applyFont="1" applyFill="1" applyBorder="1" applyAlignment="1" applyProtection="1">
      <alignment horizontal="center"/>
      <protection/>
    </xf>
    <xf numFmtId="181" fontId="9" fillId="0" borderId="17" xfId="56" applyNumberFormat="1" applyFont="1" applyFill="1" applyBorder="1" applyAlignment="1" applyProtection="1">
      <alignment horizontal="center"/>
      <protection/>
    </xf>
    <xf numFmtId="181" fontId="9" fillId="0" borderId="22" xfId="56" applyNumberFormat="1" applyFont="1" applyFill="1" applyBorder="1" applyAlignment="1" applyProtection="1">
      <alignment horizontal="center"/>
      <protection/>
    </xf>
    <xf numFmtId="3" fontId="9" fillId="0" borderId="17" xfId="67" applyNumberFormat="1" applyFont="1" applyFill="1" applyBorder="1" applyAlignment="1" applyProtection="1">
      <alignment horizontal="center"/>
      <protection/>
    </xf>
    <xf numFmtId="181" fontId="9" fillId="0" borderId="19" xfId="56" applyNumberFormat="1" applyFont="1" applyFill="1" applyBorder="1" applyAlignment="1" applyProtection="1">
      <alignment horizontal="center"/>
      <protection/>
    </xf>
    <xf numFmtId="181" fontId="9" fillId="0" borderId="21" xfId="56" applyNumberFormat="1" applyFont="1" applyFill="1" applyBorder="1" applyAlignment="1" applyProtection="1">
      <alignment horizontal="center"/>
      <protection/>
    </xf>
    <xf numFmtId="3" fontId="9" fillId="0" borderId="19" xfId="67" applyNumberFormat="1" applyFont="1" applyFill="1" applyBorder="1" applyAlignment="1" applyProtection="1">
      <alignment horizontal="center"/>
      <protection/>
    </xf>
    <xf numFmtId="3" fontId="9" fillId="34" borderId="19" xfId="67" applyNumberFormat="1" applyFont="1" applyFill="1" applyBorder="1" applyAlignment="1" applyProtection="1">
      <alignment horizontal="center"/>
      <protection/>
    </xf>
    <xf numFmtId="0" fontId="9" fillId="34" borderId="21" xfId="56" applyFont="1" applyFill="1" applyBorder="1" applyAlignment="1" applyProtection="1">
      <alignment horizontal="center"/>
      <protection/>
    </xf>
    <xf numFmtId="3" fontId="9" fillId="34" borderId="21" xfId="56" applyNumberFormat="1" applyFont="1" applyFill="1" applyBorder="1" applyAlignment="1" applyProtection="1">
      <alignment horizontal="center"/>
      <protection/>
    </xf>
    <xf numFmtId="180" fontId="9" fillId="34" borderId="21" xfId="67" applyFont="1" applyFill="1" applyBorder="1" applyAlignment="1">
      <alignment horizontal="center"/>
      <protection/>
    </xf>
    <xf numFmtId="180" fontId="9" fillId="34" borderId="23" xfId="67" applyFont="1" applyFill="1" applyBorder="1" applyAlignment="1">
      <alignment horizontal="center"/>
      <protection/>
    </xf>
    <xf numFmtId="3" fontId="9" fillId="34" borderId="23" xfId="56" applyNumberFormat="1" applyFont="1" applyFill="1" applyBorder="1" applyAlignment="1" applyProtection="1">
      <alignment horizontal="center"/>
      <protection/>
    </xf>
    <xf numFmtId="184" fontId="9" fillId="34" borderId="22" xfId="56" applyNumberFormat="1" applyFont="1" applyFill="1" applyBorder="1" applyAlignment="1" applyProtection="1">
      <alignment horizontal="center"/>
      <protection/>
    </xf>
    <xf numFmtId="184" fontId="9" fillId="34" borderId="21" xfId="56" applyNumberFormat="1" applyFont="1" applyFill="1" applyBorder="1" applyAlignment="1" applyProtection="1">
      <alignment horizontal="center"/>
      <protection/>
    </xf>
    <xf numFmtId="184" fontId="9" fillId="34" borderId="23" xfId="56" applyNumberFormat="1" applyFont="1" applyFill="1" applyBorder="1" applyAlignment="1" applyProtection="1">
      <alignment horizontal="center"/>
      <protection/>
    </xf>
    <xf numFmtId="184" fontId="9" fillId="34" borderId="21" xfId="67" applyNumberFormat="1" applyFont="1" applyFill="1" applyBorder="1" applyAlignment="1" applyProtection="1">
      <alignment horizontal="center"/>
      <protection/>
    </xf>
    <xf numFmtId="184" fontId="9" fillId="34" borderId="23" xfId="67" applyNumberFormat="1" applyFont="1" applyFill="1" applyBorder="1" applyAlignment="1" applyProtection="1">
      <alignment horizontal="center"/>
      <protection/>
    </xf>
    <xf numFmtId="3" fontId="9" fillId="34" borderId="13" xfId="53" applyNumberFormat="1" applyFont="1" applyFill="1" applyBorder="1" applyAlignment="1">
      <alignment horizontal="left" vertical="top" wrapText="1"/>
      <protection/>
    </xf>
    <xf numFmtId="3" fontId="9" fillId="34" borderId="16" xfId="53" applyNumberFormat="1" applyFont="1" applyFill="1" applyBorder="1" applyAlignment="1">
      <alignment horizontal="left" vertical="top" wrapText="1"/>
      <protection/>
    </xf>
    <xf numFmtId="181" fontId="57" fillId="23" borderId="24" xfId="56" applyNumberFormat="1" applyFont="1" applyFill="1" applyBorder="1" applyAlignment="1" applyProtection="1">
      <alignment horizontal="center" vertical="center" wrapText="1"/>
      <protection/>
    </xf>
    <xf numFmtId="0" fontId="57" fillId="23" borderId="24" xfId="56" applyFont="1" applyFill="1" applyBorder="1" applyAlignment="1" applyProtection="1">
      <alignment horizontal="center" vertical="center" wrapText="1"/>
      <protection/>
    </xf>
    <xf numFmtId="3" fontId="57" fillId="23" borderId="24" xfId="56" applyNumberFormat="1" applyFont="1" applyFill="1" applyBorder="1" applyAlignment="1" applyProtection="1">
      <alignment horizontal="center" vertical="center" wrapText="1"/>
      <protection/>
    </xf>
    <xf numFmtId="3" fontId="57" fillId="23" borderId="20" xfId="56" applyNumberFormat="1" applyFont="1" applyFill="1" applyBorder="1" applyAlignment="1" applyProtection="1">
      <alignment horizontal="center" vertical="center"/>
      <protection/>
    </xf>
    <xf numFmtId="181" fontId="57" fillId="23" borderId="12" xfId="56" applyNumberFormat="1" applyFont="1" applyFill="1" applyBorder="1" applyAlignment="1" applyProtection="1">
      <alignment horizontal="center" vertical="center" wrapText="1"/>
      <protection/>
    </xf>
    <xf numFmtId="0" fontId="57" fillId="23" borderId="12" xfId="56" applyFont="1" applyFill="1" applyBorder="1" applyAlignment="1" applyProtection="1">
      <alignment horizontal="center" vertical="center" wrapText="1"/>
      <protection/>
    </xf>
    <xf numFmtId="3" fontId="57" fillId="23" borderId="12" xfId="56" applyNumberFormat="1" applyFont="1" applyFill="1" applyBorder="1" applyAlignment="1" applyProtection="1">
      <alignment horizontal="center" vertical="center" wrapText="1"/>
      <protection/>
    </xf>
    <xf numFmtId="3" fontId="57" fillId="23" borderId="12" xfId="56" applyNumberFormat="1" applyFont="1" applyFill="1" applyBorder="1" applyAlignment="1" applyProtection="1">
      <alignment horizontal="center" vertical="center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7" fillId="34" borderId="0" xfId="56" applyNumberFormat="1" applyFont="1" applyFill="1" applyBorder="1" applyAlignment="1" applyProtection="1">
      <alignment horizontal="righ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9" fillId="34" borderId="19" xfId="67" applyNumberFormat="1" applyFont="1" applyFill="1" applyBorder="1" applyAlignment="1" applyProtection="1">
      <alignment horizontal="left" indent="1"/>
      <protection/>
    </xf>
    <xf numFmtId="0" fontId="9" fillId="34" borderId="0" xfId="67" applyNumberFormat="1" applyFont="1" applyFill="1" applyBorder="1" applyAlignment="1" applyProtection="1">
      <alignment horizontal="left" indent="1"/>
      <protection/>
    </xf>
    <xf numFmtId="0" fontId="9" fillId="34" borderId="11" xfId="67" applyNumberFormat="1" applyFont="1" applyFill="1" applyBorder="1" applyAlignment="1" applyProtection="1">
      <alignment horizontal="left" indent="1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14" xfId="56" applyFont="1" applyFill="1" applyBorder="1" applyAlignment="1" applyProtection="1">
      <alignment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11" xfId="56" applyFont="1" applyFill="1" applyBorder="1" applyAlignment="1" applyProtection="1">
      <alignment/>
      <protection/>
    </xf>
    <xf numFmtId="0" fontId="7" fillId="34" borderId="19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/>
      <protection/>
    </xf>
    <xf numFmtId="0" fontId="7" fillId="34" borderId="11" xfId="56" applyFont="1" applyFill="1" applyBorder="1" applyAlignment="1" applyProtection="1">
      <alignment/>
      <protection/>
    </xf>
    <xf numFmtId="0" fontId="9" fillId="34" borderId="0" xfId="67" applyNumberFormat="1" applyFont="1" applyFill="1" applyBorder="1" applyAlignment="1" applyProtection="1">
      <alignment/>
      <protection/>
    </xf>
    <xf numFmtId="0" fontId="9" fillId="34" borderId="11" xfId="67" applyNumberFormat="1" applyFont="1" applyFill="1" applyBorder="1" applyAlignment="1" applyProtection="1">
      <alignment/>
      <protection/>
    </xf>
    <xf numFmtId="0" fontId="7" fillId="34" borderId="19" xfId="67" applyNumberFormat="1" applyFont="1" applyFill="1" applyBorder="1" applyAlignment="1" applyProtection="1">
      <alignment/>
      <protection/>
    </xf>
    <xf numFmtId="0" fontId="7" fillId="34" borderId="0" xfId="67" applyNumberFormat="1" applyFont="1" applyFill="1" applyBorder="1" applyAlignment="1" applyProtection="1">
      <alignment/>
      <protection/>
    </xf>
    <xf numFmtId="0" fontId="7" fillId="34" borderId="11" xfId="67" applyNumberFormat="1" applyFont="1" applyFill="1" applyBorder="1" applyAlignment="1" applyProtection="1">
      <alignment/>
      <protection/>
    </xf>
    <xf numFmtId="0" fontId="9" fillId="34" borderId="13" xfId="67" applyNumberFormat="1" applyFont="1" applyFill="1" applyBorder="1" applyAlignment="1" applyProtection="1">
      <alignment/>
      <protection/>
    </xf>
    <xf numFmtId="0" fontId="9" fillId="34" borderId="16" xfId="67" applyNumberFormat="1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indent="1"/>
      <protection/>
    </xf>
    <xf numFmtId="0" fontId="9" fillId="34" borderId="15" xfId="67" applyNumberFormat="1" applyFont="1" applyFill="1" applyBorder="1" applyAlignment="1" applyProtection="1">
      <alignment horizontal="left" indent="1"/>
      <protection/>
    </xf>
    <xf numFmtId="0" fontId="9" fillId="34" borderId="17" xfId="56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/>
    </xf>
    <xf numFmtId="0" fontId="7" fillId="34" borderId="19" xfId="55" applyFont="1" applyFill="1" applyBorder="1" applyAlignment="1">
      <alignment/>
      <protection/>
    </xf>
    <xf numFmtId="0" fontId="7" fillId="34" borderId="0" xfId="55" applyFont="1" applyFill="1" applyBorder="1" applyAlignment="1">
      <alignment/>
      <protection/>
    </xf>
    <xf numFmtId="0" fontId="7" fillId="36" borderId="25" xfId="56" applyFont="1" applyFill="1" applyBorder="1" applyAlignment="1" applyProtection="1">
      <alignment vertical="center"/>
      <protection/>
    </xf>
    <xf numFmtId="0" fontId="7" fillId="36" borderId="24" xfId="56" applyFont="1" applyFill="1" applyBorder="1" applyAlignment="1" applyProtection="1">
      <alignment vertical="center"/>
      <protection/>
    </xf>
    <xf numFmtId="0" fontId="9" fillId="34" borderId="17" xfId="56" applyFont="1" applyFill="1" applyBorder="1" applyAlignment="1">
      <alignment horizontal="left" indent="3"/>
      <protection/>
    </xf>
    <xf numFmtId="0" fontId="9" fillId="34" borderId="18" xfId="56" applyFont="1" applyFill="1" applyBorder="1" applyAlignment="1">
      <alignment horizontal="left" indent="3"/>
      <protection/>
    </xf>
    <xf numFmtId="0" fontId="9" fillId="34" borderId="19" xfId="56" applyFont="1" applyFill="1" applyBorder="1" applyAlignment="1">
      <alignment horizontal="left" indent="3"/>
      <protection/>
    </xf>
    <xf numFmtId="0" fontId="9" fillId="34" borderId="11" xfId="56" applyFont="1" applyFill="1" applyBorder="1" applyAlignment="1">
      <alignment horizontal="left" indent="3"/>
      <protection/>
    </xf>
    <xf numFmtId="0" fontId="9" fillId="34" borderId="15" xfId="56" applyFont="1" applyFill="1" applyBorder="1" applyAlignment="1">
      <alignment horizontal="left" indent="3"/>
      <protection/>
    </xf>
    <xf numFmtId="0" fontId="9" fillId="34" borderId="16" xfId="56" applyFont="1" applyFill="1" applyBorder="1" applyAlignment="1">
      <alignment horizontal="left" indent="3"/>
      <protection/>
    </xf>
    <xf numFmtId="0" fontId="57" fillId="23" borderId="20" xfId="56" applyFont="1" applyFill="1" applyBorder="1" applyAlignment="1" applyProtection="1">
      <alignment horizontal="left" vertical="center" indent="3"/>
      <protection/>
    </xf>
    <xf numFmtId="0" fontId="57" fillId="23" borderId="25" xfId="56" applyFont="1" applyFill="1" applyBorder="1" applyAlignment="1" applyProtection="1">
      <alignment horizontal="left" vertical="center" indent="3"/>
      <protection/>
    </xf>
    <xf numFmtId="0" fontId="57" fillId="23" borderId="25" xfId="56" applyFont="1" applyFill="1" applyBorder="1" applyAlignment="1" applyProtection="1">
      <alignment/>
      <protection/>
    </xf>
    <xf numFmtId="0" fontId="57" fillId="23" borderId="24" xfId="56" applyFont="1" applyFill="1" applyBorder="1" applyAlignment="1" applyProtection="1">
      <alignment/>
      <protection/>
    </xf>
    <xf numFmtId="0" fontId="57" fillId="23" borderId="25" xfId="56" applyFont="1" applyFill="1" applyBorder="1" applyAlignment="1" applyProtection="1">
      <alignment vertical="center"/>
      <protection/>
    </xf>
    <xf numFmtId="0" fontId="57" fillId="23" borderId="20" xfId="56" applyFont="1" applyFill="1" applyBorder="1" applyAlignment="1" applyProtection="1">
      <alignment vertical="center"/>
      <protection/>
    </xf>
    <xf numFmtId="0" fontId="57" fillId="23" borderId="20" xfId="56" applyFont="1" applyFill="1" applyBorder="1" applyAlignment="1" applyProtection="1">
      <alignment/>
      <protection/>
    </xf>
    <xf numFmtId="0" fontId="7" fillId="36" borderId="25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9" fillId="34" borderId="0" xfId="56" applyFont="1" applyFill="1" applyBorder="1" applyAlignment="1">
      <alignment horizontal="left" indent="3"/>
      <protection/>
    </xf>
    <xf numFmtId="0" fontId="7" fillId="36" borderId="25" xfId="56" applyFont="1" applyFill="1" applyBorder="1" applyAlignment="1" applyProtection="1">
      <alignment/>
      <protection/>
    </xf>
    <xf numFmtId="0" fontId="7" fillId="36" borderId="24" xfId="56" applyFont="1" applyFill="1" applyBorder="1" applyAlignment="1" applyProtection="1">
      <alignment/>
      <protection/>
    </xf>
    <xf numFmtId="0" fontId="57" fillId="23" borderId="24" xfId="56" applyFont="1" applyFill="1" applyBorder="1" applyAlignment="1" applyProtection="1">
      <alignment vertical="center"/>
      <protection/>
    </xf>
    <xf numFmtId="0" fontId="57" fillId="23" borderId="25" xfId="56" applyFont="1" applyFill="1" applyBorder="1" applyAlignment="1" applyProtection="1">
      <alignment horizontal="left" vertical="center"/>
      <protection/>
    </xf>
    <xf numFmtId="0" fontId="7" fillId="36" borderId="15" xfId="56" applyFont="1" applyFill="1" applyBorder="1" applyAlignment="1" applyProtection="1">
      <alignment vertical="center"/>
      <protection/>
    </xf>
    <xf numFmtId="0" fontId="7" fillId="36" borderId="13" xfId="56" applyFont="1" applyFill="1" applyBorder="1" applyAlignment="1" applyProtection="1">
      <alignment vertical="center"/>
      <protection/>
    </xf>
    <xf numFmtId="3" fontId="7" fillId="36" borderId="18" xfId="56" applyNumberFormat="1" applyFont="1" applyFill="1" applyBorder="1" applyAlignment="1" applyProtection="1">
      <alignment vertical="center"/>
      <protection/>
    </xf>
    <xf numFmtId="3" fontId="7" fillId="36" borderId="16" xfId="56" applyNumberFormat="1" applyFont="1" applyFill="1" applyBorder="1" applyAlignment="1" applyProtection="1">
      <alignment vertical="center"/>
      <protection/>
    </xf>
    <xf numFmtId="0" fontId="7" fillId="36" borderId="17" xfId="56" applyFont="1" applyFill="1" applyBorder="1" applyAlignment="1" applyProtection="1">
      <alignment vertical="center"/>
      <protection/>
    </xf>
    <xf numFmtId="0" fontId="7" fillId="36" borderId="14" xfId="56" applyFont="1" applyFill="1" applyBorder="1" applyAlignment="1" applyProtection="1">
      <alignment vertical="center"/>
      <protection/>
    </xf>
    <xf numFmtId="0" fontId="7" fillId="38" borderId="15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6" xfId="0" applyFont="1" applyFill="1" applyBorder="1" applyAlignment="1">
      <alignment vertical="center" wrapText="1"/>
    </xf>
    <xf numFmtId="0" fontId="57" fillId="39" borderId="15" xfId="0" applyFont="1" applyFill="1" applyBorder="1" applyAlignment="1">
      <alignment vertical="center"/>
    </xf>
    <xf numFmtId="0" fontId="57" fillId="39" borderId="13" xfId="0" applyFont="1" applyFill="1" applyBorder="1" applyAlignment="1">
      <alignment vertical="center"/>
    </xf>
    <xf numFmtId="0" fontId="57" fillId="39" borderId="16" xfId="0" applyFont="1" applyFill="1" applyBorder="1" applyAlignment="1">
      <alignment vertical="center"/>
    </xf>
    <xf numFmtId="3" fontId="7" fillId="38" borderId="17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19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19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5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6" xfId="0" applyNumberFormat="1" applyFont="1" applyFill="1" applyBorder="1" applyAlignment="1">
      <alignment vertical="center"/>
    </xf>
    <xf numFmtId="0" fontId="9" fillId="34" borderId="19" xfId="56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>
      <alignment/>
    </xf>
    <xf numFmtId="185" fontId="9" fillId="34" borderId="22" xfId="67" applyNumberFormat="1" applyFont="1" applyFill="1" applyBorder="1" applyAlignment="1" applyProtection="1">
      <alignment horizontal="center" vertical="center"/>
      <protection/>
    </xf>
    <xf numFmtId="185" fontId="9" fillId="34" borderId="21" xfId="67" applyNumberFormat="1" applyFont="1" applyFill="1" applyBorder="1" applyAlignment="1" applyProtection="1">
      <alignment horizontal="center" vertical="center"/>
      <protection/>
    </xf>
    <xf numFmtId="0" fontId="7" fillId="34" borderId="16" xfId="55" applyFont="1" applyFill="1" applyBorder="1">
      <alignment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9" fillId="0" borderId="25" xfId="67" applyNumberFormat="1" applyFont="1" applyFill="1" applyBorder="1" applyAlignment="1" applyProtection="1">
      <alignment horizontal="left"/>
      <protection/>
    </xf>
    <xf numFmtId="0" fontId="60" fillId="0" borderId="24" xfId="67" applyNumberFormat="1" applyFont="1" applyFill="1" applyBorder="1" applyAlignment="1" applyProtection="1">
      <alignment horizontal="left"/>
      <protection/>
    </xf>
    <xf numFmtId="0" fontId="60" fillId="0" borderId="20" xfId="67" applyNumberFormat="1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>
      <alignment/>
      <protection/>
    </xf>
    <xf numFmtId="0" fontId="9" fillId="0" borderId="24" xfId="56" applyFont="1" applyFill="1" applyBorder="1" applyAlignment="1">
      <alignment/>
      <protection/>
    </xf>
    <xf numFmtId="9" fontId="9" fillId="0" borderId="20" xfId="67" applyNumberFormat="1" applyFont="1" applyFill="1" applyBorder="1" applyAlignment="1" applyProtection="1">
      <alignment horizontal="center"/>
      <protection/>
    </xf>
    <xf numFmtId="0" fontId="9" fillId="0" borderId="25" xfId="56" applyFont="1" applyFill="1" applyBorder="1" applyAlignment="1" applyProtection="1">
      <alignment horizontal="center"/>
      <protection/>
    </xf>
    <xf numFmtId="3" fontId="9" fillId="0" borderId="20" xfId="56" applyNumberFormat="1" applyFont="1" applyFill="1" applyBorder="1" applyAlignment="1" applyProtection="1">
      <alignment horizontal="right"/>
      <protection/>
    </xf>
    <xf numFmtId="3" fontId="9" fillId="0" borderId="12" xfId="56" applyNumberFormat="1" applyFont="1" applyFill="1" applyBorder="1" applyAlignment="1" applyProtection="1">
      <alignment horizontal="right"/>
      <protection/>
    </xf>
    <xf numFmtId="0" fontId="57" fillId="40" borderId="25" xfId="55" applyFont="1" applyFill="1" applyBorder="1" applyAlignment="1">
      <alignment horizontal="center"/>
      <protection/>
    </xf>
    <xf numFmtId="0" fontId="57" fillId="40" borderId="24" xfId="55" applyFont="1" applyFill="1" applyBorder="1" applyAlignment="1">
      <alignment horizontal="center"/>
      <protection/>
    </xf>
    <xf numFmtId="0" fontId="57" fillId="40" borderId="20" xfId="55" applyFont="1" applyFill="1" applyBorder="1" applyAlignment="1">
      <alignment horizontal="center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57" fillId="39" borderId="17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20" xfId="0" applyNumberFormat="1" applyFont="1" applyFill="1" applyBorder="1" applyAlignment="1">
      <alignment horizontal="center"/>
    </xf>
    <xf numFmtId="0" fontId="12" fillId="34" borderId="19" xfId="56" applyFont="1" applyFill="1" applyBorder="1" applyAlignment="1">
      <alignment horizontal="left" vertical="top" wrapText="1"/>
      <protection/>
    </xf>
    <xf numFmtId="0" fontId="12" fillId="34" borderId="0" xfId="56" applyFont="1" applyFill="1" applyBorder="1" applyAlignment="1">
      <alignment horizontal="left" vertical="top" wrapText="1"/>
      <protection/>
    </xf>
    <xf numFmtId="0" fontId="12" fillId="34" borderId="11" xfId="56" applyFont="1" applyFill="1" applyBorder="1" applyAlignment="1">
      <alignment horizontal="left" vertical="top" wrapText="1"/>
      <protection/>
    </xf>
    <xf numFmtId="3" fontId="12" fillId="34" borderId="19" xfId="53" applyNumberFormat="1" applyFont="1" applyFill="1" applyBorder="1" applyAlignment="1">
      <alignment horizontal="left" vertical="top" wrapText="1"/>
      <protection/>
    </xf>
    <xf numFmtId="3" fontId="12" fillId="34" borderId="0" xfId="53" applyNumberFormat="1" applyFont="1" applyFill="1" applyBorder="1" applyAlignment="1">
      <alignment horizontal="left" vertical="top" wrapText="1"/>
      <protection/>
    </xf>
    <xf numFmtId="3" fontId="12" fillId="34" borderId="11" xfId="53" applyNumberFormat="1" applyFont="1" applyFill="1" applyBorder="1" applyAlignment="1">
      <alignment horizontal="left" vertical="top" wrapText="1"/>
      <protection/>
    </xf>
    <xf numFmtId="180" fontId="58" fillId="0" borderId="0" xfId="67" applyFont="1" applyFill="1" applyBorder="1" applyAlignment="1" applyProtection="1">
      <alignment horizontal="left"/>
      <protection/>
    </xf>
    <xf numFmtId="0" fontId="12" fillId="34" borderId="15" xfId="56" applyFont="1" applyFill="1" applyBorder="1" applyAlignment="1">
      <alignment horizontal="left" vertical="top" wrapText="1"/>
      <protection/>
    </xf>
    <xf numFmtId="0" fontId="12" fillId="34" borderId="13" xfId="56" applyFont="1" applyFill="1" applyBorder="1" applyAlignment="1">
      <alignment horizontal="left" vertical="top" wrapText="1"/>
      <protection/>
    </xf>
    <xf numFmtId="0" fontId="57" fillId="39" borderId="17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center"/>
    </xf>
    <xf numFmtId="0" fontId="57" fillId="39" borderId="18" xfId="0" applyFont="1" applyFill="1" applyBorder="1" applyAlignment="1">
      <alignment horizontal="center"/>
    </xf>
    <xf numFmtId="0" fontId="57" fillId="39" borderId="15" xfId="0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58" fillId="23" borderId="24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 wrapText="1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17" fontId="57" fillId="40" borderId="17" xfId="67" applyNumberFormat="1" applyFont="1" applyFill="1" applyBorder="1" applyAlignment="1" applyProtection="1">
      <alignment horizontal="center"/>
      <protection/>
    </xf>
    <xf numFmtId="17" fontId="57" fillId="40" borderId="14" xfId="67" applyNumberFormat="1" applyFont="1" applyFill="1" applyBorder="1" applyAlignment="1" applyProtection="1">
      <alignment horizontal="center"/>
      <protection/>
    </xf>
    <xf numFmtId="17" fontId="57" fillId="40" borderId="18" xfId="67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57" fillId="23" borderId="12" xfId="56" applyFont="1" applyFill="1" applyBorder="1" applyAlignment="1" applyProtection="1">
      <alignment horizontal="left"/>
      <protection/>
    </xf>
    <xf numFmtId="0" fontId="57" fillId="40" borderId="17" xfId="55" applyFont="1" applyFill="1" applyBorder="1" applyAlignment="1">
      <alignment horizontal="center"/>
      <protection/>
    </xf>
    <xf numFmtId="0" fontId="57" fillId="40" borderId="14" xfId="55" applyFont="1" applyFill="1" applyBorder="1" applyAlignment="1">
      <alignment horizontal="center"/>
      <protection/>
    </xf>
    <xf numFmtId="0" fontId="57" fillId="40" borderId="18" xfId="55" applyFont="1" applyFill="1" applyBorder="1" applyAlignment="1">
      <alignment horizontal="center"/>
      <protection/>
    </xf>
    <xf numFmtId="183" fontId="9" fillId="34" borderId="25" xfId="0" applyNumberFormat="1" applyFont="1" applyFill="1" applyBorder="1" applyAlignment="1">
      <alignment horizontal="center"/>
    </xf>
    <xf numFmtId="183" fontId="9" fillId="34" borderId="20" xfId="0" applyNumberFormat="1" applyFont="1" applyFill="1" applyBorder="1" applyAlignment="1">
      <alignment horizontal="center"/>
    </xf>
    <xf numFmtId="3" fontId="11" fillId="34" borderId="17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8" xfId="56" applyNumberFormat="1" applyFont="1" applyFill="1" applyBorder="1" applyAlignment="1">
      <alignment horizontal="left"/>
      <protection/>
    </xf>
    <xf numFmtId="0" fontId="7" fillId="38" borderId="17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1" fontId="7" fillId="38" borderId="25" xfId="0" applyNumberFormat="1" applyFont="1" applyFill="1" applyBorder="1" applyAlignment="1">
      <alignment horizontal="center" vertical="center"/>
    </xf>
    <xf numFmtId="1" fontId="7" fillId="38" borderId="20" xfId="0" applyNumberFormat="1" applyFont="1" applyFill="1" applyBorder="1" applyAlignment="1">
      <alignment horizontal="center" vertic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>
      <alignment horizontal="center"/>
    </xf>
    <xf numFmtId="0" fontId="9" fillId="34" borderId="17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106</xdr:row>
      <xdr:rowOff>171450</xdr:rowOff>
    </xdr:from>
    <xdr:to>
      <xdr:col>2</xdr:col>
      <xdr:colOff>704850</xdr:colOff>
      <xdr:row>107</xdr:row>
      <xdr:rowOff>38100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85800" y="24679275"/>
          <a:ext cx="1885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4"/>
  <sheetViews>
    <sheetView showGridLines="0" tabSelected="1" view="pageBreakPreview" zoomScaleNormal="70" zoomScaleSheetLayoutView="100" zoomScalePageLayoutView="80" workbookViewId="0" topLeftCell="A52">
      <selection activeCell="E67" sqref="E67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63.8515625" style="0" bestFit="1" customWidth="1"/>
    <col min="5" max="5" width="29.8515625" style="0" bestFit="1" customWidth="1"/>
    <col min="6" max="6" width="6.7109375" style="0" customWidth="1"/>
    <col min="7" max="7" width="20.140625" style="2" customWidth="1"/>
    <col min="8" max="8" width="20.28125" style="0" bestFit="1" customWidth="1"/>
    <col min="9" max="9" width="23.28125" style="0" customWidth="1"/>
    <col min="10" max="10" width="15.28125" style="0" bestFit="1" customWidth="1"/>
    <col min="11" max="11" width="11.140625" style="5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5"/>
    </row>
    <row r="2" spans="2:10" s="3" customFormat="1" ht="18" customHeight="1">
      <c r="B2" s="140"/>
      <c r="C2" s="140"/>
      <c r="D2" s="301" t="s">
        <v>60</v>
      </c>
      <c r="E2" s="301"/>
      <c r="F2" s="301"/>
      <c r="G2" s="301"/>
      <c r="H2" s="301"/>
      <c r="I2" s="301"/>
      <c r="J2" s="301"/>
    </row>
    <row r="3" spans="2:11" s="3" customFormat="1" ht="18" customHeight="1">
      <c r="B3" s="83"/>
      <c r="C3" s="106"/>
      <c r="D3" s="302" t="s">
        <v>44</v>
      </c>
      <c r="E3" s="302"/>
      <c r="F3" s="302"/>
      <c r="G3" s="302"/>
      <c r="H3" s="302"/>
      <c r="I3" s="302"/>
      <c r="J3" s="302"/>
      <c r="K3" s="9"/>
    </row>
    <row r="4" spans="2:11" s="3" customFormat="1" ht="18" customHeight="1">
      <c r="B4" s="83"/>
      <c r="C4" s="106"/>
      <c r="D4" s="302" t="s">
        <v>97</v>
      </c>
      <c r="E4" s="302"/>
      <c r="F4" s="302"/>
      <c r="G4" s="302"/>
      <c r="H4" s="302"/>
      <c r="I4" s="302"/>
      <c r="J4" s="302"/>
      <c r="K4" s="9"/>
    </row>
    <row r="5" spans="2:11" s="3" customFormat="1" ht="18" customHeight="1">
      <c r="B5" s="33"/>
      <c r="C5" s="33"/>
      <c r="D5" s="107"/>
      <c r="E5" s="35"/>
      <c r="F5" s="126"/>
      <c r="G5" s="126"/>
      <c r="H5" s="126"/>
      <c r="I5" s="126"/>
      <c r="J5" s="126"/>
      <c r="K5" s="11"/>
    </row>
    <row r="6" spans="2:11" s="3" customFormat="1" ht="18" customHeight="1">
      <c r="B6" s="33"/>
      <c r="C6" s="33"/>
      <c r="D6" s="303" t="s">
        <v>29</v>
      </c>
      <c r="E6" s="304"/>
      <c r="F6" s="304"/>
      <c r="G6" s="304"/>
      <c r="H6" s="304"/>
      <c r="I6" s="304"/>
      <c r="J6" s="305"/>
      <c r="K6" s="11"/>
    </row>
    <row r="7" spans="2:11" s="3" customFormat="1" ht="18" customHeight="1">
      <c r="B7" s="33"/>
      <c r="C7" s="33"/>
      <c r="D7" s="74" t="s">
        <v>59</v>
      </c>
      <c r="E7" s="75"/>
      <c r="F7" s="75"/>
      <c r="G7" s="76" t="s">
        <v>46</v>
      </c>
      <c r="H7" s="77"/>
      <c r="I7" s="78"/>
      <c r="J7" s="79"/>
      <c r="K7" s="11"/>
    </row>
    <row r="8" spans="2:11" s="3" customFormat="1" ht="18" customHeight="1">
      <c r="B8" s="33"/>
      <c r="C8" s="33"/>
      <c r="D8" s="80" t="s">
        <v>105</v>
      </c>
      <c r="E8" s="81"/>
      <c r="F8" s="81"/>
      <c r="G8" s="82" t="s">
        <v>106</v>
      </c>
      <c r="H8" s="83"/>
      <c r="I8" s="84"/>
      <c r="J8" s="85"/>
      <c r="K8" s="11"/>
    </row>
    <row r="9" spans="2:11" s="3" customFormat="1" ht="18" customHeight="1">
      <c r="B9" s="33"/>
      <c r="C9" s="33"/>
      <c r="D9" s="80" t="s">
        <v>135</v>
      </c>
      <c r="E9" s="39"/>
      <c r="F9" s="81"/>
      <c r="G9" s="82" t="s">
        <v>36</v>
      </c>
      <c r="H9" s="83"/>
      <c r="I9" s="84"/>
      <c r="J9" s="85"/>
      <c r="K9" s="13"/>
    </row>
    <row r="10" spans="2:11" s="3" customFormat="1" ht="18" customHeight="1">
      <c r="B10" s="33"/>
      <c r="C10" s="33"/>
      <c r="D10" s="86" t="s">
        <v>61</v>
      </c>
      <c r="E10" s="87"/>
      <c r="F10" s="87"/>
      <c r="G10" s="88" t="s">
        <v>99</v>
      </c>
      <c r="H10" s="89"/>
      <c r="I10" s="90"/>
      <c r="J10" s="91"/>
      <c r="K10" s="13"/>
    </row>
    <row r="11" spans="2:11" s="3" customFormat="1" ht="18" customHeight="1">
      <c r="B11" s="33"/>
      <c r="C11" s="33"/>
      <c r="D11" s="21"/>
      <c r="E11" s="81"/>
      <c r="F11" s="81"/>
      <c r="G11" s="21"/>
      <c r="H11" s="83"/>
      <c r="I11" s="84"/>
      <c r="J11" s="117"/>
      <c r="K11" s="13"/>
    </row>
    <row r="12" spans="2:11" ht="18">
      <c r="B12" s="308" t="s">
        <v>30</v>
      </c>
      <c r="C12" s="309"/>
      <c r="D12" s="309"/>
      <c r="E12" s="310"/>
      <c r="F12" s="32"/>
      <c r="G12" s="275" t="s">
        <v>4</v>
      </c>
      <c r="H12" s="276"/>
      <c r="I12" s="276"/>
      <c r="J12" s="277"/>
      <c r="K12" s="11"/>
    </row>
    <row r="13" spans="2:11" ht="18" customHeight="1">
      <c r="B13" s="96" t="s">
        <v>62</v>
      </c>
      <c r="C13" s="97"/>
      <c r="D13" s="75"/>
      <c r="E13" s="98">
        <v>75000</v>
      </c>
      <c r="F13" s="33"/>
      <c r="G13" s="102" t="s">
        <v>128</v>
      </c>
      <c r="H13" s="75"/>
      <c r="I13" s="75"/>
      <c r="J13" s="141">
        <f>E13*E14</f>
        <v>7125000</v>
      </c>
      <c r="K13" s="11"/>
    </row>
    <row r="14" spans="2:13" ht="18" customHeight="1">
      <c r="B14" s="210" t="s">
        <v>63</v>
      </c>
      <c r="C14" s="211"/>
      <c r="D14" s="211"/>
      <c r="E14" s="144">
        <v>95</v>
      </c>
      <c r="F14" s="33"/>
      <c r="G14" s="103" t="s">
        <v>126</v>
      </c>
      <c r="H14" s="33"/>
      <c r="I14" s="33"/>
      <c r="J14" s="142">
        <f>J32+J41+J61+J64</f>
        <v>4042839.5</v>
      </c>
      <c r="K14" s="11"/>
      <c r="M14" s="130"/>
    </row>
    <row r="15" spans="2:11" ht="18" customHeight="1">
      <c r="B15" s="124" t="s">
        <v>64</v>
      </c>
      <c r="C15" s="34"/>
      <c r="D15" s="33"/>
      <c r="E15" s="144">
        <v>16000</v>
      </c>
      <c r="F15" s="33"/>
      <c r="G15" s="103" t="s">
        <v>127</v>
      </c>
      <c r="H15" s="35"/>
      <c r="I15" s="33"/>
      <c r="J15" s="142">
        <f>J32+J41+J61+J64+J75</f>
        <v>4194445.98125</v>
      </c>
      <c r="K15" s="11"/>
    </row>
    <row r="16" spans="2:11" ht="18" customHeight="1">
      <c r="B16" s="124" t="s">
        <v>2</v>
      </c>
      <c r="C16" s="36"/>
      <c r="D16" s="33"/>
      <c r="E16" s="99">
        <v>0.015</v>
      </c>
      <c r="F16" s="33"/>
      <c r="G16" s="103" t="s">
        <v>129</v>
      </c>
      <c r="H16" s="33"/>
      <c r="I16" s="33"/>
      <c r="J16" s="142">
        <f>J13-J14</f>
        <v>3082160.5</v>
      </c>
      <c r="K16" s="11"/>
    </row>
    <row r="17" spans="2:11" ht="18" customHeight="1">
      <c r="B17" s="124" t="s">
        <v>3</v>
      </c>
      <c r="C17" s="36"/>
      <c r="D17" s="33"/>
      <c r="E17" s="265">
        <v>5</v>
      </c>
      <c r="F17" s="33"/>
      <c r="G17" s="103" t="s">
        <v>130</v>
      </c>
      <c r="H17" s="33"/>
      <c r="I17" s="33"/>
      <c r="J17" s="142">
        <f>J13-J15</f>
        <v>2930554.01875</v>
      </c>
      <c r="K17" s="11"/>
    </row>
    <row r="18" spans="2:11" ht="18">
      <c r="B18" s="100"/>
      <c r="C18" s="101"/>
      <c r="D18" s="92"/>
      <c r="E18" s="264"/>
      <c r="F18" s="33" t="s">
        <v>45</v>
      </c>
      <c r="G18" s="104" t="s">
        <v>26</v>
      </c>
      <c r="H18" s="92"/>
      <c r="I18" s="105"/>
      <c r="J18" s="143">
        <f>G93</f>
        <v>55.92594641666667</v>
      </c>
      <c r="K18" s="11"/>
    </row>
    <row r="19" spans="2:11" s="3" customFormat="1" ht="18">
      <c r="B19" s="33"/>
      <c r="C19" s="33"/>
      <c r="D19" s="33"/>
      <c r="E19" s="15"/>
      <c r="F19" s="15"/>
      <c r="G19" s="16"/>
      <c r="H19" s="17"/>
      <c r="I19" s="18"/>
      <c r="J19" s="18"/>
      <c r="K19" s="11"/>
    </row>
    <row r="20" spans="2:11" s="3" customFormat="1" ht="20.25">
      <c r="B20" s="109" t="s">
        <v>27</v>
      </c>
      <c r="C20" s="108"/>
      <c r="D20" s="108"/>
      <c r="E20" s="306"/>
      <c r="F20" s="306"/>
      <c r="G20" s="110"/>
      <c r="H20" s="111"/>
      <c r="I20" s="122"/>
      <c r="J20" s="112"/>
      <c r="K20" s="11"/>
    </row>
    <row r="21" spans="2:11" s="3" customFormat="1" ht="18" customHeight="1">
      <c r="B21" s="307" t="s">
        <v>7</v>
      </c>
      <c r="C21" s="307"/>
      <c r="D21" s="307"/>
      <c r="E21" s="221" t="s">
        <v>95</v>
      </c>
      <c r="F21" s="220"/>
      <c r="G21" s="174" t="s">
        <v>5</v>
      </c>
      <c r="H21" s="175" t="s">
        <v>6</v>
      </c>
      <c r="I21" s="176" t="s">
        <v>96</v>
      </c>
      <c r="J21" s="177" t="s">
        <v>1</v>
      </c>
      <c r="K21" s="11"/>
    </row>
    <row r="22" spans="2:10" s="3" customFormat="1" ht="18" customHeight="1">
      <c r="B22" s="131" t="s">
        <v>47</v>
      </c>
      <c r="C22" s="132"/>
      <c r="D22" s="133"/>
      <c r="E22" s="214" t="s">
        <v>65</v>
      </c>
      <c r="F22" s="215"/>
      <c r="G22" s="163">
        <v>10</v>
      </c>
      <c r="H22" s="145" t="s">
        <v>74</v>
      </c>
      <c r="I22" s="146">
        <f>E15</f>
        <v>16000</v>
      </c>
      <c r="J22" s="178">
        <f aca="true" t="shared" si="0" ref="J22:J31">G22*I22</f>
        <v>160000</v>
      </c>
    </row>
    <row r="23" spans="2:10" s="3" customFormat="1" ht="18" customHeight="1">
      <c r="B23" s="134" t="s">
        <v>48</v>
      </c>
      <c r="C23" s="135"/>
      <c r="D23" s="136"/>
      <c r="E23" s="216" t="s">
        <v>66</v>
      </c>
      <c r="F23" s="217"/>
      <c r="G23" s="164">
        <v>6</v>
      </c>
      <c r="H23" s="158" t="s">
        <v>74</v>
      </c>
      <c r="I23" s="148">
        <f>$E$15</f>
        <v>16000</v>
      </c>
      <c r="J23" s="178">
        <f t="shared" si="0"/>
        <v>96000</v>
      </c>
    </row>
    <row r="24" spans="2:10" s="3" customFormat="1" ht="18" customHeight="1">
      <c r="B24" s="134" t="s">
        <v>49</v>
      </c>
      <c r="C24" s="135"/>
      <c r="D24" s="136"/>
      <c r="E24" s="216" t="s">
        <v>67</v>
      </c>
      <c r="F24" s="217"/>
      <c r="G24" s="164">
        <v>4</v>
      </c>
      <c r="H24" s="158" t="s">
        <v>74</v>
      </c>
      <c r="I24" s="148">
        <f>E15</f>
        <v>16000</v>
      </c>
      <c r="J24" s="178">
        <f>G24*I24</f>
        <v>64000</v>
      </c>
    </row>
    <row r="25" spans="2:10" s="3" customFormat="1" ht="18" customHeight="1">
      <c r="B25" s="134" t="s">
        <v>50</v>
      </c>
      <c r="C25" s="135"/>
      <c r="D25" s="136"/>
      <c r="E25" s="216" t="s">
        <v>68</v>
      </c>
      <c r="F25" s="217"/>
      <c r="G25" s="164">
        <v>4</v>
      </c>
      <c r="H25" s="158" t="s">
        <v>74</v>
      </c>
      <c r="I25" s="148">
        <f>E15</f>
        <v>16000</v>
      </c>
      <c r="J25" s="178">
        <f>G25*I25</f>
        <v>64000</v>
      </c>
    </row>
    <row r="26" spans="2:10" s="3" customFormat="1" ht="18" customHeight="1">
      <c r="B26" s="134" t="s">
        <v>51</v>
      </c>
      <c r="C26" s="135"/>
      <c r="D26" s="136"/>
      <c r="E26" s="216" t="s">
        <v>69</v>
      </c>
      <c r="F26" s="217"/>
      <c r="G26" s="164">
        <v>8</v>
      </c>
      <c r="H26" s="158" t="s">
        <v>74</v>
      </c>
      <c r="I26" s="148">
        <f>E15</f>
        <v>16000</v>
      </c>
      <c r="J26" s="178">
        <f>G26*I26</f>
        <v>128000</v>
      </c>
    </row>
    <row r="27" spans="2:10" s="3" customFormat="1" ht="18" customHeight="1">
      <c r="B27" s="134" t="s">
        <v>39</v>
      </c>
      <c r="C27" s="135"/>
      <c r="D27" s="136"/>
      <c r="E27" s="216" t="s">
        <v>67</v>
      </c>
      <c r="F27" s="217"/>
      <c r="G27" s="164">
        <v>15</v>
      </c>
      <c r="H27" s="158" t="s">
        <v>74</v>
      </c>
      <c r="I27" s="148">
        <f>E15</f>
        <v>16000</v>
      </c>
      <c r="J27" s="178">
        <f>G27*I27</f>
        <v>240000</v>
      </c>
    </row>
    <row r="28" spans="2:10" s="3" customFormat="1" ht="18" customHeight="1">
      <c r="B28" s="134" t="s">
        <v>52</v>
      </c>
      <c r="C28" s="135"/>
      <c r="D28" s="136"/>
      <c r="E28" s="216" t="s">
        <v>70</v>
      </c>
      <c r="F28" s="217"/>
      <c r="G28" s="164">
        <v>5</v>
      </c>
      <c r="H28" s="158" t="s">
        <v>74</v>
      </c>
      <c r="I28" s="148">
        <f>$E$15</f>
        <v>16000</v>
      </c>
      <c r="J28" s="178">
        <f t="shared" si="0"/>
        <v>80000</v>
      </c>
    </row>
    <row r="29" spans="2:10" s="3" customFormat="1" ht="18" customHeight="1">
      <c r="B29" s="134" t="s">
        <v>53</v>
      </c>
      <c r="C29" s="135"/>
      <c r="D29" s="136"/>
      <c r="E29" s="216" t="s">
        <v>71</v>
      </c>
      <c r="F29" s="217"/>
      <c r="G29" s="164">
        <v>3</v>
      </c>
      <c r="H29" s="158" t="s">
        <v>74</v>
      </c>
      <c r="I29" s="148">
        <f>$E$15</f>
        <v>16000</v>
      </c>
      <c r="J29" s="178">
        <f t="shared" si="0"/>
        <v>48000</v>
      </c>
    </row>
    <row r="30" spans="2:18" s="3" customFormat="1" ht="18" customHeight="1">
      <c r="B30" s="134" t="s">
        <v>54</v>
      </c>
      <c r="C30" s="135"/>
      <c r="D30" s="136"/>
      <c r="E30" s="216" t="s">
        <v>72</v>
      </c>
      <c r="F30" s="217"/>
      <c r="G30" s="164">
        <v>4</v>
      </c>
      <c r="H30" s="158" t="s">
        <v>74</v>
      </c>
      <c r="I30" s="148">
        <f>$E$15</f>
        <v>16000</v>
      </c>
      <c r="J30" s="178">
        <f t="shared" si="0"/>
        <v>64000</v>
      </c>
      <c r="R30" s="21"/>
    </row>
    <row r="31" spans="2:10" s="3" customFormat="1" ht="18" customHeight="1">
      <c r="B31" s="137" t="s">
        <v>94</v>
      </c>
      <c r="C31" s="138"/>
      <c r="D31" s="139"/>
      <c r="E31" s="218" t="s">
        <v>73</v>
      </c>
      <c r="F31" s="219"/>
      <c r="G31" s="165">
        <f>E13</f>
        <v>75000</v>
      </c>
      <c r="H31" s="149" t="s">
        <v>75</v>
      </c>
      <c r="I31" s="150">
        <v>18</v>
      </c>
      <c r="J31" s="179">
        <f t="shared" si="0"/>
        <v>1350000</v>
      </c>
    </row>
    <row r="32" spans="2:11" ht="18">
      <c r="B32" s="212" t="s">
        <v>8</v>
      </c>
      <c r="C32" s="213"/>
      <c r="D32" s="213"/>
      <c r="E32" s="213"/>
      <c r="F32" s="213"/>
      <c r="G32" s="213"/>
      <c r="H32" s="213"/>
      <c r="I32" s="213"/>
      <c r="J32" s="93">
        <f>SUM(J22:J31)</f>
        <v>2294000</v>
      </c>
      <c r="K32" s="3"/>
    </row>
    <row r="33" spans="2:10" s="3" customFormat="1" ht="18">
      <c r="B33" s="72"/>
      <c r="C33" s="72"/>
      <c r="D33" s="72"/>
      <c r="E33" s="72"/>
      <c r="F33" s="72"/>
      <c r="G33" s="20"/>
      <c r="H33" s="72"/>
      <c r="I33" s="72"/>
      <c r="J33" s="22"/>
    </row>
    <row r="34" spans="2:11" s="23" customFormat="1" ht="21">
      <c r="B34" s="222" t="s">
        <v>111</v>
      </c>
      <c r="C34" s="223"/>
      <c r="D34" s="223"/>
      <c r="E34" s="224" t="s">
        <v>95</v>
      </c>
      <c r="F34" s="225"/>
      <c r="G34" s="174" t="s">
        <v>5</v>
      </c>
      <c r="H34" s="175" t="s">
        <v>6</v>
      </c>
      <c r="I34" s="176" t="s">
        <v>96</v>
      </c>
      <c r="J34" s="177" t="s">
        <v>1</v>
      </c>
      <c r="K34" s="3"/>
    </row>
    <row r="35" spans="2:10" s="3" customFormat="1" ht="18">
      <c r="B35" s="189" t="s">
        <v>55</v>
      </c>
      <c r="C35" s="190"/>
      <c r="D35" s="191"/>
      <c r="E35" s="214" t="s">
        <v>77</v>
      </c>
      <c r="F35" s="215"/>
      <c r="G35" s="151">
        <v>1</v>
      </c>
      <c r="H35" s="152" t="s">
        <v>76</v>
      </c>
      <c r="I35" s="153">
        <v>48000</v>
      </c>
      <c r="J35" s="119">
        <f>I35*G35</f>
        <v>48000</v>
      </c>
    </row>
    <row r="36" spans="2:10" s="3" customFormat="1" ht="18">
      <c r="B36" s="192" t="s">
        <v>56</v>
      </c>
      <c r="C36" s="193"/>
      <c r="D36" s="194"/>
      <c r="E36" s="216" t="s">
        <v>67</v>
      </c>
      <c r="F36" s="217"/>
      <c r="G36" s="154">
        <v>3</v>
      </c>
      <c r="H36" s="155" t="s">
        <v>76</v>
      </c>
      <c r="I36" s="156">
        <v>25000</v>
      </c>
      <c r="J36" s="120">
        <f>G36*I36</f>
        <v>75000</v>
      </c>
    </row>
    <row r="37" spans="2:10" s="3" customFormat="1" ht="18">
      <c r="B37" s="181" t="s">
        <v>57</v>
      </c>
      <c r="C37" s="182"/>
      <c r="D37" s="183"/>
      <c r="E37" s="216" t="s">
        <v>78</v>
      </c>
      <c r="F37" s="217"/>
      <c r="G37" s="147">
        <v>2</v>
      </c>
      <c r="H37" s="147" t="s">
        <v>76</v>
      </c>
      <c r="I37" s="157">
        <v>30000</v>
      </c>
      <c r="J37" s="120">
        <f>I37*G37</f>
        <v>60000</v>
      </c>
    </row>
    <row r="38" spans="2:10" s="3" customFormat="1" ht="18">
      <c r="B38" s="192" t="s">
        <v>38</v>
      </c>
      <c r="C38" s="193"/>
      <c r="D38" s="194"/>
      <c r="E38" s="216" t="s">
        <v>67</v>
      </c>
      <c r="F38" s="217"/>
      <c r="G38" s="147">
        <v>3</v>
      </c>
      <c r="H38" s="147" t="s">
        <v>76</v>
      </c>
      <c r="I38" s="157">
        <v>5000</v>
      </c>
      <c r="J38" s="120">
        <f>I38*G38</f>
        <v>15000</v>
      </c>
    </row>
    <row r="39" spans="2:10" s="3" customFormat="1" ht="18">
      <c r="B39" s="181" t="s">
        <v>58</v>
      </c>
      <c r="C39" s="182"/>
      <c r="D39" s="183"/>
      <c r="E39" s="216" t="s">
        <v>70</v>
      </c>
      <c r="F39" s="217"/>
      <c r="G39" s="147">
        <v>3</v>
      </c>
      <c r="H39" s="147" t="s">
        <v>76</v>
      </c>
      <c r="I39" s="157">
        <v>5000</v>
      </c>
      <c r="J39" s="120">
        <f>I39*G39</f>
        <v>15000</v>
      </c>
    </row>
    <row r="40" spans="2:10" s="3" customFormat="1" ht="18">
      <c r="B40" s="192" t="s">
        <v>32</v>
      </c>
      <c r="C40" s="193"/>
      <c r="D40" s="194"/>
      <c r="E40" s="218" t="s">
        <v>70</v>
      </c>
      <c r="F40" s="219"/>
      <c r="G40" s="155">
        <v>1</v>
      </c>
      <c r="H40" s="155" t="s">
        <v>76</v>
      </c>
      <c r="I40" s="156">
        <v>60000</v>
      </c>
      <c r="J40" s="125">
        <f>I40*G40</f>
        <v>60000</v>
      </c>
    </row>
    <row r="41" spans="2:12" ht="18">
      <c r="B41" s="212" t="s">
        <v>10</v>
      </c>
      <c r="C41" s="213"/>
      <c r="D41" s="213"/>
      <c r="E41" s="213"/>
      <c r="F41" s="213"/>
      <c r="G41" s="213"/>
      <c r="H41" s="213"/>
      <c r="I41" s="213"/>
      <c r="J41" s="113">
        <f>SUM(J35:J40)</f>
        <v>273000</v>
      </c>
      <c r="K41" s="3"/>
      <c r="L41" s="11"/>
    </row>
    <row r="42" spans="2:12" s="3" customFormat="1" ht="18">
      <c r="B42" s="72"/>
      <c r="C42" s="72"/>
      <c r="D42" s="72"/>
      <c r="E42" s="72"/>
      <c r="F42" s="72"/>
      <c r="G42" s="20"/>
      <c r="H42" s="72"/>
      <c r="I42" s="72"/>
      <c r="J42" s="22"/>
      <c r="L42" s="14"/>
    </row>
    <row r="43" spans="2:12" s="3" customFormat="1" ht="18" customHeight="1">
      <c r="B43" s="222" t="s">
        <v>113</v>
      </c>
      <c r="C43" s="223"/>
      <c r="D43" s="226"/>
      <c r="E43" s="221" t="s">
        <v>95</v>
      </c>
      <c r="F43" s="220"/>
      <c r="G43" s="174" t="s">
        <v>5</v>
      </c>
      <c r="H43" s="175" t="s">
        <v>6</v>
      </c>
      <c r="I43" s="176" t="s">
        <v>96</v>
      </c>
      <c r="J43" s="177" t="s">
        <v>1</v>
      </c>
      <c r="L43" s="19"/>
    </row>
    <row r="44" spans="2:12" s="3" customFormat="1" ht="20.25" customHeight="1">
      <c r="B44" s="200" t="s">
        <v>107</v>
      </c>
      <c r="C44" s="201"/>
      <c r="D44" s="202"/>
      <c r="E44" s="214"/>
      <c r="F44" s="215"/>
      <c r="G44" s="129"/>
      <c r="H44" s="118"/>
      <c r="I44" s="120"/>
      <c r="J44" s="6"/>
      <c r="L44" s="19"/>
    </row>
    <row r="45" spans="2:12" s="3" customFormat="1" ht="18" customHeight="1">
      <c r="B45" s="185" t="s">
        <v>42</v>
      </c>
      <c r="C45" s="198"/>
      <c r="D45" s="199"/>
      <c r="E45" s="216" t="s">
        <v>82</v>
      </c>
      <c r="F45" s="217"/>
      <c r="G45" s="164">
        <v>400</v>
      </c>
      <c r="H45" s="158" t="s">
        <v>79</v>
      </c>
      <c r="I45" s="159">
        <v>413</v>
      </c>
      <c r="J45" s="6">
        <f>G45*I45</f>
        <v>165200</v>
      </c>
      <c r="L45" s="19"/>
    </row>
    <row r="46" spans="2:12" s="3" customFormat="1" ht="18" customHeight="1">
      <c r="B46" s="185" t="s">
        <v>37</v>
      </c>
      <c r="C46" s="198"/>
      <c r="D46" s="199"/>
      <c r="E46" s="216" t="s">
        <v>85</v>
      </c>
      <c r="F46" s="217"/>
      <c r="G46" s="164">
        <v>379</v>
      </c>
      <c r="H46" s="158" t="s">
        <v>79</v>
      </c>
      <c r="I46" s="159">
        <v>330</v>
      </c>
      <c r="J46" s="6">
        <f>G46*I46</f>
        <v>125070</v>
      </c>
      <c r="L46" s="19"/>
    </row>
    <row r="47" spans="2:12" s="3" customFormat="1" ht="18" customHeight="1">
      <c r="B47" s="185" t="s">
        <v>43</v>
      </c>
      <c r="C47" s="186"/>
      <c r="D47" s="187"/>
      <c r="E47" s="216" t="s">
        <v>86</v>
      </c>
      <c r="F47" s="217"/>
      <c r="G47" s="164">
        <v>300</v>
      </c>
      <c r="H47" s="158" t="s">
        <v>79</v>
      </c>
      <c r="I47" s="159">
        <v>500</v>
      </c>
      <c r="J47" s="6">
        <f>G47*I47</f>
        <v>150000</v>
      </c>
      <c r="L47" s="19"/>
    </row>
    <row r="48" spans="2:12" s="3" customFormat="1" ht="18" customHeight="1">
      <c r="B48" s="195" t="s">
        <v>24</v>
      </c>
      <c r="C48" s="196"/>
      <c r="D48" s="197"/>
      <c r="E48" s="216"/>
      <c r="F48" s="217"/>
      <c r="G48" s="164"/>
      <c r="H48" s="158"/>
      <c r="I48" s="159"/>
      <c r="J48" s="6"/>
      <c r="L48" s="19"/>
    </row>
    <row r="49" spans="2:12" s="3" customFormat="1" ht="18" customHeight="1">
      <c r="B49" s="206" t="s">
        <v>100</v>
      </c>
      <c r="C49" s="193"/>
      <c r="D49" s="194"/>
      <c r="E49" s="216" t="s">
        <v>87</v>
      </c>
      <c r="F49" s="217"/>
      <c r="G49" s="164">
        <v>2</v>
      </c>
      <c r="H49" s="158" t="s">
        <v>79</v>
      </c>
      <c r="I49" s="159">
        <v>22000</v>
      </c>
      <c r="J49" s="6">
        <f>G49*I49</f>
        <v>44000</v>
      </c>
      <c r="L49" s="19"/>
    </row>
    <row r="50" spans="2:12" s="3" customFormat="1" ht="18" customHeight="1">
      <c r="B50" s="206" t="s">
        <v>104</v>
      </c>
      <c r="C50" s="193"/>
      <c r="D50" s="194"/>
      <c r="E50" s="216" t="s">
        <v>87</v>
      </c>
      <c r="F50" s="217"/>
      <c r="G50" s="164">
        <v>0.5</v>
      </c>
      <c r="H50" s="158" t="s">
        <v>80</v>
      </c>
      <c r="I50" s="159">
        <v>120000</v>
      </c>
      <c r="J50" s="6">
        <f>G50*I50</f>
        <v>60000</v>
      </c>
      <c r="L50" s="19"/>
    </row>
    <row r="51" spans="2:12" s="3" customFormat="1" ht="18" customHeight="1">
      <c r="B51" s="195" t="s">
        <v>25</v>
      </c>
      <c r="C51" s="196"/>
      <c r="D51" s="197"/>
      <c r="E51" s="216"/>
      <c r="F51" s="217"/>
      <c r="G51" s="164"/>
      <c r="H51" s="158"/>
      <c r="I51" s="159"/>
      <c r="J51" s="6"/>
      <c r="L51" s="19"/>
    </row>
    <row r="52" spans="2:12" s="3" customFormat="1" ht="18" customHeight="1">
      <c r="B52" s="206" t="s">
        <v>101</v>
      </c>
      <c r="C52" s="193"/>
      <c r="D52" s="194"/>
      <c r="E52" s="216" t="s">
        <v>88</v>
      </c>
      <c r="F52" s="217"/>
      <c r="G52" s="166">
        <v>0.5</v>
      </c>
      <c r="H52" s="160" t="s">
        <v>80</v>
      </c>
      <c r="I52" s="159">
        <v>41000</v>
      </c>
      <c r="J52" s="6">
        <f>G52*I52</f>
        <v>20500</v>
      </c>
      <c r="L52" s="19"/>
    </row>
    <row r="53" spans="2:12" s="3" customFormat="1" ht="18" customHeight="1">
      <c r="B53" s="206" t="s">
        <v>102</v>
      </c>
      <c r="C53" s="193"/>
      <c r="D53" s="194"/>
      <c r="E53" s="216" t="s">
        <v>88</v>
      </c>
      <c r="F53" s="217"/>
      <c r="G53" s="166">
        <v>0.1</v>
      </c>
      <c r="H53" s="160" t="s">
        <v>79</v>
      </c>
      <c r="I53" s="159">
        <v>101200</v>
      </c>
      <c r="J53" s="6">
        <f>G53*I53</f>
        <v>10120</v>
      </c>
      <c r="L53" s="19"/>
    </row>
    <row r="54" spans="2:12" s="3" customFormat="1" ht="18" customHeight="1">
      <c r="B54" s="184" t="s">
        <v>35</v>
      </c>
      <c r="C54" s="182"/>
      <c r="D54" s="183"/>
      <c r="E54" s="229"/>
      <c r="F54" s="217"/>
      <c r="G54" s="166"/>
      <c r="H54" s="160"/>
      <c r="I54" s="159"/>
      <c r="J54" s="6"/>
      <c r="L54" s="19"/>
    </row>
    <row r="55" spans="2:12" s="3" customFormat="1" ht="18" customHeight="1">
      <c r="B55" s="206" t="s">
        <v>103</v>
      </c>
      <c r="C55" s="193"/>
      <c r="D55" s="194"/>
      <c r="E55" s="216" t="s">
        <v>83</v>
      </c>
      <c r="F55" s="217"/>
      <c r="G55" s="166">
        <v>2.5</v>
      </c>
      <c r="H55" s="160" t="s">
        <v>80</v>
      </c>
      <c r="I55" s="159">
        <v>16200</v>
      </c>
      <c r="J55" s="6">
        <f>G55*I55</f>
        <v>40500</v>
      </c>
      <c r="L55" s="19"/>
    </row>
    <row r="56" spans="2:12" s="3" customFormat="1" ht="18" customHeight="1">
      <c r="B56" s="188" t="s">
        <v>33</v>
      </c>
      <c r="C56" s="115"/>
      <c r="D56" s="116"/>
      <c r="E56" s="229"/>
      <c r="F56" s="217"/>
      <c r="G56" s="166"/>
      <c r="H56" s="160"/>
      <c r="I56" s="159"/>
      <c r="J56" s="6"/>
      <c r="L56" s="19"/>
    </row>
    <row r="57" spans="2:12" s="3" customFormat="1" ht="18" customHeight="1">
      <c r="B57" s="185" t="s">
        <v>41</v>
      </c>
      <c r="C57" s="198"/>
      <c r="D57" s="199"/>
      <c r="E57" s="216" t="s">
        <v>89</v>
      </c>
      <c r="F57" s="217"/>
      <c r="G57" s="166">
        <v>1</v>
      </c>
      <c r="H57" s="160" t="s">
        <v>80</v>
      </c>
      <c r="I57" s="159">
        <v>26600</v>
      </c>
      <c r="J57" s="6">
        <f>G57*I57</f>
        <v>26600</v>
      </c>
      <c r="L57" s="19"/>
    </row>
    <row r="58" spans="2:12" s="3" customFormat="1" ht="18" customHeight="1">
      <c r="B58" s="185" t="s">
        <v>98</v>
      </c>
      <c r="C58" s="186"/>
      <c r="D58" s="187"/>
      <c r="E58" s="216" t="s">
        <v>73</v>
      </c>
      <c r="F58" s="217"/>
      <c r="G58" s="166">
        <f>E13/45</f>
        <v>1666.6666666666667</v>
      </c>
      <c r="H58" s="160" t="s">
        <v>75</v>
      </c>
      <c r="I58" s="159">
        <v>350</v>
      </c>
      <c r="J58" s="6">
        <f>G58*I58</f>
        <v>583333.3333333334</v>
      </c>
      <c r="L58" s="19"/>
    </row>
    <row r="59" spans="2:12" s="3" customFormat="1" ht="18" customHeight="1">
      <c r="B59" s="185" t="s">
        <v>40</v>
      </c>
      <c r="C59" s="198"/>
      <c r="D59" s="199"/>
      <c r="E59" s="216" t="s">
        <v>84</v>
      </c>
      <c r="F59" s="217"/>
      <c r="G59" s="166">
        <v>1</v>
      </c>
      <c r="H59" s="160" t="s">
        <v>76</v>
      </c>
      <c r="I59" s="159">
        <v>30000</v>
      </c>
      <c r="J59" s="6">
        <f>G59*I59</f>
        <v>30000</v>
      </c>
      <c r="L59" s="19"/>
    </row>
    <row r="60" spans="2:12" s="3" customFormat="1" ht="18" customHeight="1">
      <c r="B60" s="207" t="s">
        <v>114</v>
      </c>
      <c r="C60" s="203"/>
      <c r="D60" s="204"/>
      <c r="E60" s="218" t="s">
        <v>72</v>
      </c>
      <c r="F60" s="219"/>
      <c r="G60" s="167">
        <v>1</v>
      </c>
      <c r="H60" s="161" t="s">
        <v>81</v>
      </c>
      <c r="I60" s="162">
        <v>28000</v>
      </c>
      <c r="J60" s="6">
        <f>G60*I60</f>
        <v>28000</v>
      </c>
      <c r="L60" s="19"/>
    </row>
    <row r="61" spans="2:14" ht="18">
      <c r="B61" s="227" t="s">
        <v>11</v>
      </c>
      <c r="C61" s="228"/>
      <c r="D61" s="228"/>
      <c r="E61" s="228"/>
      <c r="F61" s="228"/>
      <c r="G61" s="228"/>
      <c r="H61" s="228"/>
      <c r="I61" s="228"/>
      <c r="J61" s="114">
        <f>SUM(J44:J60)</f>
        <v>1283323.3333333335</v>
      </c>
      <c r="K61" s="11"/>
      <c r="M61" s="11"/>
      <c r="N61" s="11"/>
    </row>
    <row r="62" spans="2:14" s="3" customFormat="1" ht="18">
      <c r="B62" s="24"/>
      <c r="C62" s="24"/>
      <c r="D62" s="24"/>
      <c r="E62" s="24"/>
      <c r="F62" s="24"/>
      <c r="G62" s="25"/>
      <c r="H62" s="24"/>
      <c r="I62" s="24"/>
      <c r="J62" s="26"/>
      <c r="K62" s="11"/>
      <c r="M62" s="11"/>
      <c r="N62" s="11"/>
    </row>
    <row r="63" spans="2:14" s="3" customFormat="1" ht="18">
      <c r="B63" s="222" t="s">
        <v>122</v>
      </c>
      <c r="C63" s="223"/>
      <c r="D63" s="223"/>
      <c r="E63" s="232"/>
      <c r="F63" s="232"/>
      <c r="G63" s="170" t="s">
        <v>5</v>
      </c>
      <c r="H63" s="171" t="s">
        <v>6</v>
      </c>
      <c r="I63" s="172"/>
      <c r="J63" s="173" t="s">
        <v>1</v>
      </c>
      <c r="K63" s="11"/>
      <c r="M63" s="11"/>
      <c r="N63" s="11"/>
    </row>
    <row r="64" spans="2:14" s="3" customFormat="1" ht="18">
      <c r="B64" s="266" t="s">
        <v>123</v>
      </c>
      <c r="C64" s="267"/>
      <c r="D64" s="268"/>
      <c r="E64" s="269"/>
      <c r="F64" s="270"/>
      <c r="G64" s="271">
        <v>0.05</v>
      </c>
      <c r="H64" s="272" t="s">
        <v>90</v>
      </c>
      <c r="I64" s="273"/>
      <c r="J64" s="274">
        <f>(J61+J41+J32)*G64</f>
        <v>192516.1666666667</v>
      </c>
      <c r="K64" s="11"/>
      <c r="M64" s="11"/>
      <c r="N64" s="11"/>
    </row>
    <row r="65" spans="2:14" s="3" customFormat="1" ht="18">
      <c r="B65" s="24"/>
      <c r="C65" s="24"/>
      <c r="D65" s="24"/>
      <c r="E65" s="24"/>
      <c r="F65" s="24"/>
      <c r="G65" s="25"/>
      <c r="H65" s="24"/>
      <c r="I65" s="24"/>
      <c r="J65" s="26"/>
      <c r="K65" s="11"/>
      <c r="M65" s="11"/>
      <c r="N65" s="11"/>
    </row>
    <row r="66" spans="2:16" ht="18">
      <c r="B66" s="230" t="s">
        <v>125</v>
      </c>
      <c r="C66" s="231"/>
      <c r="D66" s="231"/>
      <c r="E66" s="231"/>
      <c r="F66" s="231"/>
      <c r="G66" s="231"/>
      <c r="H66" s="231"/>
      <c r="I66" s="231"/>
      <c r="J66" s="93">
        <f>J32+J41+J61+J64</f>
        <v>4042839.5</v>
      </c>
      <c r="K66" s="11"/>
      <c r="M66" s="11"/>
      <c r="N66" s="11"/>
      <c r="O66" s="5"/>
      <c r="P66" s="5"/>
    </row>
    <row r="67" spans="2:14" s="3" customFormat="1" ht="18">
      <c r="B67" s="73"/>
      <c r="C67" s="73"/>
      <c r="D67" s="73"/>
      <c r="E67" s="73"/>
      <c r="F67" s="73"/>
      <c r="G67" s="27"/>
      <c r="H67" s="73"/>
      <c r="I67" s="73"/>
      <c r="J67" s="22"/>
      <c r="K67" s="11"/>
      <c r="M67" s="11"/>
      <c r="N67" s="11"/>
    </row>
    <row r="68" spans="2:14" s="3" customFormat="1" ht="18">
      <c r="B68" s="123"/>
      <c r="C68" s="123"/>
      <c r="D68" s="123"/>
      <c r="E68" s="123"/>
      <c r="F68" s="123"/>
      <c r="G68" s="27"/>
      <c r="H68" s="123"/>
      <c r="I68" s="123"/>
      <c r="J68" s="22"/>
      <c r="K68" s="11"/>
      <c r="M68" s="11"/>
      <c r="N68" s="11"/>
    </row>
    <row r="69" spans="2:14" s="3" customFormat="1" ht="20.25">
      <c r="B69" s="109" t="s">
        <v>124</v>
      </c>
      <c r="C69" s="108"/>
      <c r="D69" s="108"/>
      <c r="E69" s="15"/>
      <c r="F69" s="15"/>
      <c r="G69" s="16"/>
      <c r="H69" s="17"/>
      <c r="I69" s="18"/>
      <c r="J69" s="18"/>
      <c r="K69" s="11"/>
      <c r="M69" s="11"/>
      <c r="N69" s="11"/>
    </row>
    <row r="70" spans="2:14" s="3" customFormat="1" ht="18">
      <c r="B70" s="233" t="s">
        <v>31</v>
      </c>
      <c r="C70" s="232"/>
      <c r="D70" s="232"/>
      <c r="E70" s="300"/>
      <c r="F70" s="300"/>
      <c r="G70" s="170" t="s">
        <v>5</v>
      </c>
      <c r="H70" s="171" t="s">
        <v>6</v>
      </c>
      <c r="I70" s="172"/>
      <c r="J70" s="173" t="s">
        <v>1</v>
      </c>
      <c r="K70" s="11"/>
      <c r="M70" s="11"/>
      <c r="N70" s="11"/>
    </row>
    <row r="71" spans="2:15" s="3" customFormat="1" ht="21">
      <c r="B71" s="189" t="s">
        <v>115</v>
      </c>
      <c r="C71" s="190"/>
      <c r="D71" s="190"/>
      <c r="E71" s="326"/>
      <c r="F71" s="327"/>
      <c r="G71" s="262">
        <f>E16</f>
        <v>0.015</v>
      </c>
      <c r="H71" s="208" t="s">
        <v>90</v>
      </c>
      <c r="I71" s="209"/>
      <c r="J71" s="6">
        <f>J66*E16*E17*0.5</f>
        <v>151606.48125</v>
      </c>
      <c r="K71" s="11"/>
      <c r="L71" s="278"/>
      <c r="M71" s="278"/>
      <c r="N71" s="278"/>
      <c r="O71" s="278"/>
    </row>
    <row r="72" spans="2:15" s="3" customFormat="1" ht="18">
      <c r="B72" s="192" t="s">
        <v>131</v>
      </c>
      <c r="C72" s="193"/>
      <c r="D72" s="193"/>
      <c r="E72" s="328"/>
      <c r="F72" s="329"/>
      <c r="G72" s="263"/>
      <c r="H72" s="260"/>
      <c r="I72" s="261"/>
      <c r="J72" s="6"/>
      <c r="K72" s="11"/>
      <c r="L72" s="205"/>
      <c r="M72" s="205"/>
      <c r="N72" s="205"/>
      <c r="O72" s="205"/>
    </row>
    <row r="73" spans="2:15" s="3" customFormat="1" ht="18">
      <c r="B73" s="192" t="s">
        <v>132</v>
      </c>
      <c r="C73" s="193"/>
      <c r="D73" s="193"/>
      <c r="E73" s="328"/>
      <c r="F73" s="329"/>
      <c r="G73" s="263"/>
      <c r="H73" s="260"/>
      <c r="I73" s="261"/>
      <c r="J73" s="6"/>
      <c r="K73" s="11"/>
      <c r="L73" s="205"/>
      <c r="M73" s="205"/>
      <c r="N73" s="205"/>
      <c r="O73" s="205"/>
    </row>
    <row r="74" spans="2:15" s="3" customFormat="1" ht="18">
      <c r="B74" s="192" t="s">
        <v>133</v>
      </c>
      <c r="C74" s="193"/>
      <c r="D74" s="193"/>
      <c r="E74" s="330"/>
      <c r="F74" s="331"/>
      <c r="G74" s="263"/>
      <c r="H74" s="260"/>
      <c r="I74" s="261"/>
      <c r="J74" s="6"/>
      <c r="K74" s="11"/>
      <c r="L74" s="205"/>
      <c r="M74" s="205"/>
      <c r="N74" s="205"/>
      <c r="O74" s="205"/>
    </row>
    <row r="75" spans="2:14" ht="18">
      <c r="B75" s="212" t="s">
        <v>28</v>
      </c>
      <c r="C75" s="213"/>
      <c r="D75" s="213"/>
      <c r="E75" s="213"/>
      <c r="F75" s="213"/>
      <c r="G75" s="213"/>
      <c r="H75" s="213"/>
      <c r="I75" s="213"/>
      <c r="J75" s="93">
        <f>SUM(J71:J74)</f>
        <v>151606.48125</v>
      </c>
      <c r="K75" s="11"/>
      <c r="M75" s="11"/>
      <c r="N75" s="11"/>
    </row>
    <row r="76" spans="2:12" s="3" customFormat="1" ht="18">
      <c r="B76" s="72"/>
      <c r="C76" s="72"/>
      <c r="D76" s="72"/>
      <c r="E76" s="72"/>
      <c r="F76" s="72"/>
      <c r="G76" s="20"/>
      <c r="H76" s="72"/>
      <c r="I76" s="72"/>
      <c r="J76" s="22"/>
      <c r="K76" s="11"/>
      <c r="L76" s="11"/>
    </row>
    <row r="77" spans="2:12" ht="18">
      <c r="B77" s="238" t="s">
        <v>13</v>
      </c>
      <c r="C77" s="239"/>
      <c r="D77" s="239"/>
      <c r="E77" s="239"/>
      <c r="F77" s="239"/>
      <c r="G77" s="239"/>
      <c r="H77" s="239"/>
      <c r="I77" s="239"/>
      <c r="J77" s="236">
        <f>J66+J75</f>
        <v>4194445.98125</v>
      </c>
      <c r="K77" s="11"/>
      <c r="L77" s="11"/>
    </row>
    <row r="78" spans="2:12" s="3" customFormat="1" ht="18">
      <c r="B78" s="234"/>
      <c r="C78" s="235"/>
      <c r="D78" s="235"/>
      <c r="E78" s="235"/>
      <c r="F78" s="235"/>
      <c r="G78" s="235"/>
      <c r="H78" s="235"/>
      <c r="I78" s="235"/>
      <c r="J78" s="237"/>
      <c r="K78" s="11"/>
      <c r="L78" s="11"/>
    </row>
    <row r="79" spans="2:12" s="3" customFormat="1" ht="18">
      <c r="B79" s="72"/>
      <c r="C79" s="72"/>
      <c r="D79" s="72"/>
      <c r="E79" s="72"/>
      <c r="F79" s="72"/>
      <c r="G79" s="72"/>
      <c r="H79" s="72"/>
      <c r="I79" s="72"/>
      <c r="J79" s="180"/>
      <c r="K79" s="11"/>
      <c r="L79" s="11"/>
    </row>
    <row r="80" spans="2:12" s="3" customFormat="1" ht="18" customHeight="1">
      <c r="B80" s="127"/>
      <c r="C80" s="127"/>
      <c r="D80" s="127"/>
      <c r="E80" s="127"/>
      <c r="F80" s="127"/>
      <c r="G80" s="127"/>
      <c r="H80" s="127"/>
      <c r="I80" s="127"/>
      <c r="J80" s="128"/>
      <c r="K80" s="11"/>
      <c r="L80" s="11"/>
    </row>
    <row r="81" spans="2:12" ht="18" customHeight="1">
      <c r="B81" s="294" t="s">
        <v>116</v>
      </c>
      <c r="C81" s="295"/>
      <c r="D81" s="295"/>
      <c r="E81" s="295"/>
      <c r="F81" s="295"/>
      <c r="G81" s="295"/>
      <c r="H81" s="295"/>
      <c r="I81" s="295"/>
      <c r="J81" s="296"/>
      <c r="K81" s="11"/>
      <c r="L81" s="19"/>
    </row>
    <row r="82" spans="2:12" ht="18" customHeight="1">
      <c r="B82" s="297" t="s">
        <v>91</v>
      </c>
      <c r="C82" s="298"/>
      <c r="D82" s="298"/>
      <c r="E82" s="298"/>
      <c r="F82" s="298"/>
      <c r="G82" s="298"/>
      <c r="H82" s="298"/>
      <c r="I82" s="298"/>
      <c r="J82" s="299"/>
      <c r="K82" s="11"/>
      <c r="L82" s="19"/>
    </row>
    <row r="83" spans="2:12" s="3" customFormat="1" ht="18" customHeight="1">
      <c r="B83" s="316" t="s">
        <v>93</v>
      </c>
      <c r="C83" s="317"/>
      <c r="D83" s="318"/>
      <c r="E83" s="319" t="s">
        <v>92</v>
      </c>
      <c r="F83" s="320"/>
      <c r="G83" s="320"/>
      <c r="H83" s="320"/>
      <c r="I83" s="320"/>
      <c r="J83" s="321"/>
      <c r="K83" s="11"/>
      <c r="L83" s="19"/>
    </row>
    <row r="84" spans="2:12" s="3" customFormat="1" ht="18" customHeight="1">
      <c r="B84" s="240"/>
      <c r="C84" s="241"/>
      <c r="D84" s="242"/>
      <c r="E84" s="282">
        <f>G84*0.9</f>
        <v>85.5</v>
      </c>
      <c r="F84" s="284"/>
      <c r="G84" s="322">
        <f>E14</f>
        <v>95</v>
      </c>
      <c r="H84" s="323"/>
      <c r="I84" s="282">
        <f>G84*1.1</f>
        <v>104.50000000000001</v>
      </c>
      <c r="J84" s="284"/>
      <c r="K84" s="11"/>
      <c r="L84" s="19"/>
    </row>
    <row r="85" spans="2:12" s="3" customFormat="1" ht="18" customHeight="1">
      <c r="B85" s="282">
        <f>B86*0.9</f>
        <v>67500</v>
      </c>
      <c r="C85" s="283"/>
      <c r="D85" s="284"/>
      <c r="E85" s="311">
        <f>E$84*$B$85-$J$77</f>
        <v>1576804.0187499998</v>
      </c>
      <c r="F85" s="312"/>
      <c r="G85" s="311">
        <f>G$84*$B$85-$J$77</f>
        <v>2218054.01875</v>
      </c>
      <c r="H85" s="312"/>
      <c r="I85" s="311">
        <f>I$84*$B$85-$J$77</f>
        <v>2859304.0187500007</v>
      </c>
      <c r="J85" s="312"/>
      <c r="K85" s="11"/>
      <c r="L85" s="19"/>
    </row>
    <row r="86" spans="2:12" s="3" customFormat="1" ht="18" customHeight="1">
      <c r="B86" s="282">
        <f>E13</f>
        <v>75000</v>
      </c>
      <c r="C86" s="283"/>
      <c r="D86" s="284"/>
      <c r="E86" s="311">
        <f>E$84*$B$86-$J$77</f>
        <v>2218054.01875</v>
      </c>
      <c r="F86" s="312"/>
      <c r="G86" s="311">
        <f>G$84*$B$86-$J$77</f>
        <v>2930554.01875</v>
      </c>
      <c r="H86" s="312"/>
      <c r="I86" s="311">
        <f>I$84*$B$86-$J$77</f>
        <v>3643054.0187500007</v>
      </c>
      <c r="J86" s="312"/>
      <c r="K86" s="11"/>
      <c r="L86" s="19"/>
    </row>
    <row r="87" spans="2:12" s="3" customFormat="1" ht="18" customHeight="1">
      <c r="B87" s="282">
        <f>B86*1.1</f>
        <v>82500</v>
      </c>
      <c r="C87" s="283"/>
      <c r="D87" s="284"/>
      <c r="E87" s="311">
        <f>E$84*$B$87-$J$77</f>
        <v>2859304.01875</v>
      </c>
      <c r="F87" s="312"/>
      <c r="G87" s="311">
        <f>G$84*$B$87-$J$77</f>
        <v>3643054.01875</v>
      </c>
      <c r="H87" s="312"/>
      <c r="I87" s="311">
        <f>I$84*$B$87-$J$77</f>
        <v>4426804.018750002</v>
      </c>
      <c r="J87" s="312"/>
      <c r="K87" s="11"/>
      <c r="L87" s="19"/>
    </row>
    <row r="88" spans="2:12" s="3" customFormat="1" ht="18" customHeight="1">
      <c r="B88" s="29"/>
      <c r="C88" s="29"/>
      <c r="D88" s="30"/>
      <c r="E88" s="30"/>
      <c r="F88" s="30"/>
      <c r="G88" s="31"/>
      <c r="H88" s="7"/>
      <c r="I88" s="10"/>
      <c r="J88" s="10"/>
      <c r="K88" s="11"/>
      <c r="L88" s="19"/>
    </row>
    <row r="89" spans="2:12" s="3" customFormat="1" ht="18" customHeight="1">
      <c r="B89" s="279" t="s">
        <v>121</v>
      </c>
      <c r="C89" s="280"/>
      <c r="D89" s="280"/>
      <c r="E89" s="280"/>
      <c r="F89" s="280"/>
      <c r="G89" s="280"/>
      <c r="H89" s="280"/>
      <c r="I89" s="280"/>
      <c r="J89" s="281"/>
      <c r="K89" s="11"/>
      <c r="L89" s="19"/>
    </row>
    <row r="90" spans="2:12" s="3" customFormat="1" ht="18" customHeight="1">
      <c r="B90" s="243"/>
      <c r="C90" s="244"/>
      <c r="D90" s="244"/>
      <c r="E90" s="244"/>
      <c r="F90" s="244"/>
      <c r="G90" s="244"/>
      <c r="H90" s="244"/>
      <c r="I90" s="244"/>
      <c r="J90" s="245"/>
      <c r="K90" s="11"/>
      <c r="L90" s="19"/>
    </row>
    <row r="91" spans="2:12" s="3" customFormat="1" ht="18" customHeight="1">
      <c r="B91" s="246" t="s">
        <v>93</v>
      </c>
      <c r="C91" s="247"/>
      <c r="D91" s="247"/>
      <c r="E91" s="247">
        <f>B85</f>
        <v>67500</v>
      </c>
      <c r="F91" s="247"/>
      <c r="G91" s="247">
        <f>E13</f>
        <v>75000</v>
      </c>
      <c r="H91" s="247"/>
      <c r="I91" s="247">
        <f>B87</f>
        <v>82500</v>
      </c>
      <c r="J91" s="256"/>
      <c r="K91" s="11"/>
      <c r="L91" s="19"/>
    </row>
    <row r="92" spans="2:12" ht="18" customHeight="1">
      <c r="B92" s="248"/>
      <c r="C92" s="249"/>
      <c r="D92" s="249"/>
      <c r="E92" s="249"/>
      <c r="F92" s="249"/>
      <c r="G92" s="249"/>
      <c r="H92" s="249"/>
      <c r="I92" s="249"/>
      <c r="J92" s="257"/>
      <c r="K92" s="11"/>
      <c r="L92" s="19"/>
    </row>
    <row r="93" spans="2:12" ht="18" customHeight="1">
      <c r="B93" s="250" t="s">
        <v>108</v>
      </c>
      <c r="C93" s="251"/>
      <c r="D93" s="251"/>
      <c r="E93" s="254">
        <f>$J$77/E91</f>
        <v>62.13994046296297</v>
      </c>
      <c r="F93" s="254"/>
      <c r="G93" s="254">
        <f>$J$77/G91</f>
        <v>55.92594641666667</v>
      </c>
      <c r="H93" s="254"/>
      <c r="I93" s="254">
        <f>$J$77/I91</f>
        <v>50.84176946969697</v>
      </c>
      <c r="J93" s="258"/>
      <c r="K93" s="11"/>
      <c r="L93" s="19"/>
    </row>
    <row r="94" spans="2:12" ht="18" customHeight="1">
      <c r="B94" s="252"/>
      <c r="C94" s="253"/>
      <c r="D94" s="253"/>
      <c r="E94" s="255"/>
      <c r="F94" s="255"/>
      <c r="G94" s="255"/>
      <c r="H94" s="255"/>
      <c r="I94" s="255"/>
      <c r="J94" s="259"/>
      <c r="K94" s="11"/>
      <c r="L94" s="19"/>
    </row>
    <row r="95" spans="2:12" ht="18" customHeight="1">
      <c r="B95" s="37"/>
      <c r="C95" s="1"/>
      <c r="D95" s="3"/>
      <c r="E95" s="3"/>
      <c r="F95" s="94"/>
      <c r="G95" s="94"/>
      <c r="H95" s="94"/>
      <c r="I95" s="10"/>
      <c r="J95" s="10"/>
      <c r="K95" s="11"/>
      <c r="L95" s="19"/>
    </row>
    <row r="96" spans="2:11" s="3" customFormat="1" ht="18" customHeight="1">
      <c r="B96" s="313" t="s">
        <v>15</v>
      </c>
      <c r="C96" s="314"/>
      <c r="D96" s="314"/>
      <c r="E96" s="314"/>
      <c r="F96" s="314"/>
      <c r="G96" s="314"/>
      <c r="H96" s="314"/>
      <c r="I96" s="314"/>
      <c r="J96" s="315"/>
      <c r="K96" s="68"/>
    </row>
    <row r="97" spans="2:14" s="3" customFormat="1" ht="19.5" customHeight="1">
      <c r="B97" s="288" t="s">
        <v>109</v>
      </c>
      <c r="C97" s="289"/>
      <c r="D97" s="289"/>
      <c r="E97" s="289"/>
      <c r="F97" s="289"/>
      <c r="G97" s="289"/>
      <c r="H97" s="289"/>
      <c r="I97" s="289"/>
      <c r="J97" s="290"/>
      <c r="K97" s="68"/>
      <c r="N97" s="95"/>
    </row>
    <row r="98" spans="2:14" s="3" customFormat="1" ht="17.25" customHeight="1">
      <c r="B98" s="288" t="s">
        <v>110</v>
      </c>
      <c r="C98" s="289"/>
      <c r="D98" s="289"/>
      <c r="E98" s="289"/>
      <c r="F98" s="289"/>
      <c r="G98" s="289"/>
      <c r="H98" s="289"/>
      <c r="I98" s="289"/>
      <c r="J98" s="290"/>
      <c r="K98" s="68"/>
      <c r="N98" s="95"/>
    </row>
    <row r="99" spans="2:14" s="3" customFormat="1" ht="17.25" customHeight="1">
      <c r="B99" s="288" t="s">
        <v>112</v>
      </c>
      <c r="C99" s="289"/>
      <c r="D99" s="289"/>
      <c r="E99" s="289"/>
      <c r="F99" s="289"/>
      <c r="G99" s="289"/>
      <c r="H99" s="289"/>
      <c r="I99" s="289"/>
      <c r="J99" s="290"/>
      <c r="K99" s="68"/>
      <c r="N99" s="95"/>
    </row>
    <row r="100" spans="2:11" s="3" customFormat="1" ht="30" customHeight="1">
      <c r="B100" s="288" t="s">
        <v>117</v>
      </c>
      <c r="C100" s="289"/>
      <c r="D100" s="289"/>
      <c r="E100" s="289"/>
      <c r="F100" s="289"/>
      <c r="G100" s="289"/>
      <c r="H100" s="289"/>
      <c r="I100" s="289"/>
      <c r="J100" s="290"/>
      <c r="K100" s="69"/>
    </row>
    <row r="101" spans="2:11" s="3" customFormat="1" ht="18" customHeight="1">
      <c r="B101" s="288" t="s">
        <v>118</v>
      </c>
      <c r="C101" s="289"/>
      <c r="D101" s="289"/>
      <c r="E101" s="289"/>
      <c r="F101" s="289"/>
      <c r="G101" s="289"/>
      <c r="H101" s="289"/>
      <c r="I101" s="289"/>
      <c r="J101" s="290"/>
      <c r="K101" s="68"/>
    </row>
    <row r="102" spans="2:11" s="3" customFormat="1" ht="18" customHeight="1">
      <c r="B102" s="288" t="s">
        <v>134</v>
      </c>
      <c r="C102" s="289"/>
      <c r="D102" s="289"/>
      <c r="E102" s="289"/>
      <c r="F102" s="289"/>
      <c r="G102" s="289"/>
      <c r="H102" s="289"/>
      <c r="I102" s="289"/>
      <c r="J102" s="290"/>
      <c r="K102" s="68"/>
    </row>
    <row r="103" spans="2:11" s="3" customFormat="1" ht="18">
      <c r="B103" s="285" t="s">
        <v>119</v>
      </c>
      <c r="C103" s="286"/>
      <c r="D103" s="286"/>
      <c r="E103" s="286"/>
      <c r="F103" s="286"/>
      <c r="G103" s="286"/>
      <c r="H103" s="286"/>
      <c r="I103" s="286"/>
      <c r="J103" s="287"/>
      <c r="K103" s="68"/>
    </row>
    <row r="104" spans="2:11" s="3" customFormat="1" ht="18" customHeight="1">
      <c r="B104" s="285" t="s">
        <v>120</v>
      </c>
      <c r="C104" s="286"/>
      <c r="D104" s="286"/>
      <c r="E104" s="286"/>
      <c r="F104" s="286"/>
      <c r="G104" s="286"/>
      <c r="H104" s="286"/>
      <c r="I104" s="286"/>
      <c r="J104" s="287"/>
      <c r="K104" s="69"/>
    </row>
    <row r="105" spans="2:11" s="3" customFormat="1" ht="18" customHeight="1">
      <c r="B105" s="292"/>
      <c r="C105" s="293"/>
      <c r="D105" s="293"/>
      <c r="E105" s="293"/>
      <c r="F105" s="293"/>
      <c r="G105" s="293"/>
      <c r="H105" s="293"/>
      <c r="I105" s="168"/>
      <c r="J105" s="169"/>
      <c r="K105" s="28"/>
    </row>
    <row r="106" spans="2:12" ht="18">
      <c r="B106" s="47"/>
      <c r="C106" s="47"/>
      <c r="D106" s="48"/>
      <c r="E106" s="48"/>
      <c r="F106" s="49"/>
      <c r="G106" s="49"/>
      <c r="H106" s="49"/>
      <c r="I106" s="57"/>
      <c r="J106" s="57"/>
      <c r="K106" s="59"/>
      <c r="L106" s="57"/>
    </row>
    <row r="107" spans="2:12" ht="18">
      <c r="B107" s="47"/>
      <c r="C107" s="50"/>
      <c r="D107" s="50"/>
      <c r="E107" s="51"/>
      <c r="F107" s="50"/>
      <c r="G107" s="52"/>
      <c r="H107" s="53"/>
      <c r="I107" s="57"/>
      <c r="J107" s="57"/>
      <c r="K107" s="59"/>
      <c r="L107" s="57"/>
    </row>
    <row r="108" spans="2:12" ht="18">
      <c r="B108" s="48"/>
      <c r="C108" s="48"/>
      <c r="D108" s="48"/>
      <c r="E108" s="48"/>
      <c r="F108" s="48"/>
      <c r="G108" s="48"/>
      <c r="H108" s="48"/>
      <c r="I108" s="57"/>
      <c r="J108" s="57"/>
      <c r="K108" s="59"/>
      <c r="L108" s="57"/>
    </row>
    <row r="109" spans="2:12" ht="18">
      <c r="B109" s="47"/>
      <c r="C109" s="48"/>
      <c r="D109" s="48"/>
      <c r="E109" s="48"/>
      <c r="F109" s="48"/>
      <c r="G109" s="48"/>
      <c r="H109" s="48"/>
      <c r="I109" s="57"/>
      <c r="J109" s="57"/>
      <c r="K109" s="59"/>
      <c r="L109" s="57"/>
    </row>
    <row r="110" spans="2:12" ht="18">
      <c r="B110" s="60"/>
      <c r="C110" s="61"/>
      <c r="D110" s="62"/>
      <c r="E110" s="63"/>
      <c r="F110" s="62"/>
      <c r="G110" s="64"/>
      <c r="H110" s="64"/>
      <c r="I110" s="57"/>
      <c r="J110" s="57"/>
      <c r="K110" s="59"/>
      <c r="L110" s="57"/>
    </row>
    <row r="111" spans="2:12" ht="18">
      <c r="B111" s="60"/>
      <c r="C111" s="61"/>
      <c r="D111" s="62"/>
      <c r="E111" s="63"/>
      <c r="F111" s="62"/>
      <c r="G111" s="64"/>
      <c r="H111" s="64"/>
      <c r="I111" s="57"/>
      <c r="J111" s="57"/>
      <c r="K111" s="59"/>
      <c r="L111" s="57"/>
    </row>
    <row r="112" spans="2:12" ht="18">
      <c r="B112" s="291"/>
      <c r="C112" s="291"/>
      <c r="D112" s="62"/>
      <c r="E112" s="63"/>
      <c r="F112" s="62"/>
      <c r="G112" s="64"/>
      <c r="H112" s="64"/>
      <c r="I112" s="57"/>
      <c r="J112" s="57"/>
      <c r="K112" s="59"/>
      <c r="L112" s="57"/>
    </row>
    <row r="113" spans="2:12" ht="18">
      <c r="B113" s="60"/>
      <c r="C113" s="61"/>
      <c r="D113" s="62"/>
      <c r="E113" s="63"/>
      <c r="F113" s="62"/>
      <c r="G113" s="64"/>
      <c r="H113" s="64"/>
      <c r="I113" s="57"/>
      <c r="J113" s="57"/>
      <c r="K113" s="59"/>
      <c r="L113" s="57"/>
    </row>
    <row r="114" spans="2:12" ht="18">
      <c r="B114" s="60"/>
      <c r="C114" s="61"/>
      <c r="D114" s="62"/>
      <c r="E114" s="63"/>
      <c r="F114" s="62"/>
      <c r="G114" s="64"/>
      <c r="H114" s="64"/>
      <c r="I114" s="57"/>
      <c r="J114" s="57"/>
      <c r="K114" s="59"/>
      <c r="L114" s="57"/>
    </row>
    <row r="115" spans="2:12" ht="18">
      <c r="B115" s="60"/>
      <c r="C115" s="61"/>
      <c r="D115" s="62"/>
      <c r="E115" s="63"/>
      <c r="F115" s="62"/>
      <c r="G115" s="64"/>
      <c r="H115" s="64"/>
      <c r="I115" s="57"/>
      <c r="J115" s="57"/>
      <c r="K115" s="59"/>
      <c r="L115" s="57"/>
    </row>
    <row r="116" spans="2:12" ht="18">
      <c r="B116" s="60"/>
      <c r="C116" s="61"/>
      <c r="D116" s="62"/>
      <c r="E116" s="63"/>
      <c r="F116" s="62"/>
      <c r="G116" s="64"/>
      <c r="H116" s="64"/>
      <c r="I116" s="57"/>
      <c r="J116" s="57"/>
      <c r="K116" s="59"/>
      <c r="L116" s="57"/>
    </row>
    <row r="117" spans="2:12" ht="18">
      <c r="B117" s="60"/>
      <c r="C117" s="61"/>
      <c r="D117" s="62"/>
      <c r="E117" s="63"/>
      <c r="F117" s="62"/>
      <c r="G117" s="64"/>
      <c r="H117" s="64"/>
      <c r="I117" s="57"/>
      <c r="J117" s="57"/>
      <c r="K117" s="59"/>
      <c r="L117" s="57"/>
    </row>
    <row r="118" spans="2:12" ht="18">
      <c r="B118" s="60"/>
      <c r="C118" s="61"/>
      <c r="D118" s="62"/>
      <c r="E118" s="63"/>
      <c r="F118" s="62"/>
      <c r="G118" s="64"/>
      <c r="H118" s="64"/>
      <c r="I118" s="57"/>
      <c r="J118" s="57"/>
      <c r="K118" s="59"/>
      <c r="L118" s="57"/>
    </row>
    <row r="119" spans="2:12" ht="18">
      <c r="B119" s="60"/>
      <c r="C119" s="61"/>
      <c r="D119" s="62"/>
      <c r="E119" s="63"/>
      <c r="F119" s="62"/>
      <c r="G119" s="64"/>
      <c r="H119" s="64"/>
      <c r="I119" s="57"/>
      <c r="J119" s="57"/>
      <c r="K119" s="59"/>
      <c r="L119" s="57"/>
    </row>
    <row r="120" spans="2:12" ht="18">
      <c r="B120" s="60"/>
      <c r="C120" s="61"/>
      <c r="D120" s="62"/>
      <c r="E120" s="63"/>
      <c r="F120" s="62"/>
      <c r="G120" s="64"/>
      <c r="H120" s="64"/>
      <c r="I120" s="57"/>
      <c r="J120" s="57"/>
      <c r="K120" s="59"/>
      <c r="L120" s="57"/>
    </row>
    <row r="121" spans="2:12" ht="18">
      <c r="B121" s="60"/>
      <c r="C121" s="61"/>
      <c r="D121" s="62"/>
      <c r="E121" s="63"/>
      <c r="F121" s="62"/>
      <c r="G121" s="64"/>
      <c r="H121" s="64"/>
      <c r="I121" s="57"/>
      <c r="J121" s="57"/>
      <c r="K121" s="59"/>
      <c r="L121" s="57"/>
    </row>
    <row r="122" spans="2:12" ht="18">
      <c r="B122" s="60"/>
      <c r="C122" s="61"/>
      <c r="D122" s="62"/>
      <c r="E122" s="63"/>
      <c r="F122" s="62"/>
      <c r="G122" s="64"/>
      <c r="H122" s="64"/>
      <c r="I122" s="57"/>
      <c r="J122" s="57"/>
      <c r="K122" s="59"/>
      <c r="L122" s="57"/>
    </row>
    <row r="123" spans="2:12" ht="18">
      <c r="B123" s="54"/>
      <c r="C123" s="55"/>
      <c r="D123" s="55"/>
      <c r="E123" s="54"/>
      <c r="F123" s="54"/>
      <c r="G123" s="54"/>
      <c r="H123" s="56"/>
      <c r="I123" s="57"/>
      <c r="J123" s="57"/>
      <c r="K123" s="59"/>
      <c r="L123" s="57"/>
    </row>
    <row r="124" spans="2:12" ht="18">
      <c r="B124" s="48"/>
      <c r="C124" s="48"/>
      <c r="D124" s="48"/>
      <c r="E124" s="48"/>
      <c r="F124" s="48"/>
      <c r="G124" s="48"/>
      <c r="H124" s="48"/>
      <c r="I124" s="57"/>
      <c r="J124" s="57"/>
      <c r="K124" s="59"/>
      <c r="L124" s="57"/>
    </row>
    <row r="125" spans="2:12" ht="18">
      <c r="B125" s="54"/>
      <c r="C125" s="55"/>
      <c r="D125" s="55"/>
      <c r="E125" s="54"/>
      <c r="F125" s="54"/>
      <c r="G125" s="54"/>
      <c r="H125" s="56"/>
      <c r="I125" s="57"/>
      <c r="J125" s="57"/>
      <c r="K125" s="59"/>
      <c r="L125" s="57"/>
    </row>
    <row r="126" spans="2:12" s="3" customFormat="1" ht="15">
      <c r="B126" s="57"/>
      <c r="C126" s="57"/>
      <c r="D126" s="57"/>
      <c r="E126" s="57"/>
      <c r="F126" s="57"/>
      <c r="G126" s="58"/>
      <c r="H126" s="57"/>
      <c r="I126" s="57"/>
      <c r="J126" s="57"/>
      <c r="K126" s="59"/>
      <c r="L126" s="57"/>
    </row>
    <row r="127" spans="2:12" s="3" customFormat="1" ht="15">
      <c r="B127" s="57"/>
      <c r="C127" s="57"/>
      <c r="D127" s="57"/>
      <c r="E127" s="57"/>
      <c r="F127" s="57"/>
      <c r="G127" s="58"/>
      <c r="H127" s="57"/>
      <c r="I127" s="57"/>
      <c r="J127" s="57"/>
      <c r="K127" s="59"/>
      <c r="L127" s="57"/>
    </row>
    <row r="128" spans="2:12" s="3" customFormat="1" ht="15">
      <c r="B128" s="57"/>
      <c r="C128" s="57"/>
      <c r="D128" s="57"/>
      <c r="E128" s="57"/>
      <c r="F128" s="57"/>
      <c r="G128" s="58"/>
      <c r="H128" s="57"/>
      <c r="I128" s="57"/>
      <c r="J128" s="57"/>
      <c r="K128" s="59"/>
      <c r="L128" s="57"/>
    </row>
    <row r="129" spans="2:12" s="3" customFormat="1" ht="15">
      <c r="B129" s="57"/>
      <c r="C129" s="57"/>
      <c r="D129" s="57"/>
      <c r="E129" s="57"/>
      <c r="F129" s="57"/>
      <c r="G129" s="58"/>
      <c r="H129" s="57"/>
      <c r="I129" s="57"/>
      <c r="J129" s="57"/>
      <c r="K129" s="59"/>
      <c r="L129" s="57"/>
    </row>
    <row r="130" spans="2:12" s="3" customFormat="1" ht="15">
      <c r="B130" s="57"/>
      <c r="C130" s="57"/>
      <c r="D130" s="57"/>
      <c r="E130" s="57"/>
      <c r="F130" s="57"/>
      <c r="G130" s="58"/>
      <c r="H130" s="57"/>
      <c r="I130" s="57"/>
      <c r="J130" s="57"/>
      <c r="K130" s="59"/>
      <c r="L130" s="57"/>
    </row>
    <row r="131" spans="2:12" s="3" customFormat="1" ht="15">
      <c r="B131" s="57"/>
      <c r="C131" s="57"/>
      <c r="D131" s="57"/>
      <c r="E131" s="57"/>
      <c r="F131" s="57"/>
      <c r="G131" s="58"/>
      <c r="H131" s="57"/>
      <c r="I131" s="57"/>
      <c r="J131" s="57"/>
      <c r="K131" s="59"/>
      <c r="L131" s="57"/>
    </row>
    <row r="132" spans="2:12" s="3" customFormat="1" ht="15">
      <c r="B132" s="57"/>
      <c r="C132" s="57"/>
      <c r="D132" s="57"/>
      <c r="E132" s="57"/>
      <c r="F132" s="57"/>
      <c r="G132" s="58"/>
      <c r="H132" s="57"/>
      <c r="I132" s="57"/>
      <c r="J132" s="57"/>
      <c r="K132" s="59"/>
      <c r="L132" s="57"/>
    </row>
    <row r="133" spans="2:12" s="3" customFormat="1" ht="15">
      <c r="B133" s="57"/>
      <c r="C133" s="57"/>
      <c r="D133" s="57"/>
      <c r="E133" s="57"/>
      <c r="F133" s="57"/>
      <c r="G133" s="58"/>
      <c r="H133" s="57"/>
      <c r="I133" s="57"/>
      <c r="J133" s="57"/>
      <c r="K133" s="59"/>
      <c r="L133" s="57"/>
    </row>
    <row r="134" spans="2:12" s="3" customFormat="1" ht="15">
      <c r="B134" s="57"/>
      <c r="C134" s="57"/>
      <c r="D134" s="57"/>
      <c r="E134" s="57"/>
      <c r="F134" s="57"/>
      <c r="G134" s="58"/>
      <c r="H134" s="57"/>
      <c r="I134" s="57"/>
      <c r="J134" s="57"/>
      <c r="K134" s="59"/>
      <c r="L134" s="57"/>
    </row>
    <row r="135" spans="2:12" s="3" customFormat="1" ht="15">
      <c r="B135" s="57"/>
      <c r="C135" s="57"/>
      <c r="D135" s="57"/>
      <c r="E135" s="57"/>
      <c r="F135" s="57"/>
      <c r="G135" s="58"/>
      <c r="H135" s="57"/>
      <c r="I135" s="57"/>
      <c r="J135" s="57"/>
      <c r="K135" s="59"/>
      <c r="L135" s="57"/>
    </row>
    <row r="136" spans="2:12" s="3" customFormat="1" ht="15">
      <c r="B136" s="65"/>
      <c r="C136" s="65"/>
      <c r="D136" s="65"/>
      <c r="E136" s="65"/>
      <c r="F136" s="65"/>
      <c r="G136" s="58"/>
      <c r="H136" s="57"/>
      <c r="I136" s="57"/>
      <c r="J136" s="57"/>
      <c r="K136" s="59"/>
      <c r="L136" s="57"/>
    </row>
    <row r="137" spans="2:12" s="3" customFormat="1" ht="15">
      <c r="B137" s="57"/>
      <c r="C137" s="57"/>
      <c r="D137" s="57"/>
      <c r="E137" s="57"/>
      <c r="F137" s="57"/>
      <c r="G137" s="58"/>
      <c r="H137" s="57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57"/>
      <c r="C139" s="59"/>
      <c r="D139" s="59"/>
      <c r="E139" s="59"/>
      <c r="F139" s="59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9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9"/>
      <c r="D146" s="59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8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9"/>
      <c r="C159" s="59"/>
      <c r="D159" s="59"/>
      <c r="E159" s="59"/>
      <c r="F159" s="59"/>
      <c r="G159" s="59"/>
      <c r="H159" s="59"/>
      <c r="I159" s="59"/>
      <c r="J159" s="57"/>
      <c r="K159" s="59"/>
      <c r="L159" s="57"/>
    </row>
    <row r="160" spans="2:12" s="3" customFormat="1" ht="15">
      <c r="B160" s="59"/>
      <c r="C160" s="59"/>
      <c r="D160" s="59"/>
      <c r="E160" s="59"/>
      <c r="F160" s="59"/>
      <c r="G160" s="66"/>
      <c r="H160" s="59"/>
      <c r="I160" s="59"/>
      <c r="J160" s="57"/>
      <c r="K160" s="59"/>
      <c r="L160" s="66"/>
    </row>
    <row r="161" spans="2:12" s="3" customFormat="1" ht="15">
      <c r="B161" s="59"/>
      <c r="C161" s="59"/>
      <c r="D161" s="59"/>
      <c r="E161" s="59"/>
      <c r="F161" s="59"/>
      <c r="G161" s="59"/>
      <c r="H161" s="59"/>
      <c r="I161" s="6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9"/>
      <c r="I168" s="59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9"/>
      <c r="I169" s="59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9"/>
      <c r="I170" s="59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9"/>
      <c r="I177" s="59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9"/>
      <c r="I178" s="59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9"/>
      <c r="I179" s="59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</sheetData>
  <sheetProtection/>
  <mergeCells count="42">
    <mergeCell ref="B83:D83"/>
    <mergeCell ref="E83:J83"/>
    <mergeCell ref="I85:J85"/>
    <mergeCell ref="I86:J86"/>
    <mergeCell ref="I87:J87"/>
    <mergeCell ref="E84:F84"/>
    <mergeCell ref="G84:H84"/>
    <mergeCell ref="I84:J84"/>
    <mergeCell ref="E85:F85"/>
    <mergeCell ref="E86:F86"/>
    <mergeCell ref="E87:F87"/>
    <mergeCell ref="G85:H85"/>
    <mergeCell ref="G86:H86"/>
    <mergeCell ref="G87:H87"/>
    <mergeCell ref="B96:J96"/>
    <mergeCell ref="B100:J100"/>
    <mergeCell ref="D2:J2"/>
    <mergeCell ref="D3:J3"/>
    <mergeCell ref="D4:J4"/>
    <mergeCell ref="D6:J6"/>
    <mergeCell ref="E20:F20"/>
    <mergeCell ref="B21:D21"/>
    <mergeCell ref="B12:E12"/>
    <mergeCell ref="B103:J103"/>
    <mergeCell ref="B101:J101"/>
    <mergeCell ref="B104:J104"/>
    <mergeCell ref="B112:C112"/>
    <mergeCell ref="B97:J97"/>
    <mergeCell ref="B105:H105"/>
    <mergeCell ref="B102:J102"/>
    <mergeCell ref="B98:J98"/>
    <mergeCell ref="B99:J99"/>
    <mergeCell ref="G12:J12"/>
    <mergeCell ref="L71:O71"/>
    <mergeCell ref="B89:J89"/>
    <mergeCell ref="E71:F71"/>
    <mergeCell ref="B85:D85"/>
    <mergeCell ref="B86:D86"/>
    <mergeCell ref="B87:D87"/>
    <mergeCell ref="B81:J81"/>
    <mergeCell ref="B82:J82"/>
    <mergeCell ref="E70:F7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orientation="portrait" scale="39" r:id="rId2"/>
  <rowBreaks count="1" manualBreakCount="1">
    <brk id="79" max="10" man="1"/>
  </rowBreaks>
  <ignoredErrors>
    <ignoredError sqref="J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38" t="s">
        <v>17</v>
      </c>
      <c r="C2" s="41">
        <f>((alcachofa_española_coquimbo!E13-45000)/45000)+1</f>
        <v>1.6666666666666665</v>
      </c>
    </row>
    <row r="3" ht="18">
      <c r="B3" s="8"/>
    </row>
    <row r="4" spans="2:3" ht="18">
      <c r="B4" s="324" t="s">
        <v>18</v>
      </c>
      <c r="C4" s="324"/>
    </row>
    <row r="5" spans="2:5" ht="18">
      <c r="B5" s="70" t="s">
        <v>34</v>
      </c>
      <c r="C5" s="121"/>
      <c r="D5" s="71"/>
      <c r="E5" s="3">
        <v>45000</v>
      </c>
    </row>
    <row r="6" spans="2:4" ht="15">
      <c r="B6" s="21"/>
      <c r="C6" s="21"/>
      <c r="D6" s="21"/>
    </row>
    <row r="14" spans="2:4" ht="15">
      <c r="B14" s="325" t="s">
        <v>14</v>
      </c>
      <c r="C14" s="325"/>
      <c r="D14" s="325"/>
    </row>
    <row r="16" spans="2:4" ht="18">
      <c r="B16" s="40" t="s">
        <v>16</v>
      </c>
      <c r="C16" s="39">
        <f>alcachofa_española_coquimbo!B85</f>
        <v>67500</v>
      </c>
      <c r="D16" s="39">
        <f>alcachofa_española_coquimbo!B87</f>
        <v>82500</v>
      </c>
    </row>
    <row r="17" ht="15">
      <c r="B17" s="19"/>
    </row>
    <row r="18" spans="2:4" ht="15">
      <c r="B18" s="38" t="s">
        <v>17</v>
      </c>
      <c r="C18" s="41">
        <f>((C16-alcachofa_española_coquimbo!E13)/alcachofa_española_coquimbo!E13)+1</f>
        <v>0.9</v>
      </c>
      <c r="D18" s="41">
        <f>((D16-alcachofa_española_coquimbo!E13)/alcachofa_española_coquimbo!E13)+1</f>
        <v>1.1</v>
      </c>
    </row>
    <row r="19" spans="2:4" ht="18">
      <c r="B19" s="12"/>
      <c r="C19" s="39"/>
      <c r="D19" s="39"/>
    </row>
    <row r="20" spans="2:4" ht="18">
      <c r="B20" s="40" t="s">
        <v>7</v>
      </c>
      <c r="C20" s="39"/>
      <c r="D20" s="39"/>
    </row>
    <row r="21" spans="2:4" ht="18">
      <c r="B21" s="12" t="s">
        <v>19</v>
      </c>
      <c r="C21" s="5">
        <f>SUM(alcachofa_española_coquimbo!J22:J30)</f>
        <v>944000</v>
      </c>
      <c r="D21" s="5">
        <f>SUM(alcachofa_española_coquimbo!J22:J30)</f>
        <v>944000</v>
      </c>
    </row>
    <row r="22" spans="2:4" ht="18">
      <c r="B22" s="42" t="s">
        <v>20</v>
      </c>
      <c r="C22" s="43">
        <f>C18*alcachofa_española_coquimbo!G31*alcachofa_española_coquimbo!I31</f>
        <v>1215000</v>
      </c>
      <c r="D22" s="43">
        <f>D18*alcachofa_española_coquimbo!G31*alcachofa_española_coquimbo!I31</f>
        <v>1485000</v>
      </c>
    </row>
    <row r="23" spans="2:4" ht="18">
      <c r="B23" s="12" t="s">
        <v>21</v>
      </c>
      <c r="C23" s="5">
        <f>SUM(C21:C22)</f>
        <v>2159000</v>
      </c>
      <c r="D23" s="5">
        <f>SUM(D21:D22)</f>
        <v>2429000</v>
      </c>
    </row>
    <row r="24" ht="18">
      <c r="B24" s="12"/>
    </row>
    <row r="25" ht="18">
      <c r="B25" s="40" t="s">
        <v>9</v>
      </c>
    </row>
    <row r="26" spans="2:4" ht="18">
      <c r="B26" s="12" t="s">
        <v>19</v>
      </c>
      <c r="C26" s="5">
        <f>SUM(alcachofa_española_coquimbo!J35:J40)</f>
        <v>273000</v>
      </c>
      <c r="D26" s="5">
        <f>SUM(alcachofa_española_coquimbo!J35:J40)</f>
        <v>273000</v>
      </c>
    </row>
    <row r="27" spans="2:4" ht="18">
      <c r="B27" s="42" t="s">
        <v>20</v>
      </c>
      <c r="C27" s="43">
        <v>0</v>
      </c>
      <c r="D27" s="43">
        <v>0</v>
      </c>
    </row>
    <row r="28" spans="2:4" ht="18">
      <c r="B28" s="12" t="s">
        <v>21</v>
      </c>
      <c r="C28" s="5">
        <f>SUM(C26:C27)</f>
        <v>273000</v>
      </c>
      <c r="D28" s="5">
        <f>SUM(D26:D27)</f>
        <v>273000</v>
      </c>
    </row>
    <row r="30" ht="18">
      <c r="B30" s="40" t="s">
        <v>22</v>
      </c>
    </row>
    <row r="31" spans="2:4" ht="18">
      <c r="B31" s="12" t="s">
        <v>19</v>
      </c>
      <c r="C31" s="5">
        <f>SUM(alcachofa_española_coquimbo!J44:J60)</f>
        <v>1283323.3333333335</v>
      </c>
      <c r="D31" s="5">
        <f>SUM(alcachofa_española_coquimbo!J44:J60)</f>
        <v>1283323.3333333335</v>
      </c>
    </row>
    <row r="32" spans="2:4" ht="18">
      <c r="B32" s="42" t="s">
        <v>20</v>
      </c>
      <c r="C32" s="43">
        <v>0</v>
      </c>
      <c r="D32" s="43">
        <v>0</v>
      </c>
    </row>
    <row r="33" spans="2:4" ht="18">
      <c r="B33" s="12" t="s">
        <v>21</v>
      </c>
      <c r="C33" s="5">
        <f>SUM(C31:C32)</f>
        <v>1283323.3333333335</v>
      </c>
      <c r="D33" s="5">
        <f>SUM(D31:D32)</f>
        <v>1283323.3333333335</v>
      </c>
    </row>
    <row r="34" spans="2:4" ht="15">
      <c r="B34" s="19"/>
      <c r="C34" s="23"/>
      <c r="D34" s="23"/>
    </row>
    <row r="35" spans="2:4" ht="18">
      <c r="B35" s="45" t="s">
        <v>23</v>
      </c>
      <c r="C35" s="46">
        <f>C23+C28+C33</f>
        <v>3715323.3333333335</v>
      </c>
      <c r="D35" s="46">
        <f>D23+D28+D33</f>
        <v>3985323.3333333335</v>
      </c>
    </row>
    <row r="36" ht="15">
      <c r="B36" s="19"/>
    </row>
    <row r="37" spans="2:4" ht="18">
      <c r="B37" s="44" t="s">
        <v>0</v>
      </c>
      <c r="C37" s="5" t="e">
        <f>C35*alcachofa_española_coquimbo!#REF!</f>
        <v>#REF!</v>
      </c>
      <c r="D37" s="5" t="e">
        <f>D35*D18*alcachofa_española_coquimbo!#REF!</f>
        <v>#REF!</v>
      </c>
    </row>
    <row r="38" spans="2:4" ht="18">
      <c r="B38" s="44" t="s">
        <v>12</v>
      </c>
      <c r="C38" s="5">
        <f>C35*alcachofa_española_coquimbo!E16*alcachofa_española_coquimbo!E17*0.5</f>
        <v>139324.625</v>
      </c>
      <c r="D38" s="5">
        <f>D35*alcachofa_española_coquimbo!E16*alcachofa_española_coquimbo!E17*0.5</f>
        <v>149449.625</v>
      </c>
    </row>
    <row r="39" ht="15">
      <c r="B39" s="19"/>
    </row>
    <row r="40" spans="2:4" ht="18">
      <c r="B40" s="45" t="s">
        <v>13</v>
      </c>
      <c r="C40" s="46" t="e">
        <f>C35+C37+C38</f>
        <v>#REF!</v>
      </c>
      <c r="D40" s="46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2019-06-17T22:25:09Z</cp:lastPrinted>
  <dcterms:created xsi:type="dcterms:W3CDTF">2012-07-09T18:51:50Z</dcterms:created>
  <dcterms:modified xsi:type="dcterms:W3CDTF">2019-07-01T20:11:09Z</dcterms:modified>
  <cp:category/>
  <cp:version/>
  <cp:contentType/>
  <cp:contentStatus/>
</cp:coreProperties>
</file>