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lcachofa" sheetId="1" r:id="rId1"/>
    <sheet name="Hoja1" sheetId="2" state="hidden" r:id="rId2"/>
  </sheets>
  <definedNames>
    <definedName name="_xlnm.Print_Area" localSheetId="0">'Alcachofa'!$A$1:$K$108</definedName>
  </definedNames>
  <calcPr fullCalcOnLoad="1"/>
</workbook>
</file>

<file path=xl/sharedStrings.xml><?xml version="1.0" encoding="utf-8"?>
<sst xmlns="http://schemas.openxmlformats.org/spreadsheetml/2006/main" count="191" uniqueCount="129">
  <si>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</si>
  <si>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</si>
  <si>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</si>
  <si>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</si>
  <si>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</si>
  <si>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</si>
  <si>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</si>
  <si>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</si>
  <si>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</si>
  <si>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</si>
  <si>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</si>
  <si>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</si>
  <si>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</si>
  <si>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</si>
  <si>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</si>
  <si>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</si>
  <si>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</si>
  <si>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</si>
  <si>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</si>
  <si>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</si>
  <si>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</si>
  <si>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</si>
  <si>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</si>
  <si>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</si>
  <si>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</si>
  <si>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</si>
  <si>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</si>
  <si>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</si>
  <si>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</si>
  <si>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</si>
  <si>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</si>
  <si>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</si>
  <si>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</si>
  <si>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Cosecha: cortado, seleccionado y embalado</t>
  </si>
  <si>
    <t>Riego</t>
  </si>
  <si>
    <t>Aplicación fertilizantes</t>
  </si>
  <si>
    <t>Ficha Técnico Económica</t>
  </si>
  <si>
    <t>Costo jornada hombre ($/jornada hombre)</t>
  </si>
  <si>
    <t>enero - febrero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</si>
  <si>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</si>
  <si>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</si>
  <si>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</si>
  <si>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</si>
  <si>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</si>
  <si>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</si>
  <si>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</si>
  <si>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</si>
  <si>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</si>
  <si>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</si>
  <si>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</si>
  <si>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</si>
  <si>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</si>
  <si>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</si>
  <si>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</si>
  <si>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</si>
  <si>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</si>
  <si>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</si>
  <si>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</si>
  <si>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</si>
  <si>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Control manual de malezas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</si>
  <si>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</si>
  <si>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</si>
  <si>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</si>
  <si>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</si>
  <si>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</si>
  <si>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</si>
  <si>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</si>
  <si>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</si>
  <si>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</si>
  <si>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</si>
  <si>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Alcachofa</t>
  </si>
  <si>
    <t>Región: Valparaíso</t>
  </si>
  <si>
    <t>1 hectaréa agosto 2016</t>
  </si>
  <si>
    <t>Sistema de conducción: Botado</t>
  </si>
  <si>
    <t>Tecnología de riego: Surco</t>
  </si>
  <si>
    <t>Densidad (plantas/hectárea): 7.000</t>
  </si>
  <si>
    <t>Plantación: febrero</t>
  </si>
  <si>
    <t>Variedad: Española</t>
  </si>
  <si>
    <t>Destino de producción: Venta en predio "por corte"</t>
  </si>
  <si>
    <t>Tecnología: Media</t>
  </si>
  <si>
    <t>Rendimiento (unidades/hectárea):</t>
  </si>
  <si>
    <t>Aplicación pesticidas</t>
  </si>
  <si>
    <t>Preparar caminos para la cosecha</t>
  </si>
  <si>
    <t>Deshijadura</t>
  </si>
  <si>
    <t>febrero - octubre</t>
  </si>
  <si>
    <t>febrero - noviembre</t>
  </si>
  <si>
    <t>febrero - diciembre</t>
  </si>
  <si>
    <t>agosto - diciembre</t>
  </si>
  <si>
    <t>marzo - junio</t>
  </si>
  <si>
    <t>Aplicación Pesticidas</t>
  </si>
  <si>
    <t>Acarreo de cosecha</t>
  </si>
  <si>
    <t>Acequiadura</t>
  </si>
  <si>
    <t>Picado de rastrojo</t>
  </si>
  <si>
    <t>Trituradora</t>
  </si>
  <si>
    <t>Cultivación entre hileras</t>
  </si>
  <si>
    <t>Melgadura y abonadura</t>
  </si>
  <si>
    <t>febrero - julio</t>
  </si>
  <si>
    <t>enero - julio</t>
  </si>
  <si>
    <t>hora tractor</t>
  </si>
  <si>
    <t xml:space="preserve">   Mezcla 10-21-25</t>
  </si>
  <si>
    <t xml:space="preserve">   Nitrato de Potasio</t>
  </si>
  <si>
    <t xml:space="preserve">   Urea</t>
  </si>
  <si>
    <t xml:space="preserve">   Tango 24 EC</t>
  </si>
  <si>
    <t xml:space="preserve">   Iprodione 500 SC</t>
  </si>
  <si>
    <t xml:space="preserve">   Topas 200 EW</t>
  </si>
  <si>
    <t xml:space="preserve">   Pirimor</t>
  </si>
  <si>
    <t xml:space="preserve">   Punto 70 WP</t>
  </si>
  <si>
    <t>Otros:</t>
  </si>
  <si>
    <t xml:space="preserve">   Fosfimax 40 - 20</t>
  </si>
  <si>
    <t xml:space="preserve">   Terrasorb</t>
  </si>
  <si>
    <t>mayo - agosto</t>
  </si>
  <si>
    <t>marzo - octubre</t>
  </si>
  <si>
    <t>abril - junio</t>
  </si>
  <si>
    <t>marzo - noviembre</t>
  </si>
  <si>
    <t>abril - noviembre</t>
  </si>
  <si>
    <t>junio - diciembre</t>
  </si>
  <si>
    <t>noviembre - diciembre</t>
  </si>
  <si>
    <t>mayo - noviembre</t>
  </si>
  <si>
    <r>
      <t>Precio de venta mercado interno ($/unidad):</t>
    </r>
    <r>
      <rPr>
        <b/>
        <vertAlign val="superscript"/>
        <sz val="14"/>
        <rFont val="Arial"/>
        <family val="2"/>
      </rPr>
      <t xml:space="preserve"> (1)</t>
    </r>
  </si>
  <si>
    <r>
      <t>Cosecha, cortado, seleccionado y embalado</t>
    </r>
    <r>
      <rPr>
        <vertAlign val="superscript"/>
        <sz val="14"/>
        <rFont val="Arial"/>
        <family val="2"/>
      </rPr>
      <t xml:space="preserve"> (2)</t>
    </r>
  </si>
  <si>
    <r>
      <t xml:space="preserve">   Análisis de suelo (fertilidad completa)</t>
    </r>
    <r>
      <rPr>
        <vertAlign val="superscript"/>
        <sz val="14"/>
        <rFont val="Arial"/>
        <family val="2"/>
      </rPr>
      <t>(5)</t>
    </r>
  </si>
  <si>
    <t>(1) La unidad cosechada se llama cabeza de la planta de alcachofa y el precio corresponde al promedio de las entrevistas de la región durante el periodo de cosecha a nivel predial en la temporada 2015/16.</t>
  </si>
  <si>
    <t>(2) Costo de la  cosecha equivale a la unidad, llamada cabeza, se corta, se lleva a las cajas donde es seleccionada por el cosechero que en promedio llevan 60 unidades.</t>
  </si>
  <si>
    <t xml:space="preserve">(4)  Los insumos, la variedad de semilla y nombre de productos es solo referencial y no constituye recomendación alguna por parte de Odepa. Para cada caso particular, consultar con un profesional calificado de acuerdo a las condiciones específicas de cada predio. El agricultor debe revisar el período de carencia de cada producto fitosanitario antes de cosechar.  El productor puede cambiar los parámetros a través de la ficha de simulación. </t>
  </si>
  <si>
    <t>(6) 1,5% mensual simple, tasa de interés promedio de las empresas distribuidoras de insumos en el período indicado por sobre el 50% de los costos directos.</t>
  </si>
  <si>
    <t>(8)Representa el precio de venta mínimo para cubrir los costos totales de producción.</t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</si>
  <si>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(8)</t>
    </r>
  </si>
  <si>
    <t>Costo unitario ($/unidad)</t>
  </si>
  <si>
    <t>Fecha cosecha: agosto - diciembre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</si>
</sst>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 horizontal="left" indent="1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3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2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3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center"/>
      <protection/>
    </xf>
    <xf numFmtId="0" fontId="10" fillId="0" borderId="14" xfId="56" applyFont="1" applyFill="1" applyBorder="1" applyAlignment="1" applyProtection="1">
      <alignment horizontal="center"/>
      <protection/>
    </xf>
    <xf numFmtId="0" fontId="10" fillId="0" borderId="0" xfId="56" applyFont="1" applyFill="1" applyBorder="1" applyAlignment="1" applyProtection="1">
      <alignment horizontal="center"/>
      <protection/>
    </xf>
    <xf numFmtId="0" fontId="8" fillId="34" borderId="11" xfId="55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3" xfId="0" applyFill="1" applyBorder="1" applyAlignment="1">
      <alignment/>
    </xf>
    <xf numFmtId="0" fontId="8" fillId="34" borderId="17" xfId="67" applyNumberFormat="1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628650</xdr:colOff>
      <xdr:row>107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555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0"/>
  <sheetViews>
    <sheetView showGridLines="0" tabSelected="1" view="pageBreakPreview" zoomScale="70" zoomScaleNormal="70" zoomScaleSheetLayoutView="70" zoomScalePageLayoutView="80" workbookViewId="0" topLeftCell="A4">
      <selection activeCell="G11" sqref="G1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1"/>
      <c r="C2" s="141"/>
      <c r="D2" s="323" t="s">
        <v>36</v>
      </c>
      <c r="E2" s="323"/>
      <c r="F2" s="323"/>
      <c r="G2" s="323"/>
      <c r="H2" s="323"/>
      <c r="I2" s="323"/>
      <c r="J2" s="323"/>
    </row>
    <row r="3" spans="2:11" s="3" customFormat="1" ht="18" customHeight="1">
      <c r="B3" s="93"/>
      <c r="C3" s="113"/>
      <c r="D3" s="324" t="s">
        <v>70</v>
      </c>
      <c r="E3" s="324"/>
      <c r="F3" s="324"/>
      <c r="G3" s="324"/>
      <c r="H3" s="324"/>
      <c r="I3" s="324"/>
      <c r="J3" s="324"/>
      <c r="K3" s="13"/>
    </row>
    <row r="4" spans="2:11" s="3" customFormat="1" ht="18" customHeight="1">
      <c r="B4" s="93"/>
      <c r="C4" s="113"/>
      <c r="D4" s="324" t="s">
        <v>71</v>
      </c>
      <c r="E4" s="324"/>
      <c r="F4" s="324"/>
      <c r="G4" s="324"/>
      <c r="H4" s="324"/>
      <c r="I4" s="324"/>
      <c r="J4" s="324"/>
      <c r="K4" s="13"/>
    </row>
    <row r="5" spans="2:11" s="3" customFormat="1" ht="18" customHeight="1">
      <c r="B5" s="41"/>
      <c r="C5" s="41"/>
      <c r="D5" s="114"/>
      <c r="E5" s="43"/>
      <c r="F5" s="136"/>
      <c r="G5" s="136"/>
      <c r="H5" s="136"/>
      <c r="I5" s="136"/>
      <c r="J5" s="136"/>
      <c r="K5" s="15"/>
    </row>
    <row r="6" spans="2:11" s="3" customFormat="1" ht="18" customHeight="1">
      <c r="B6" s="41"/>
      <c r="C6" s="41"/>
      <c r="D6" s="332" t="s">
        <v>29</v>
      </c>
      <c r="E6" s="333"/>
      <c r="F6" s="333"/>
      <c r="G6" s="333"/>
      <c r="H6" s="333"/>
      <c r="I6" s="333"/>
      <c r="J6" s="334"/>
      <c r="K6" s="15"/>
    </row>
    <row r="7" spans="2:11" s="3" customFormat="1" ht="18" customHeight="1">
      <c r="B7" s="41"/>
      <c r="C7" s="41"/>
      <c r="D7" s="84" t="s">
        <v>72</v>
      </c>
      <c r="E7" s="85"/>
      <c r="F7" s="85"/>
      <c r="G7" s="86" t="s">
        <v>77</v>
      </c>
      <c r="H7" s="87"/>
      <c r="I7" s="88"/>
      <c r="J7" s="89"/>
      <c r="K7" s="15"/>
    </row>
    <row r="8" spans="2:11" s="3" customFormat="1" ht="18" customHeight="1">
      <c r="B8" s="41"/>
      <c r="C8" s="41"/>
      <c r="D8" s="90" t="s">
        <v>73</v>
      </c>
      <c r="E8" s="91"/>
      <c r="F8" s="91"/>
      <c r="G8" s="92" t="s">
        <v>78</v>
      </c>
      <c r="H8" s="93"/>
      <c r="I8" s="94"/>
      <c r="J8" s="95"/>
      <c r="K8" s="15"/>
    </row>
    <row r="9" spans="2:11" s="3" customFormat="1" ht="18" customHeight="1">
      <c r="B9" s="41"/>
      <c r="C9" s="41"/>
      <c r="D9" s="90" t="s">
        <v>74</v>
      </c>
      <c r="E9" s="167"/>
      <c r="F9" s="91"/>
      <c r="G9" s="92" t="s">
        <v>79</v>
      </c>
      <c r="H9" s="93"/>
      <c r="I9" s="94"/>
      <c r="J9" s="95"/>
      <c r="K9" s="17"/>
    </row>
    <row r="10" spans="2:11" s="3" customFormat="1" ht="18" customHeight="1">
      <c r="B10" s="41"/>
      <c r="C10" s="41"/>
      <c r="D10" s="90" t="s">
        <v>75</v>
      </c>
      <c r="E10" s="167"/>
      <c r="F10" s="91"/>
      <c r="G10" s="92" t="s">
        <v>128</v>
      </c>
      <c r="H10" s="93"/>
      <c r="I10" s="94"/>
      <c r="J10" s="95"/>
      <c r="K10" s="17"/>
    </row>
    <row r="11" spans="2:11" s="3" customFormat="1" ht="18" customHeight="1">
      <c r="B11" s="41"/>
      <c r="C11" s="41"/>
      <c r="D11" s="96" t="s">
        <v>76</v>
      </c>
      <c r="E11" s="97"/>
      <c r="F11" s="97"/>
      <c r="G11" s="295"/>
      <c r="H11" s="98"/>
      <c r="I11" s="99"/>
      <c r="J11" s="100"/>
      <c r="K11" s="17"/>
    </row>
    <row r="12" spans="2:11" s="3" customFormat="1" ht="18" customHeight="1">
      <c r="B12" s="41"/>
      <c r="C12" s="41"/>
      <c r="D12" s="25"/>
      <c r="E12" s="91"/>
      <c r="F12" s="91"/>
      <c r="G12" s="25"/>
      <c r="H12" s="93"/>
      <c r="I12" s="94"/>
      <c r="J12" s="122"/>
      <c r="K12" s="17"/>
    </row>
    <row r="13" spans="2:11" ht="18">
      <c r="B13" s="325" t="s">
        <v>30</v>
      </c>
      <c r="C13" s="326"/>
      <c r="D13" s="326"/>
      <c r="E13" s="327"/>
      <c r="F13" s="40"/>
      <c r="G13" s="328" t="s">
        <v>4</v>
      </c>
      <c r="H13" s="329"/>
      <c r="I13" s="329"/>
      <c r="J13" s="330"/>
      <c r="K13" s="15"/>
    </row>
    <row r="14" spans="2:11" ht="18">
      <c r="B14" s="105" t="s">
        <v>80</v>
      </c>
      <c r="C14" s="106"/>
      <c r="D14" s="85"/>
      <c r="E14" s="107">
        <v>90000</v>
      </c>
      <c r="F14" s="41"/>
      <c r="G14" s="109" t="s">
        <v>53</v>
      </c>
      <c r="H14" s="85"/>
      <c r="I14" s="85"/>
      <c r="J14" s="142">
        <f>E14*E15</f>
        <v>7650000</v>
      </c>
      <c r="K14" s="15"/>
    </row>
    <row r="15" spans="2:13" ht="18" customHeight="1">
      <c r="B15" s="212" t="s">
        <v>118</v>
      </c>
      <c r="C15" s="213"/>
      <c r="D15" s="213"/>
      <c r="E15" s="145">
        <v>85</v>
      </c>
      <c r="F15" s="41"/>
      <c r="G15" s="110" t="s">
        <v>50</v>
      </c>
      <c r="H15" s="41"/>
      <c r="I15" s="41"/>
      <c r="J15" s="143">
        <f>J31+J42+J62+J65</f>
        <v>4269519.45</v>
      </c>
      <c r="K15" s="15"/>
      <c r="M15" s="198"/>
    </row>
    <row r="16" spans="2:11" ht="18">
      <c r="B16" s="131" t="s">
        <v>37</v>
      </c>
      <c r="C16" s="42"/>
      <c r="D16" s="41"/>
      <c r="E16" s="145">
        <v>15000</v>
      </c>
      <c r="F16" s="41"/>
      <c r="G16" s="110" t="s">
        <v>52</v>
      </c>
      <c r="H16" s="43"/>
      <c r="I16" s="41"/>
      <c r="J16" s="143">
        <f>J31+J42+J62+J65+J75</f>
        <v>4589733.40875</v>
      </c>
      <c r="K16" s="15"/>
    </row>
    <row r="17" spans="2:11" ht="18">
      <c r="B17" s="131" t="s">
        <v>2</v>
      </c>
      <c r="C17" s="44"/>
      <c r="D17" s="41"/>
      <c r="E17" s="108">
        <v>0.015</v>
      </c>
      <c r="F17" s="41"/>
      <c r="G17" s="110" t="s">
        <v>54</v>
      </c>
      <c r="H17" s="41"/>
      <c r="I17" s="41"/>
      <c r="J17" s="143">
        <f>J14-J15</f>
        <v>3380480.55</v>
      </c>
      <c r="K17" s="15"/>
    </row>
    <row r="18" spans="2:11" ht="18">
      <c r="B18" s="131" t="s">
        <v>3</v>
      </c>
      <c r="C18" s="44"/>
      <c r="D18" s="41"/>
      <c r="E18" s="291">
        <v>10</v>
      </c>
      <c r="F18" s="41"/>
      <c r="G18" s="110" t="s">
        <v>55</v>
      </c>
      <c r="H18" s="41"/>
      <c r="I18" s="41"/>
      <c r="J18" s="143">
        <f>J14-J16</f>
        <v>3060266.5912499996</v>
      </c>
      <c r="K18" s="15"/>
    </row>
    <row r="19" spans="2:11" ht="18">
      <c r="B19" s="293"/>
      <c r="C19" s="292"/>
      <c r="D19" s="292"/>
      <c r="E19" s="294"/>
      <c r="F19" s="41"/>
      <c r="G19" s="111" t="s">
        <v>26</v>
      </c>
      <c r="H19" s="101"/>
      <c r="I19" s="112"/>
      <c r="J19" s="144">
        <f>G94</f>
        <v>50.997037875000004</v>
      </c>
      <c r="K19" s="15"/>
    </row>
    <row r="20" spans="2:11" s="3" customFormat="1" ht="18">
      <c r="B20" s="41"/>
      <c r="C20" s="41"/>
      <c r="D20" s="41"/>
      <c r="E20" s="19"/>
      <c r="F20" s="19"/>
      <c r="G20" s="20"/>
      <c r="H20" s="21"/>
      <c r="I20" s="22"/>
      <c r="J20" s="22"/>
      <c r="K20" s="15"/>
    </row>
    <row r="21" spans="2:11" s="3" customFormat="1" ht="20.25">
      <c r="B21" s="116" t="s">
        <v>27</v>
      </c>
      <c r="C21" s="115"/>
      <c r="D21" s="115"/>
      <c r="E21" s="331"/>
      <c r="F21" s="331"/>
      <c r="G21" s="117"/>
      <c r="H21" s="118"/>
      <c r="I21" s="129"/>
      <c r="J21" s="119"/>
      <c r="K21" s="15"/>
    </row>
    <row r="22" spans="2:11" s="3" customFormat="1" ht="18" customHeight="1">
      <c r="B22" s="227" t="s">
        <v>7</v>
      </c>
      <c r="C22" s="228"/>
      <c r="D22" s="228"/>
      <c r="E22" s="259" t="s">
        <v>39</v>
      </c>
      <c r="F22" s="258"/>
      <c r="G22" s="146" t="s">
        <v>5</v>
      </c>
      <c r="H22" s="147" t="s">
        <v>6</v>
      </c>
      <c r="I22" s="148" t="s">
        <v>47</v>
      </c>
      <c r="J22" s="149" t="s">
        <v>1</v>
      </c>
      <c r="K22" s="15"/>
    </row>
    <row r="23" spans="2:10" s="3" customFormat="1" ht="18">
      <c r="B23" s="191" t="s">
        <v>35</v>
      </c>
      <c r="C23" s="192"/>
      <c r="D23" s="193"/>
      <c r="E23" s="220" t="s">
        <v>84</v>
      </c>
      <c r="F23" s="217"/>
      <c r="G23" s="156">
        <v>6</v>
      </c>
      <c r="H23" s="289" t="s">
        <v>41</v>
      </c>
      <c r="I23" s="128">
        <v>15000</v>
      </c>
      <c r="J23" s="128">
        <f>G23*I23</f>
        <v>90000</v>
      </c>
    </row>
    <row r="24" spans="2:10" s="3" customFormat="1" ht="18">
      <c r="B24" s="162" t="s">
        <v>81</v>
      </c>
      <c r="C24" s="215"/>
      <c r="D24" s="216"/>
      <c r="E24" s="221" t="s">
        <v>85</v>
      </c>
      <c r="F24" s="218"/>
      <c r="G24" s="157">
        <v>5</v>
      </c>
      <c r="H24" s="290" t="s">
        <v>41</v>
      </c>
      <c r="I24" s="123">
        <v>15000</v>
      </c>
      <c r="J24" s="123">
        <f aca="true" t="shared" si="0" ref="J24:J30">G24*I24</f>
        <v>75000</v>
      </c>
    </row>
    <row r="25" spans="2:10" s="3" customFormat="1" ht="18">
      <c r="B25" s="186" t="s">
        <v>34</v>
      </c>
      <c r="C25" s="187"/>
      <c r="D25" s="188"/>
      <c r="E25" s="221" t="s">
        <v>86</v>
      </c>
      <c r="F25" s="218"/>
      <c r="G25" s="157">
        <v>15</v>
      </c>
      <c r="H25" s="290" t="s">
        <v>41</v>
      </c>
      <c r="I25" s="123">
        <v>15000</v>
      </c>
      <c r="J25" s="123">
        <f t="shared" si="0"/>
        <v>225000</v>
      </c>
    </row>
    <row r="26" spans="2:10" s="3" customFormat="1" ht="18">
      <c r="B26" s="186" t="s">
        <v>32</v>
      </c>
      <c r="C26" s="187"/>
      <c r="D26" s="188"/>
      <c r="E26" s="221" t="s">
        <v>86</v>
      </c>
      <c r="F26" s="218"/>
      <c r="G26" s="157">
        <v>8</v>
      </c>
      <c r="H26" s="290" t="s">
        <v>41</v>
      </c>
      <c r="I26" s="123">
        <v>15000</v>
      </c>
      <c r="J26" s="123">
        <f t="shared" si="0"/>
        <v>120000</v>
      </c>
    </row>
    <row r="27" spans="2:10" s="3" customFormat="1" ht="18">
      <c r="B27" s="186" t="s">
        <v>82</v>
      </c>
      <c r="C27" s="166"/>
      <c r="D27" s="214"/>
      <c r="E27" s="221" t="s">
        <v>87</v>
      </c>
      <c r="F27" s="218"/>
      <c r="G27" s="157">
        <v>4</v>
      </c>
      <c r="H27" s="290" t="s">
        <v>41</v>
      </c>
      <c r="I27" s="123">
        <v>15000</v>
      </c>
      <c r="J27" s="123">
        <f t="shared" si="0"/>
        <v>60000</v>
      </c>
    </row>
    <row r="28" spans="2:10" s="3" customFormat="1" ht="17.25" customHeight="1">
      <c r="B28" s="186" t="s">
        <v>59</v>
      </c>
      <c r="C28" s="166"/>
      <c r="D28" s="214"/>
      <c r="E28" s="221" t="s">
        <v>84</v>
      </c>
      <c r="F28" s="218"/>
      <c r="G28" s="158">
        <v>18</v>
      </c>
      <c r="H28" s="288" t="s">
        <v>41</v>
      </c>
      <c r="I28" s="123">
        <v>15000</v>
      </c>
      <c r="J28" s="123">
        <f t="shared" si="0"/>
        <v>270000</v>
      </c>
    </row>
    <row r="29" spans="2:10" s="3" customFormat="1" ht="17.25" customHeight="1">
      <c r="B29" s="186" t="s">
        <v>83</v>
      </c>
      <c r="C29" s="166"/>
      <c r="D29" s="214"/>
      <c r="E29" s="221" t="s">
        <v>88</v>
      </c>
      <c r="F29" s="218"/>
      <c r="G29" s="158">
        <v>12</v>
      </c>
      <c r="H29" s="288" t="s">
        <v>41</v>
      </c>
      <c r="I29" s="123">
        <v>15000</v>
      </c>
      <c r="J29" s="123">
        <f t="shared" si="0"/>
        <v>180000</v>
      </c>
    </row>
    <row r="30" spans="2:10" s="3" customFormat="1" ht="17.25" customHeight="1">
      <c r="B30" s="189" t="s">
        <v>119</v>
      </c>
      <c r="C30" s="127"/>
      <c r="D30" s="82"/>
      <c r="E30" s="222" t="s">
        <v>87</v>
      </c>
      <c r="F30" s="219"/>
      <c r="G30" s="159">
        <v>90000</v>
      </c>
      <c r="H30" s="287" t="s">
        <v>42</v>
      </c>
      <c r="I30" s="124">
        <v>20</v>
      </c>
      <c r="J30" s="124">
        <f t="shared" si="0"/>
        <v>1800000</v>
      </c>
    </row>
    <row r="31" spans="2:11" ht="18">
      <c r="B31" s="232" t="s">
        <v>8</v>
      </c>
      <c r="C31" s="233"/>
      <c r="D31" s="233"/>
      <c r="E31" s="233"/>
      <c r="F31" s="233"/>
      <c r="G31" s="233"/>
      <c r="H31" s="233"/>
      <c r="I31" s="233"/>
      <c r="J31" s="102">
        <f>SUM(J23:J30)</f>
        <v>2820000</v>
      </c>
      <c r="K31" s="3"/>
    </row>
    <row r="32" spans="2:10" s="3" customFormat="1" ht="18">
      <c r="B32" s="83"/>
      <c r="C32" s="83"/>
      <c r="D32" s="83"/>
      <c r="E32" s="83"/>
      <c r="F32" s="83"/>
      <c r="G32" s="24"/>
      <c r="H32" s="83"/>
      <c r="I32" s="83"/>
      <c r="J32" s="26"/>
    </row>
    <row r="33" spans="2:11" s="27" customFormat="1" ht="18" customHeight="1">
      <c r="B33" s="227" t="s">
        <v>60</v>
      </c>
      <c r="C33" s="228"/>
      <c r="D33" s="228"/>
      <c r="E33" s="259" t="s">
        <v>39</v>
      </c>
      <c r="F33" s="259"/>
      <c r="G33" s="146" t="s">
        <v>5</v>
      </c>
      <c r="H33" s="147" t="s">
        <v>6</v>
      </c>
      <c r="I33" s="148" t="s">
        <v>47</v>
      </c>
      <c r="J33" s="149" t="s">
        <v>1</v>
      </c>
      <c r="K33" s="3"/>
    </row>
    <row r="34" spans="2:10" s="3" customFormat="1" ht="18">
      <c r="B34" s="190" t="s">
        <v>32</v>
      </c>
      <c r="C34" s="223"/>
      <c r="D34" s="224"/>
      <c r="E34" s="220" t="s">
        <v>85</v>
      </c>
      <c r="F34" s="217"/>
      <c r="G34" s="160">
        <v>1</v>
      </c>
      <c r="H34" s="150" t="s">
        <v>43</v>
      </c>
      <c r="I34" s="132">
        <v>60000</v>
      </c>
      <c r="J34" s="125">
        <f>I34*G34</f>
        <v>60000</v>
      </c>
    </row>
    <row r="35" spans="2:10" s="3" customFormat="1" ht="18">
      <c r="B35" s="186" t="s">
        <v>89</v>
      </c>
      <c r="C35" s="166"/>
      <c r="D35" s="214"/>
      <c r="E35" s="221" t="s">
        <v>85</v>
      </c>
      <c r="F35" s="218"/>
      <c r="G35" s="161">
        <v>4</v>
      </c>
      <c r="H35" s="151" t="s">
        <v>43</v>
      </c>
      <c r="I35" s="133">
        <v>25000</v>
      </c>
      <c r="J35" s="126">
        <f aca="true" t="shared" si="1" ref="J35:J41">I35*G35</f>
        <v>100000</v>
      </c>
    </row>
    <row r="36" spans="2:10" s="3" customFormat="1" ht="18">
      <c r="B36" s="186" t="s">
        <v>90</v>
      </c>
      <c r="C36" s="166"/>
      <c r="D36" s="214"/>
      <c r="E36" s="221" t="s">
        <v>87</v>
      </c>
      <c r="F36" s="218"/>
      <c r="G36" s="161">
        <v>90000</v>
      </c>
      <c r="H36" s="151" t="s">
        <v>42</v>
      </c>
      <c r="I36" s="133">
        <v>4</v>
      </c>
      <c r="J36" s="126">
        <f t="shared" si="1"/>
        <v>360000</v>
      </c>
    </row>
    <row r="37" spans="2:10" s="3" customFormat="1" ht="18">
      <c r="B37" s="186" t="s">
        <v>91</v>
      </c>
      <c r="C37" s="187"/>
      <c r="D37" s="188"/>
      <c r="E37" s="221" t="s">
        <v>96</v>
      </c>
      <c r="F37" s="218"/>
      <c r="G37" s="161">
        <v>1</v>
      </c>
      <c r="H37" s="151" t="s">
        <v>98</v>
      </c>
      <c r="I37" s="133">
        <v>16000</v>
      </c>
      <c r="J37" s="126">
        <f t="shared" si="1"/>
        <v>16000</v>
      </c>
    </row>
    <row r="38" spans="2:10" s="3" customFormat="1" ht="18">
      <c r="B38" s="186" t="s">
        <v>92</v>
      </c>
      <c r="C38" s="187"/>
      <c r="D38" s="188"/>
      <c r="E38" s="221" t="s">
        <v>38</v>
      </c>
      <c r="F38" s="218"/>
      <c r="G38" s="161">
        <v>2</v>
      </c>
      <c r="H38" s="151" t="s">
        <v>98</v>
      </c>
      <c r="I38" s="133">
        <v>16000</v>
      </c>
      <c r="J38" s="126">
        <f t="shared" si="1"/>
        <v>32000</v>
      </c>
    </row>
    <row r="39" spans="2:10" s="3" customFormat="1" ht="18">
      <c r="B39" s="186" t="s">
        <v>93</v>
      </c>
      <c r="C39" s="166"/>
      <c r="D39" s="214"/>
      <c r="E39" s="221" t="s">
        <v>38</v>
      </c>
      <c r="F39" s="218"/>
      <c r="G39" s="161">
        <v>2</v>
      </c>
      <c r="H39" s="151" t="s">
        <v>98</v>
      </c>
      <c r="I39" s="134">
        <v>16000</v>
      </c>
      <c r="J39" s="126">
        <f t="shared" si="1"/>
        <v>32000</v>
      </c>
    </row>
    <row r="40" spans="2:10" s="3" customFormat="1" ht="18">
      <c r="B40" s="186" t="s">
        <v>94</v>
      </c>
      <c r="C40" s="166"/>
      <c r="D40" s="214"/>
      <c r="E40" s="221" t="s">
        <v>97</v>
      </c>
      <c r="F40" s="218"/>
      <c r="G40" s="161">
        <v>3</v>
      </c>
      <c r="H40" s="151" t="s">
        <v>98</v>
      </c>
      <c r="I40" s="134">
        <v>16000</v>
      </c>
      <c r="J40" s="126">
        <f t="shared" si="1"/>
        <v>48000</v>
      </c>
    </row>
    <row r="41" spans="2:10" s="3" customFormat="1" ht="18">
      <c r="B41" s="186" t="s">
        <v>95</v>
      </c>
      <c r="C41" s="194"/>
      <c r="D41" s="194"/>
      <c r="E41" s="222" t="s">
        <v>96</v>
      </c>
      <c r="F41" s="219"/>
      <c r="G41" s="183">
        <v>3</v>
      </c>
      <c r="H41" s="184" t="s">
        <v>98</v>
      </c>
      <c r="I41" s="185">
        <v>16000</v>
      </c>
      <c r="J41" s="135">
        <f t="shared" si="1"/>
        <v>48000</v>
      </c>
    </row>
    <row r="42" spans="2:12" ht="15.75" customHeight="1">
      <c r="B42" s="232" t="s">
        <v>10</v>
      </c>
      <c r="C42" s="233"/>
      <c r="D42" s="233"/>
      <c r="E42" s="233"/>
      <c r="F42" s="233"/>
      <c r="G42" s="233"/>
      <c r="H42" s="233"/>
      <c r="I42" s="233"/>
      <c r="J42" s="120">
        <f>SUM(J34:J41)</f>
        <v>696000</v>
      </c>
      <c r="K42" s="3"/>
      <c r="L42" s="15"/>
    </row>
    <row r="43" spans="2:12" s="3" customFormat="1" ht="18">
      <c r="B43" s="83"/>
      <c r="C43" s="83"/>
      <c r="D43" s="83"/>
      <c r="E43" s="83"/>
      <c r="F43" s="83"/>
      <c r="G43" s="24"/>
      <c r="H43" s="83"/>
      <c r="I43" s="83"/>
      <c r="J43" s="26"/>
      <c r="L43" s="18"/>
    </row>
    <row r="44" spans="2:12" s="3" customFormat="1" ht="18" customHeight="1">
      <c r="B44" s="227" t="s">
        <v>62</v>
      </c>
      <c r="C44" s="228"/>
      <c r="D44" s="228"/>
      <c r="E44" s="259" t="s">
        <v>39</v>
      </c>
      <c r="F44" s="259"/>
      <c r="G44" s="146" t="s">
        <v>5</v>
      </c>
      <c r="H44" s="147" t="s">
        <v>6</v>
      </c>
      <c r="I44" s="148" t="s">
        <v>47</v>
      </c>
      <c r="J44" s="149" t="s">
        <v>1</v>
      </c>
      <c r="L44" s="23"/>
    </row>
    <row r="45" spans="2:12" s="3" customFormat="1" ht="18">
      <c r="B45" s="296" t="s">
        <v>24</v>
      </c>
      <c r="C45" s="174"/>
      <c r="D45" s="174"/>
      <c r="E45" s="262"/>
      <c r="F45" s="263"/>
      <c r="G45" s="182"/>
      <c r="H45" s="153"/>
      <c r="I45" s="125"/>
      <c r="J45" s="125"/>
      <c r="L45" s="23"/>
    </row>
    <row r="46" spans="2:12" s="3" customFormat="1" ht="18">
      <c r="B46" s="298" t="s">
        <v>99</v>
      </c>
      <c r="C46" s="173"/>
      <c r="D46" s="173"/>
      <c r="E46" s="264" t="s">
        <v>38</v>
      </c>
      <c r="F46" s="265"/>
      <c r="G46" s="176">
        <v>350</v>
      </c>
      <c r="H46" s="154" t="s">
        <v>44</v>
      </c>
      <c r="I46" s="126">
        <v>368</v>
      </c>
      <c r="J46" s="126">
        <f>G46*I46</f>
        <v>128800</v>
      </c>
      <c r="L46" s="23"/>
    </row>
    <row r="47" spans="2:12" s="3" customFormat="1" ht="18">
      <c r="B47" s="163" t="s">
        <v>100</v>
      </c>
      <c r="C47" s="168"/>
      <c r="D47" s="168"/>
      <c r="E47" s="264" t="s">
        <v>110</v>
      </c>
      <c r="F47" s="265"/>
      <c r="G47" s="158">
        <v>100</v>
      </c>
      <c r="H47" s="152" t="s">
        <v>44</v>
      </c>
      <c r="I47" s="126">
        <v>334</v>
      </c>
      <c r="J47" s="126">
        <f aca="true" t="shared" si="2" ref="J47:J60">G47*I47</f>
        <v>33400</v>
      </c>
      <c r="L47" s="23"/>
    </row>
    <row r="48" spans="2:12" s="3" customFormat="1" ht="18">
      <c r="B48" s="163" t="s">
        <v>101</v>
      </c>
      <c r="C48" s="139"/>
      <c r="D48" s="139"/>
      <c r="E48" s="264" t="s">
        <v>111</v>
      </c>
      <c r="F48" s="265"/>
      <c r="G48" s="158">
        <v>300</v>
      </c>
      <c r="H48" s="152" t="s">
        <v>44</v>
      </c>
      <c r="I48" s="126">
        <v>362</v>
      </c>
      <c r="J48" s="126">
        <f t="shared" si="2"/>
        <v>108600</v>
      </c>
      <c r="L48" s="23"/>
    </row>
    <row r="49" spans="2:12" s="3" customFormat="1" ht="18">
      <c r="B49" s="170" t="s">
        <v>57</v>
      </c>
      <c r="C49" s="171"/>
      <c r="D49" s="171"/>
      <c r="E49" s="264"/>
      <c r="F49" s="265"/>
      <c r="G49" s="158"/>
      <c r="H49" s="152"/>
      <c r="I49" s="126"/>
      <c r="J49" s="126"/>
      <c r="L49" s="23"/>
    </row>
    <row r="50" spans="2:12" s="3" customFormat="1" ht="18">
      <c r="B50" s="186" t="s">
        <v>102</v>
      </c>
      <c r="C50" s="25"/>
      <c r="D50" s="164"/>
      <c r="E50" s="264" t="s">
        <v>112</v>
      </c>
      <c r="F50" s="265"/>
      <c r="G50" s="158">
        <v>3</v>
      </c>
      <c r="H50" s="152" t="s">
        <v>45</v>
      </c>
      <c r="I50" s="126">
        <v>12040</v>
      </c>
      <c r="J50" s="126">
        <f t="shared" si="2"/>
        <v>36120</v>
      </c>
      <c r="L50" s="23"/>
    </row>
    <row r="51" spans="2:12" s="3" customFormat="1" ht="18">
      <c r="B51" s="172" t="s">
        <v>58</v>
      </c>
      <c r="C51" s="25"/>
      <c r="D51" s="181"/>
      <c r="E51" s="264"/>
      <c r="F51" s="265"/>
      <c r="G51" s="158"/>
      <c r="H51" s="152"/>
      <c r="I51" s="126"/>
      <c r="J51" s="126"/>
      <c r="L51" s="23"/>
    </row>
    <row r="52" spans="2:12" s="3" customFormat="1" ht="18">
      <c r="B52" s="163" t="s">
        <v>103</v>
      </c>
      <c r="C52" s="25"/>
      <c r="D52" s="181"/>
      <c r="E52" s="264" t="s">
        <v>113</v>
      </c>
      <c r="F52" s="265"/>
      <c r="G52" s="158">
        <v>2</v>
      </c>
      <c r="H52" s="152" t="s">
        <v>44</v>
      </c>
      <c r="I52" s="126">
        <v>19550</v>
      </c>
      <c r="J52" s="126">
        <f t="shared" si="2"/>
        <v>39100</v>
      </c>
      <c r="L52" s="23"/>
    </row>
    <row r="53" spans="2:12" s="3" customFormat="1" ht="18">
      <c r="B53" s="165" t="s">
        <v>104</v>
      </c>
      <c r="C53" s="171"/>
      <c r="D53" s="171"/>
      <c r="E53" s="264" t="s">
        <v>114</v>
      </c>
      <c r="F53" s="265"/>
      <c r="G53" s="158">
        <v>0.6</v>
      </c>
      <c r="H53" s="152" t="s">
        <v>45</v>
      </c>
      <c r="I53" s="126">
        <v>80475</v>
      </c>
      <c r="J53" s="126">
        <f t="shared" si="2"/>
        <v>48285</v>
      </c>
      <c r="L53" s="23"/>
    </row>
    <row r="54" spans="2:12" s="3" customFormat="1" ht="18">
      <c r="B54" s="170" t="s">
        <v>25</v>
      </c>
      <c r="C54" s="166"/>
      <c r="D54" s="166"/>
      <c r="E54" s="264"/>
      <c r="F54" s="265"/>
      <c r="G54" s="176"/>
      <c r="H54" s="154"/>
      <c r="I54" s="126"/>
      <c r="J54" s="126"/>
      <c r="L54" s="23"/>
    </row>
    <row r="55" spans="2:12" s="3" customFormat="1" ht="18">
      <c r="B55" s="299" t="s">
        <v>105</v>
      </c>
      <c r="C55" s="164"/>
      <c r="D55" s="178"/>
      <c r="E55" s="264" t="s">
        <v>115</v>
      </c>
      <c r="F55" s="265"/>
      <c r="G55" s="176">
        <v>0.6</v>
      </c>
      <c r="H55" s="154" t="s">
        <v>44</v>
      </c>
      <c r="I55" s="126">
        <v>60499</v>
      </c>
      <c r="J55" s="126">
        <f t="shared" si="2"/>
        <v>36299.4</v>
      </c>
      <c r="L55" s="23"/>
    </row>
    <row r="56" spans="2:12" s="3" customFormat="1" ht="18">
      <c r="B56" s="163" t="s">
        <v>106</v>
      </c>
      <c r="C56" s="181"/>
      <c r="D56" s="181"/>
      <c r="E56" s="264" t="s">
        <v>113</v>
      </c>
      <c r="F56" s="265"/>
      <c r="G56" s="176">
        <v>0.1</v>
      </c>
      <c r="H56" s="154" t="s">
        <v>44</v>
      </c>
      <c r="I56" s="126">
        <v>62546</v>
      </c>
      <c r="J56" s="126">
        <f t="shared" si="2"/>
        <v>6254.6</v>
      </c>
      <c r="L56" s="23"/>
    </row>
    <row r="57" spans="2:12" s="3" customFormat="1" ht="18">
      <c r="B57" s="297" t="s">
        <v>107</v>
      </c>
      <c r="C57" s="181"/>
      <c r="D57" s="181"/>
      <c r="E57" s="264"/>
      <c r="F57" s="265"/>
      <c r="G57" s="176"/>
      <c r="H57" s="154"/>
      <c r="I57" s="126"/>
      <c r="J57" s="126"/>
      <c r="L57" s="23"/>
    </row>
    <row r="58" spans="2:12" s="3" customFormat="1" ht="19.5" customHeight="1">
      <c r="B58" s="186" t="s">
        <v>120</v>
      </c>
      <c r="C58" s="166"/>
      <c r="D58" s="166"/>
      <c r="E58" s="266" t="s">
        <v>116</v>
      </c>
      <c r="F58" s="266"/>
      <c r="G58" s="176">
        <v>1</v>
      </c>
      <c r="H58" s="154" t="s">
        <v>43</v>
      </c>
      <c r="I58" s="126">
        <v>28000</v>
      </c>
      <c r="J58" s="126">
        <f t="shared" si="2"/>
        <v>28000</v>
      </c>
      <c r="L58" s="23"/>
    </row>
    <row r="59" spans="2:12" s="3" customFormat="1" ht="18">
      <c r="B59" s="186" t="s">
        <v>108</v>
      </c>
      <c r="C59" s="166"/>
      <c r="D59" s="166"/>
      <c r="E59" s="266" t="s">
        <v>114</v>
      </c>
      <c r="F59" s="266"/>
      <c r="G59" s="176">
        <v>6</v>
      </c>
      <c r="H59" s="154" t="s">
        <v>45</v>
      </c>
      <c r="I59" s="126">
        <v>8725</v>
      </c>
      <c r="J59" s="126">
        <f t="shared" si="2"/>
        <v>52350</v>
      </c>
      <c r="L59" s="23"/>
    </row>
    <row r="60" spans="2:12" s="3" customFormat="1" ht="18">
      <c r="B60" s="163" t="s">
        <v>109</v>
      </c>
      <c r="C60" s="168"/>
      <c r="D60" s="168"/>
      <c r="E60" s="266" t="s">
        <v>117</v>
      </c>
      <c r="F60" s="266"/>
      <c r="G60" s="176">
        <v>6</v>
      </c>
      <c r="H60" s="154" t="s">
        <v>45</v>
      </c>
      <c r="I60" s="126">
        <v>5500</v>
      </c>
      <c r="J60" s="126">
        <f t="shared" si="2"/>
        <v>33000</v>
      </c>
      <c r="L60" s="23"/>
    </row>
    <row r="61" spans="2:12" s="3" customFormat="1" ht="18" customHeight="1">
      <c r="B61" s="175"/>
      <c r="C61" s="169"/>
      <c r="D61" s="169"/>
      <c r="E61" s="267"/>
      <c r="F61" s="268"/>
      <c r="G61" s="177"/>
      <c r="H61" s="155"/>
      <c r="I61" s="135"/>
      <c r="J61" s="126"/>
      <c r="L61" s="23"/>
    </row>
    <row r="62" spans="2:14" ht="18">
      <c r="B62" s="225" t="s">
        <v>11</v>
      </c>
      <c r="C62" s="226"/>
      <c r="D62" s="226"/>
      <c r="E62" s="226"/>
      <c r="F62" s="226"/>
      <c r="G62" s="226"/>
      <c r="H62" s="226"/>
      <c r="I62" s="226"/>
      <c r="J62" s="121">
        <f>SUM(J45:J61)</f>
        <v>550209</v>
      </c>
      <c r="K62" s="15"/>
      <c r="M62" s="15"/>
      <c r="N62" s="15"/>
    </row>
    <row r="63" spans="2:14" s="3" customFormat="1" ht="18">
      <c r="B63" s="28"/>
      <c r="C63" s="28"/>
      <c r="D63" s="28"/>
      <c r="E63" s="28"/>
      <c r="F63" s="28"/>
      <c r="G63" s="29"/>
      <c r="H63" s="28"/>
      <c r="I63" s="28"/>
      <c r="J63" s="30"/>
      <c r="K63" s="15"/>
      <c r="M63" s="15"/>
      <c r="N63" s="15"/>
    </row>
    <row r="64" spans="2:16" ht="18" customHeight="1">
      <c r="B64" s="227" t="s">
        <v>48</v>
      </c>
      <c r="C64" s="228"/>
      <c r="D64" s="228"/>
      <c r="E64" s="257"/>
      <c r="F64" s="257"/>
      <c r="G64" s="146" t="s">
        <v>5</v>
      </c>
      <c r="H64" s="147" t="s">
        <v>6</v>
      </c>
      <c r="I64" s="148"/>
      <c r="J64" s="149" t="s">
        <v>1</v>
      </c>
      <c r="K64" s="15"/>
      <c r="M64" s="15"/>
      <c r="N64" s="15"/>
      <c r="O64" s="9"/>
      <c r="P64" s="9"/>
    </row>
    <row r="65" spans="2:14" s="3" customFormat="1" ht="18">
      <c r="B65" s="279" t="s">
        <v>56</v>
      </c>
      <c r="C65" s="280"/>
      <c r="D65" s="281"/>
      <c r="E65" s="282"/>
      <c r="F65" s="283"/>
      <c r="G65" s="286">
        <v>0.05</v>
      </c>
      <c r="H65" s="284" t="s">
        <v>40</v>
      </c>
      <c r="I65" s="285"/>
      <c r="J65" s="285">
        <f>(J31+J42+J62)*G65</f>
        <v>203310.45</v>
      </c>
      <c r="K65" s="15"/>
      <c r="M65" s="15"/>
      <c r="N65" s="15"/>
    </row>
    <row r="66" spans="11:14" s="3" customFormat="1" ht="18">
      <c r="K66" s="15"/>
      <c r="M66" s="15"/>
      <c r="N66" s="15"/>
    </row>
    <row r="67" spans="2:14" s="3" customFormat="1" ht="18">
      <c r="B67" s="229" t="s">
        <v>49</v>
      </c>
      <c r="C67" s="230"/>
      <c r="D67" s="230"/>
      <c r="E67" s="230"/>
      <c r="F67" s="230"/>
      <c r="G67" s="230"/>
      <c r="H67" s="230"/>
      <c r="I67" s="230"/>
      <c r="J67" s="102">
        <f>J31+J42+J62+J65</f>
        <v>4269519.45</v>
      </c>
      <c r="K67" s="15"/>
      <c r="M67" s="15"/>
      <c r="N67" s="15"/>
    </row>
    <row r="68" spans="2:14" s="3" customFormat="1" ht="18">
      <c r="B68" s="130"/>
      <c r="C68" s="130"/>
      <c r="D68" s="130"/>
      <c r="E68" s="130"/>
      <c r="F68" s="130"/>
      <c r="G68" s="31"/>
      <c r="H68" s="130"/>
      <c r="I68" s="130"/>
      <c r="J68" s="26"/>
      <c r="K68" s="15"/>
      <c r="M68" s="15"/>
      <c r="N68" s="15"/>
    </row>
    <row r="69" spans="2:14" s="3" customFormat="1" ht="20.25">
      <c r="B69" s="116" t="s">
        <v>51</v>
      </c>
      <c r="C69" s="115"/>
      <c r="D69" s="115"/>
      <c r="E69" s="19"/>
      <c r="F69" s="19"/>
      <c r="G69" s="20"/>
      <c r="H69" s="21"/>
      <c r="I69" s="22"/>
      <c r="J69" s="22"/>
      <c r="K69" s="15"/>
      <c r="M69" s="15"/>
      <c r="N69" s="15"/>
    </row>
    <row r="70" spans="2:14" s="3" customFormat="1" ht="18" customHeight="1">
      <c r="B70" s="278" t="s">
        <v>31</v>
      </c>
      <c r="C70" s="257"/>
      <c r="D70" s="257"/>
      <c r="E70" s="257"/>
      <c r="F70" s="257"/>
      <c r="G70" s="146" t="s">
        <v>5</v>
      </c>
      <c r="H70" s="147" t="s">
        <v>6</v>
      </c>
      <c r="I70" s="148"/>
      <c r="J70" s="149" t="s">
        <v>1</v>
      </c>
      <c r="K70" s="15"/>
      <c r="M70" s="15"/>
      <c r="N70" s="15"/>
    </row>
    <row r="71" spans="2:15" s="3" customFormat="1" ht="18" customHeight="1">
      <c r="B71" s="231" t="s">
        <v>63</v>
      </c>
      <c r="C71" s="207"/>
      <c r="D71" s="207"/>
      <c r="E71" s="260"/>
      <c r="F71" s="261"/>
      <c r="G71" s="179">
        <f>E17</f>
        <v>0.015</v>
      </c>
      <c r="H71" s="180" t="s">
        <v>40</v>
      </c>
      <c r="I71" s="209"/>
      <c r="J71" s="10">
        <f>J67*E17*E18*0.5</f>
        <v>320213.95875</v>
      </c>
      <c r="K71" s="15"/>
      <c r="L71" s="306"/>
      <c r="M71" s="306"/>
      <c r="N71" s="306"/>
      <c r="O71" s="306"/>
    </row>
    <row r="72" spans="2:18" ht="18" customHeight="1" outlineLevel="1">
      <c r="B72" s="186" t="s">
        <v>67</v>
      </c>
      <c r="C72" s="166"/>
      <c r="D72" s="166"/>
      <c r="E72" s="205"/>
      <c r="F72" s="199"/>
      <c r="G72" s="200"/>
      <c r="H72" s="207"/>
      <c r="I72" s="210"/>
      <c r="J72" s="201"/>
      <c r="L72"/>
      <c r="M72"/>
      <c r="N72"/>
      <c r="O72"/>
      <c r="P72"/>
      <c r="Q72"/>
      <c r="R72"/>
    </row>
    <row r="73" spans="2:18" ht="18" customHeight="1" outlineLevel="1">
      <c r="B73" s="186" t="s">
        <v>68</v>
      </c>
      <c r="C73" s="166"/>
      <c r="D73" s="166"/>
      <c r="E73" s="205"/>
      <c r="F73" s="199"/>
      <c r="G73" s="200"/>
      <c r="H73" s="207"/>
      <c r="I73" s="210"/>
      <c r="J73" s="201"/>
      <c r="L73"/>
      <c r="M73"/>
      <c r="N73"/>
      <c r="O73"/>
      <c r="P73"/>
      <c r="Q73"/>
      <c r="R73"/>
    </row>
    <row r="74" spans="2:18" ht="18" customHeight="1" outlineLevel="1">
      <c r="B74" s="189" t="s">
        <v>69</v>
      </c>
      <c r="C74" s="127"/>
      <c r="D74" s="127"/>
      <c r="E74" s="206"/>
      <c r="F74" s="202"/>
      <c r="G74" s="203"/>
      <c r="H74" s="208"/>
      <c r="I74" s="211"/>
      <c r="J74" s="204"/>
      <c r="L74"/>
      <c r="M74"/>
      <c r="N74"/>
      <c r="O74"/>
      <c r="P74"/>
      <c r="Q74"/>
      <c r="R74"/>
    </row>
    <row r="75" spans="2:14" ht="18">
      <c r="B75" s="232" t="s">
        <v>28</v>
      </c>
      <c r="C75" s="233"/>
      <c r="D75" s="233"/>
      <c r="E75" s="233"/>
      <c r="F75" s="233"/>
      <c r="G75" s="233"/>
      <c r="H75" s="233"/>
      <c r="I75" s="233"/>
      <c r="J75" s="102">
        <f>SUM(J71:J74)</f>
        <v>320213.95875</v>
      </c>
      <c r="K75" s="15"/>
      <c r="M75" s="15"/>
      <c r="N75" s="15"/>
    </row>
    <row r="76" spans="2:12" s="3" customFormat="1" ht="18">
      <c r="B76" s="83"/>
      <c r="C76" s="83"/>
      <c r="D76" s="83"/>
      <c r="E76" s="83"/>
      <c r="F76" s="83"/>
      <c r="G76" s="24"/>
      <c r="H76" s="83"/>
      <c r="I76" s="83"/>
      <c r="J76" s="26"/>
      <c r="K76" s="15"/>
      <c r="L76" s="15"/>
    </row>
    <row r="77" spans="2:12" ht="18">
      <c r="B77" s="234" t="s">
        <v>13</v>
      </c>
      <c r="C77" s="235"/>
      <c r="D77" s="235"/>
      <c r="E77" s="235"/>
      <c r="F77" s="235"/>
      <c r="G77" s="235"/>
      <c r="H77" s="235"/>
      <c r="I77" s="235"/>
      <c r="J77" s="238">
        <f>J67+J75</f>
        <v>4589733.40875</v>
      </c>
      <c r="K77" s="15"/>
      <c r="L77" s="15"/>
    </row>
    <row r="78" spans="2:12" s="3" customFormat="1" ht="18">
      <c r="B78" s="236"/>
      <c r="C78" s="237"/>
      <c r="D78" s="237"/>
      <c r="E78" s="237"/>
      <c r="F78" s="237"/>
      <c r="G78" s="237"/>
      <c r="H78" s="237"/>
      <c r="I78" s="237"/>
      <c r="J78" s="239"/>
      <c r="K78" s="15"/>
      <c r="L78" s="15"/>
    </row>
    <row r="79" spans="2:12" s="3" customFormat="1" ht="18" customHeight="1">
      <c r="B79" s="137"/>
      <c r="C79" s="137"/>
      <c r="D79" s="137"/>
      <c r="E79" s="137"/>
      <c r="F79" s="137"/>
      <c r="G79" s="137"/>
      <c r="H79" s="137"/>
      <c r="I79" s="137"/>
      <c r="J79" s="138"/>
      <c r="K79" s="15"/>
      <c r="L79" s="15"/>
    </row>
    <row r="80" spans="2:12" s="3" customFormat="1" ht="18" customHeight="1">
      <c r="B80" s="137"/>
      <c r="C80" s="137"/>
      <c r="D80" s="137"/>
      <c r="E80" s="137"/>
      <c r="F80" s="137"/>
      <c r="G80" s="137"/>
      <c r="H80" s="137"/>
      <c r="I80" s="137"/>
      <c r="J80" s="138"/>
      <c r="K80" s="15"/>
      <c r="L80" s="15"/>
    </row>
    <row r="81" spans="2:12" s="3" customFormat="1" ht="18" customHeight="1">
      <c r="B81" s="137"/>
      <c r="C81" s="137"/>
      <c r="D81" s="137"/>
      <c r="E81" s="137"/>
      <c r="F81" s="137"/>
      <c r="G81" s="137"/>
      <c r="H81" s="137"/>
      <c r="I81" s="137"/>
      <c r="J81" s="138"/>
      <c r="K81" s="15"/>
      <c r="L81" s="15"/>
    </row>
    <row r="82" spans="2:12" ht="18" customHeight="1">
      <c r="B82" s="320" t="s">
        <v>64</v>
      </c>
      <c r="C82" s="321"/>
      <c r="D82" s="321"/>
      <c r="E82" s="321"/>
      <c r="F82" s="321"/>
      <c r="G82" s="321"/>
      <c r="H82" s="321"/>
      <c r="I82" s="321"/>
      <c r="J82" s="322"/>
      <c r="K82" s="15"/>
      <c r="L82" s="23"/>
    </row>
    <row r="83" spans="2:12" ht="18" customHeight="1">
      <c r="B83" s="341" t="s">
        <v>46</v>
      </c>
      <c r="C83" s="342"/>
      <c r="D83" s="342"/>
      <c r="E83" s="342"/>
      <c r="F83" s="342"/>
      <c r="G83" s="342"/>
      <c r="H83" s="342"/>
      <c r="I83" s="342"/>
      <c r="J83" s="343"/>
      <c r="K83" s="15"/>
      <c r="L83" s="23"/>
    </row>
    <row r="84" spans="2:12" s="3" customFormat="1" ht="18" customHeight="1">
      <c r="B84" s="274" t="s">
        <v>80</v>
      </c>
      <c r="C84" s="269"/>
      <c r="D84" s="270"/>
      <c r="E84" s="344" t="s">
        <v>47</v>
      </c>
      <c r="F84" s="345"/>
      <c r="G84" s="345"/>
      <c r="H84" s="345"/>
      <c r="I84" s="345"/>
      <c r="J84" s="346"/>
      <c r="K84" s="15"/>
      <c r="L84" s="23"/>
    </row>
    <row r="85" spans="2:12" s="3" customFormat="1" ht="18" customHeight="1">
      <c r="B85" s="271"/>
      <c r="C85" s="272"/>
      <c r="D85" s="273"/>
      <c r="E85" s="302">
        <f>G85*0.9</f>
        <v>76.5</v>
      </c>
      <c r="F85" s="303"/>
      <c r="G85" s="304">
        <f>E15</f>
        <v>85</v>
      </c>
      <c r="H85" s="305"/>
      <c r="I85" s="302">
        <f>G85*1.1</f>
        <v>93.50000000000001</v>
      </c>
      <c r="J85" s="303"/>
      <c r="K85" s="15"/>
      <c r="L85" s="23"/>
    </row>
    <row r="86" spans="2:12" s="3" customFormat="1" ht="18" customHeight="1">
      <c r="B86" s="240"/>
      <c r="C86" s="242">
        <f>ROUND(E14*0.9,0)</f>
        <v>81000</v>
      </c>
      <c r="D86" s="241"/>
      <c r="E86" s="300">
        <f>E$85*$C$86-$J$77</f>
        <v>1606766.5912499996</v>
      </c>
      <c r="F86" s="301"/>
      <c r="G86" s="300">
        <f>G$85*$C$86-$J$77</f>
        <v>2295266.5912499996</v>
      </c>
      <c r="H86" s="301"/>
      <c r="I86" s="300">
        <f>I$85*$C$86-$J$77</f>
        <v>2983766.5912500005</v>
      </c>
      <c r="J86" s="301"/>
      <c r="K86" s="15"/>
      <c r="L86" s="23"/>
    </row>
    <row r="87" spans="2:12" s="3" customFormat="1" ht="18" customHeight="1">
      <c r="B87" s="240"/>
      <c r="C87" s="242">
        <f>ROUND(E14*1,0)</f>
        <v>90000</v>
      </c>
      <c r="D87" s="241"/>
      <c r="E87" s="300">
        <f>E$85*$C$87-$J$77</f>
        <v>2295266.5912499996</v>
      </c>
      <c r="F87" s="301"/>
      <c r="G87" s="300">
        <f>G$85*$C$87-$J$77</f>
        <v>3060266.5912499996</v>
      </c>
      <c r="H87" s="301"/>
      <c r="I87" s="300">
        <f>I$85*$C$87-$J$77</f>
        <v>3825266.5912500015</v>
      </c>
      <c r="J87" s="301"/>
      <c r="K87" s="15"/>
      <c r="L87" s="23"/>
    </row>
    <row r="88" spans="2:12" s="3" customFormat="1" ht="18" customHeight="1">
      <c r="B88" s="240"/>
      <c r="C88" s="242">
        <f>ROUND(E14*1.1,0)</f>
        <v>99000</v>
      </c>
      <c r="D88" s="241"/>
      <c r="E88" s="300">
        <f>E$85*$C$88-$J$77</f>
        <v>2983766.5912499996</v>
      </c>
      <c r="F88" s="301"/>
      <c r="G88" s="300">
        <f>G$85*$C$88-$J$77</f>
        <v>3825266.5912499996</v>
      </c>
      <c r="H88" s="301"/>
      <c r="I88" s="300">
        <f>I$85*$C$88-$J$77</f>
        <v>4666766.591250001</v>
      </c>
      <c r="J88" s="301"/>
      <c r="K88" s="15"/>
      <c r="L88" s="23"/>
    </row>
    <row r="89" spans="2:12" s="3" customFormat="1" ht="18" customHeight="1">
      <c r="B89" s="33"/>
      <c r="C89" s="33"/>
      <c r="D89" s="34"/>
      <c r="E89" s="34"/>
      <c r="F89" s="34"/>
      <c r="G89" s="35"/>
      <c r="H89" s="11"/>
      <c r="I89" s="14"/>
      <c r="J89" s="14"/>
      <c r="K89" s="15"/>
      <c r="L89" s="23"/>
    </row>
    <row r="90" spans="2:12" s="3" customFormat="1" ht="18" customHeight="1">
      <c r="B90" s="338" t="s">
        <v>126</v>
      </c>
      <c r="C90" s="339"/>
      <c r="D90" s="339"/>
      <c r="E90" s="339"/>
      <c r="F90" s="339"/>
      <c r="G90" s="339"/>
      <c r="H90" s="339"/>
      <c r="I90" s="339"/>
      <c r="J90" s="340"/>
      <c r="K90" s="15"/>
      <c r="L90" s="23"/>
    </row>
    <row r="91" spans="2:12" s="3" customFormat="1" ht="18" customHeight="1">
      <c r="B91" s="275"/>
      <c r="C91" s="276"/>
      <c r="D91" s="276"/>
      <c r="E91" s="276"/>
      <c r="F91" s="276"/>
      <c r="G91" s="276"/>
      <c r="H91" s="276"/>
      <c r="I91" s="276"/>
      <c r="J91" s="277"/>
      <c r="K91" s="15"/>
      <c r="L91" s="23"/>
    </row>
    <row r="92" spans="2:12" s="3" customFormat="1" ht="18" customHeight="1">
      <c r="B92" s="243" t="s">
        <v>80</v>
      </c>
      <c r="C92" s="244"/>
      <c r="D92" s="244"/>
      <c r="E92" s="196">
        <f>C86</f>
        <v>81000</v>
      </c>
      <c r="F92" s="244"/>
      <c r="G92" s="196">
        <f>E14</f>
        <v>90000</v>
      </c>
      <c r="H92" s="244"/>
      <c r="I92" s="196">
        <f>C88</f>
        <v>99000</v>
      </c>
      <c r="J92" s="251"/>
      <c r="K92" s="15"/>
      <c r="L92" s="23"/>
    </row>
    <row r="93" spans="2:12" ht="18" customHeight="1">
      <c r="B93" s="245"/>
      <c r="C93" s="246"/>
      <c r="D93" s="246"/>
      <c r="E93" s="197"/>
      <c r="F93" s="246"/>
      <c r="G93" s="197"/>
      <c r="H93" s="246"/>
      <c r="I93" s="197"/>
      <c r="J93" s="252"/>
      <c r="K93" s="15"/>
      <c r="L93" s="23"/>
    </row>
    <row r="94" spans="2:12" ht="18" customHeight="1">
      <c r="B94" s="247" t="s">
        <v>127</v>
      </c>
      <c r="C94" s="248"/>
      <c r="D94" s="248"/>
      <c r="E94" s="195">
        <f>$J$77/E92</f>
        <v>56.663375416666675</v>
      </c>
      <c r="F94" s="253"/>
      <c r="G94" s="195">
        <f>$J$77/G92</f>
        <v>50.997037875000004</v>
      </c>
      <c r="H94" s="253"/>
      <c r="I94" s="195">
        <f>$J$77/I92</f>
        <v>46.360943522727275</v>
      </c>
      <c r="J94" s="255"/>
      <c r="K94" s="15"/>
      <c r="L94" s="23"/>
    </row>
    <row r="95" spans="2:12" ht="18" customHeight="1">
      <c r="B95" s="249"/>
      <c r="C95" s="250"/>
      <c r="D95" s="250"/>
      <c r="E95" s="254"/>
      <c r="F95" s="254"/>
      <c r="G95" s="254"/>
      <c r="H95" s="254"/>
      <c r="I95" s="254"/>
      <c r="J95" s="256"/>
      <c r="K95" s="15"/>
      <c r="L95" s="23"/>
    </row>
    <row r="96" spans="2:12" ht="18" customHeight="1">
      <c r="B96" s="45"/>
      <c r="C96" s="1"/>
      <c r="D96" s="3"/>
      <c r="E96" s="3"/>
      <c r="F96" s="103"/>
      <c r="G96" s="103"/>
      <c r="H96" s="103"/>
      <c r="I96" s="14"/>
      <c r="J96" s="14"/>
      <c r="K96" s="15"/>
      <c r="L96" s="23"/>
    </row>
    <row r="97" spans="2:11" s="3" customFormat="1" ht="18" customHeight="1">
      <c r="B97" s="307" t="s">
        <v>15</v>
      </c>
      <c r="C97" s="308"/>
      <c r="D97" s="308"/>
      <c r="E97" s="308"/>
      <c r="F97" s="308"/>
      <c r="G97" s="308"/>
      <c r="H97" s="308"/>
      <c r="I97" s="308"/>
      <c r="J97" s="309"/>
      <c r="K97" s="79"/>
    </row>
    <row r="98" spans="2:14" s="3" customFormat="1" ht="18">
      <c r="B98" s="311" t="s">
        <v>121</v>
      </c>
      <c r="C98" s="312"/>
      <c r="D98" s="312"/>
      <c r="E98" s="312"/>
      <c r="F98" s="312"/>
      <c r="G98" s="312"/>
      <c r="H98" s="312"/>
      <c r="I98" s="312"/>
      <c r="J98" s="313"/>
      <c r="K98" s="79"/>
      <c r="N98" s="104"/>
    </row>
    <row r="99" spans="2:11" s="3" customFormat="1" ht="15.75" customHeight="1">
      <c r="B99" s="311" t="s">
        <v>122</v>
      </c>
      <c r="C99" s="312"/>
      <c r="D99" s="312"/>
      <c r="E99" s="312"/>
      <c r="F99" s="312"/>
      <c r="G99" s="312"/>
      <c r="H99" s="312"/>
      <c r="I99" s="312"/>
      <c r="J99" s="313"/>
      <c r="K99" s="80"/>
    </row>
    <row r="100" spans="2:11" s="3" customFormat="1" ht="15.75" customHeight="1">
      <c r="B100" s="311" t="s">
        <v>61</v>
      </c>
      <c r="C100" s="312"/>
      <c r="D100" s="312"/>
      <c r="E100" s="312"/>
      <c r="F100" s="312"/>
      <c r="G100" s="312"/>
      <c r="H100" s="312"/>
      <c r="I100" s="312"/>
      <c r="J100" s="313"/>
      <c r="K100" s="80"/>
    </row>
    <row r="101" spans="2:11" s="3" customFormat="1" ht="30.75" customHeight="1">
      <c r="B101" s="314" t="s">
        <v>123</v>
      </c>
      <c r="C101" s="315"/>
      <c r="D101" s="315"/>
      <c r="E101" s="315"/>
      <c r="F101" s="315"/>
      <c r="G101" s="315"/>
      <c r="H101" s="315"/>
      <c r="I101" s="315"/>
      <c r="J101" s="316"/>
      <c r="K101" s="79"/>
    </row>
    <row r="102" spans="2:11" s="3" customFormat="1" ht="18" customHeight="1">
      <c r="B102" s="311" t="s">
        <v>65</v>
      </c>
      <c r="C102" s="312"/>
      <c r="D102" s="312"/>
      <c r="E102" s="312"/>
      <c r="F102" s="312"/>
      <c r="G102" s="312"/>
      <c r="H102" s="312"/>
      <c r="I102" s="312"/>
      <c r="J102" s="313"/>
      <c r="K102" s="79"/>
    </row>
    <row r="103" spans="2:11" s="3" customFormat="1" ht="18" customHeight="1">
      <c r="B103" s="311" t="s">
        <v>124</v>
      </c>
      <c r="C103" s="312"/>
      <c r="D103" s="312"/>
      <c r="E103" s="312"/>
      <c r="F103" s="312"/>
      <c r="G103" s="312"/>
      <c r="H103" s="312"/>
      <c r="I103" s="312"/>
      <c r="J103" s="313"/>
      <c r="K103" s="79"/>
    </row>
    <row r="104" spans="2:11" s="3" customFormat="1" ht="18">
      <c r="B104" s="317" t="s">
        <v>66</v>
      </c>
      <c r="C104" s="318"/>
      <c r="D104" s="318"/>
      <c r="E104" s="318"/>
      <c r="F104" s="318"/>
      <c r="G104" s="318"/>
      <c r="H104" s="318"/>
      <c r="I104" s="318"/>
      <c r="J104" s="319"/>
      <c r="K104" s="79"/>
    </row>
    <row r="105" spans="2:11" s="3" customFormat="1" ht="18.75" customHeight="1">
      <c r="B105" s="335" t="s">
        <v>125</v>
      </c>
      <c r="C105" s="336"/>
      <c r="D105" s="336"/>
      <c r="E105" s="336"/>
      <c r="F105" s="336"/>
      <c r="G105" s="336"/>
      <c r="H105" s="336"/>
      <c r="I105" s="336"/>
      <c r="J105" s="337"/>
      <c r="K105" s="79"/>
    </row>
    <row r="106" spans="2:11" s="3" customFormat="1" ht="18" customHeight="1">
      <c r="B106" s="140"/>
      <c r="C106" s="140"/>
      <c r="D106" s="140"/>
      <c r="E106" s="140"/>
      <c r="F106" s="140"/>
      <c r="G106" s="140"/>
      <c r="H106" s="140"/>
      <c r="I106" s="140"/>
      <c r="J106" s="140"/>
      <c r="K106" s="80"/>
    </row>
    <row r="107" spans="2:11" s="3" customFormat="1" ht="18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2"/>
    </row>
    <row r="108" spans="2:11" s="3" customFormat="1" ht="16.5" customHeight="1">
      <c r="B108" s="38"/>
      <c r="C108" s="38"/>
      <c r="D108" s="38"/>
      <c r="E108" s="38"/>
      <c r="F108" s="38"/>
      <c r="G108" s="39"/>
      <c r="H108" s="38"/>
      <c r="I108" s="38"/>
      <c r="J108" s="38"/>
      <c r="K108" s="9"/>
    </row>
    <row r="109" spans="2:11" s="3" customFormat="1" ht="15">
      <c r="B109" s="4"/>
      <c r="C109" s="4"/>
      <c r="D109" s="4"/>
      <c r="E109" s="4"/>
      <c r="F109" s="4"/>
      <c r="G109" s="5"/>
      <c r="H109" s="4"/>
      <c r="I109" s="4"/>
      <c r="J109" s="4"/>
      <c r="K109" s="9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2" s="3" customFormat="1" ht="15">
      <c r="B113" s="66"/>
      <c r="C113" s="66"/>
      <c r="D113" s="66"/>
      <c r="E113" s="66"/>
      <c r="F113" s="66"/>
      <c r="G113" s="67"/>
      <c r="H113" s="66"/>
      <c r="I113" s="66"/>
      <c r="J113" s="66"/>
      <c r="K113" s="68"/>
      <c r="L113" s="66"/>
    </row>
    <row r="114" spans="2:12" s="3" customFormat="1" ht="15">
      <c r="B114" s="66"/>
      <c r="C114" s="66"/>
      <c r="D114" s="66"/>
      <c r="E114" s="66"/>
      <c r="F114" s="66"/>
      <c r="G114" s="67"/>
      <c r="H114" s="66"/>
      <c r="I114" s="66"/>
      <c r="J114" s="66"/>
      <c r="K114" s="68"/>
      <c r="L114" s="66"/>
    </row>
    <row r="115" spans="2:12" s="3" customFormat="1" ht="15">
      <c r="B115" s="66"/>
      <c r="C115" s="66"/>
      <c r="D115" s="66"/>
      <c r="E115" s="66"/>
      <c r="F115" s="66"/>
      <c r="G115" s="67"/>
      <c r="H115" s="66"/>
      <c r="I115" s="66"/>
      <c r="J115" s="66"/>
      <c r="K115" s="68"/>
      <c r="L115" s="66"/>
    </row>
    <row r="116" spans="2:12" s="3" customFormat="1" ht="15">
      <c r="B116" s="66"/>
      <c r="C116" s="66"/>
      <c r="D116" s="66"/>
      <c r="E116" s="66"/>
      <c r="F116" s="66"/>
      <c r="G116" s="67"/>
      <c r="H116" s="66"/>
      <c r="I116" s="66"/>
      <c r="J116" s="66"/>
      <c r="K116" s="68"/>
      <c r="L116" s="66"/>
    </row>
    <row r="117" spans="2:12" ht="18">
      <c r="B117" s="55"/>
      <c r="C117" s="55"/>
      <c r="D117" s="56"/>
      <c r="E117" s="56"/>
      <c r="F117" s="57"/>
      <c r="G117" s="57"/>
      <c r="H117" s="57"/>
      <c r="I117" s="66"/>
      <c r="J117" s="66"/>
      <c r="K117" s="68"/>
      <c r="L117" s="66"/>
    </row>
    <row r="118" spans="2:12" ht="18">
      <c r="B118" s="55"/>
      <c r="C118" s="58"/>
      <c r="D118" s="58"/>
      <c r="E118" s="59"/>
      <c r="F118" s="58"/>
      <c r="G118" s="60"/>
      <c r="H118" s="61"/>
      <c r="I118" s="66"/>
      <c r="J118" s="66"/>
      <c r="K118" s="68"/>
      <c r="L118" s="66"/>
    </row>
    <row r="119" spans="2:12" ht="18">
      <c r="B119" s="56"/>
      <c r="C119" s="56"/>
      <c r="D119" s="56"/>
      <c r="E119" s="56"/>
      <c r="F119" s="56"/>
      <c r="G119" s="56"/>
      <c r="H119" s="56"/>
      <c r="I119" s="66"/>
      <c r="J119" s="66"/>
      <c r="K119" s="68"/>
      <c r="L119" s="66"/>
    </row>
    <row r="120" spans="2:12" ht="18">
      <c r="B120" s="55"/>
      <c r="C120" s="56"/>
      <c r="D120" s="56"/>
      <c r="E120" s="56"/>
      <c r="F120" s="56"/>
      <c r="G120" s="56"/>
      <c r="H120" s="56"/>
      <c r="I120" s="66"/>
      <c r="J120" s="66"/>
      <c r="K120" s="68"/>
      <c r="L120" s="66"/>
    </row>
    <row r="121" spans="2:12" ht="18">
      <c r="B121" s="69"/>
      <c r="C121" s="70"/>
      <c r="D121" s="70"/>
      <c r="E121" s="62"/>
      <c r="F121" s="62"/>
      <c r="G121" s="62"/>
      <c r="H121" s="62"/>
      <c r="I121" s="66"/>
      <c r="J121" s="68"/>
      <c r="K121" s="68"/>
      <c r="L121" s="66"/>
    </row>
    <row r="122" spans="2:12" ht="18">
      <c r="B122" s="69"/>
      <c r="C122" s="70"/>
      <c r="D122" s="70"/>
      <c r="E122" s="62"/>
      <c r="F122" s="62"/>
      <c r="G122" s="62"/>
      <c r="H122" s="62"/>
      <c r="I122" s="66"/>
      <c r="J122" s="68"/>
      <c r="K122" s="68"/>
      <c r="L122" s="66"/>
    </row>
    <row r="123" spans="2:12" ht="18">
      <c r="B123" s="63"/>
      <c r="C123" s="64"/>
      <c r="D123" s="64"/>
      <c r="E123" s="63"/>
      <c r="F123" s="63"/>
      <c r="G123" s="63"/>
      <c r="H123" s="65"/>
      <c r="I123" s="66"/>
      <c r="J123" s="66"/>
      <c r="K123" s="68"/>
      <c r="L123" s="66"/>
    </row>
    <row r="124" spans="2:12" ht="18">
      <c r="B124" s="56"/>
      <c r="C124" s="56"/>
      <c r="D124" s="56"/>
      <c r="E124" s="56"/>
      <c r="F124" s="56"/>
      <c r="G124" s="56"/>
      <c r="H124" s="56"/>
      <c r="I124" s="66"/>
      <c r="J124" s="66"/>
      <c r="K124" s="68"/>
      <c r="L124" s="66"/>
    </row>
    <row r="125" spans="2:12" ht="18">
      <c r="B125" s="55"/>
      <c r="C125" s="56"/>
      <c r="D125" s="56"/>
      <c r="E125" s="56"/>
      <c r="F125" s="56"/>
      <c r="G125" s="56"/>
      <c r="H125" s="56"/>
      <c r="I125" s="66"/>
      <c r="J125" s="66"/>
      <c r="K125" s="68"/>
      <c r="L125" s="66"/>
    </row>
    <row r="126" spans="2:12" ht="18">
      <c r="B126" s="71"/>
      <c r="C126" s="72"/>
      <c r="D126" s="73"/>
      <c r="E126" s="74"/>
      <c r="F126" s="73"/>
      <c r="G126" s="75"/>
      <c r="H126" s="75"/>
      <c r="I126" s="66"/>
      <c r="J126" s="66"/>
      <c r="K126" s="68"/>
      <c r="L126" s="66"/>
    </row>
    <row r="127" spans="2:12" ht="18">
      <c r="B127" s="71"/>
      <c r="C127" s="72"/>
      <c r="D127" s="73"/>
      <c r="E127" s="74"/>
      <c r="F127" s="73"/>
      <c r="G127" s="75"/>
      <c r="H127" s="75"/>
      <c r="I127" s="66"/>
      <c r="J127" s="66"/>
      <c r="K127" s="68"/>
      <c r="L127" s="66"/>
    </row>
    <row r="128" spans="2:12" ht="18">
      <c r="B128" s="310"/>
      <c r="C128" s="310"/>
      <c r="D128" s="73"/>
      <c r="E128" s="74"/>
      <c r="F128" s="73"/>
      <c r="G128" s="75"/>
      <c r="H128" s="75"/>
      <c r="I128" s="66"/>
      <c r="J128" s="66"/>
      <c r="K128" s="68"/>
      <c r="L128" s="66"/>
    </row>
    <row r="129" spans="2:12" ht="18">
      <c r="B129" s="71"/>
      <c r="C129" s="72"/>
      <c r="D129" s="73"/>
      <c r="E129" s="74"/>
      <c r="F129" s="73"/>
      <c r="G129" s="75"/>
      <c r="H129" s="75"/>
      <c r="I129" s="66"/>
      <c r="J129" s="66"/>
      <c r="K129" s="68"/>
      <c r="L129" s="66"/>
    </row>
    <row r="130" spans="2:12" ht="18">
      <c r="B130" s="71"/>
      <c r="C130" s="72"/>
      <c r="D130" s="73"/>
      <c r="E130" s="74"/>
      <c r="F130" s="73"/>
      <c r="G130" s="75"/>
      <c r="H130" s="75"/>
      <c r="I130" s="66"/>
      <c r="J130" s="66"/>
      <c r="K130" s="68"/>
      <c r="L130" s="66"/>
    </row>
    <row r="131" spans="2:12" ht="18">
      <c r="B131" s="71"/>
      <c r="C131" s="72"/>
      <c r="D131" s="73"/>
      <c r="E131" s="74"/>
      <c r="F131" s="73"/>
      <c r="G131" s="75"/>
      <c r="H131" s="75"/>
      <c r="I131" s="66"/>
      <c r="J131" s="66"/>
      <c r="K131" s="68"/>
      <c r="L131" s="66"/>
    </row>
    <row r="132" spans="2:12" ht="18">
      <c r="B132" s="71"/>
      <c r="C132" s="72"/>
      <c r="D132" s="73"/>
      <c r="E132" s="74"/>
      <c r="F132" s="73"/>
      <c r="G132" s="75"/>
      <c r="H132" s="75"/>
      <c r="I132" s="66"/>
      <c r="J132" s="66"/>
      <c r="K132" s="68"/>
      <c r="L132" s="66"/>
    </row>
    <row r="133" spans="2:12" ht="18">
      <c r="B133" s="71"/>
      <c r="C133" s="72"/>
      <c r="D133" s="73"/>
      <c r="E133" s="74"/>
      <c r="F133" s="73"/>
      <c r="G133" s="75"/>
      <c r="H133" s="75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71"/>
      <c r="C136" s="72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8">
      <c r="B137" s="71"/>
      <c r="C137" s="72"/>
      <c r="D137" s="73"/>
      <c r="E137" s="74"/>
      <c r="F137" s="73"/>
      <c r="G137" s="75"/>
      <c r="H137" s="75"/>
      <c r="I137" s="66"/>
      <c r="J137" s="66"/>
      <c r="K137" s="68"/>
      <c r="L137" s="66"/>
    </row>
    <row r="138" spans="2:12" ht="18">
      <c r="B138" s="71"/>
      <c r="C138" s="72"/>
      <c r="D138" s="73"/>
      <c r="E138" s="74"/>
      <c r="F138" s="73"/>
      <c r="G138" s="75"/>
      <c r="H138" s="75"/>
      <c r="I138" s="66"/>
      <c r="J138" s="66"/>
      <c r="K138" s="68"/>
      <c r="L138" s="66"/>
    </row>
    <row r="139" spans="2:12" ht="18">
      <c r="B139" s="63"/>
      <c r="C139" s="64"/>
      <c r="D139" s="64"/>
      <c r="E139" s="63"/>
      <c r="F139" s="63"/>
      <c r="G139" s="63"/>
      <c r="H139" s="65"/>
      <c r="I139" s="66"/>
      <c r="J139" s="66"/>
      <c r="K139" s="68"/>
      <c r="L139" s="66"/>
    </row>
    <row r="140" spans="2:12" ht="18">
      <c r="B140" s="56"/>
      <c r="C140" s="56"/>
      <c r="D140" s="56"/>
      <c r="E140" s="56"/>
      <c r="F140" s="56"/>
      <c r="G140" s="56"/>
      <c r="H140" s="56"/>
      <c r="I140" s="66"/>
      <c r="J140" s="66"/>
      <c r="K140" s="68"/>
      <c r="L140" s="66"/>
    </row>
    <row r="141" spans="2:12" ht="18">
      <c r="B141" s="63"/>
      <c r="C141" s="64"/>
      <c r="D141" s="64"/>
      <c r="E141" s="63"/>
      <c r="F141" s="63"/>
      <c r="G141" s="63"/>
      <c r="H141" s="65"/>
      <c r="I141" s="66"/>
      <c r="J141" s="66"/>
      <c r="K141" s="68"/>
      <c r="L141" s="66"/>
    </row>
    <row r="142" spans="2:12" s="3" customFormat="1" ht="15">
      <c r="B142" s="66"/>
      <c r="C142" s="66"/>
      <c r="D142" s="66"/>
      <c r="E142" s="66"/>
      <c r="F142" s="66"/>
      <c r="G142" s="67"/>
      <c r="H142" s="66"/>
      <c r="I142" s="66"/>
      <c r="J142" s="66"/>
      <c r="K142" s="68"/>
      <c r="L142" s="66"/>
    </row>
    <row r="143" spans="2:12" s="3" customFormat="1" ht="15">
      <c r="B143" s="66"/>
      <c r="C143" s="66"/>
      <c r="D143" s="66"/>
      <c r="E143" s="66"/>
      <c r="F143" s="66"/>
      <c r="G143" s="67"/>
      <c r="H143" s="66"/>
      <c r="I143" s="66"/>
      <c r="J143" s="66"/>
      <c r="K143" s="68"/>
      <c r="L143" s="66"/>
    </row>
    <row r="144" spans="2:12" s="3" customFormat="1" ht="15">
      <c r="B144" s="66"/>
      <c r="C144" s="66"/>
      <c r="D144" s="66"/>
      <c r="E144" s="66"/>
      <c r="F144" s="66"/>
      <c r="G144" s="67"/>
      <c r="H144" s="66"/>
      <c r="I144" s="66"/>
      <c r="J144" s="66"/>
      <c r="K144" s="68"/>
      <c r="L144" s="66"/>
    </row>
    <row r="145" spans="2:12" s="3" customFormat="1" ht="15">
      <c r="B145" s="66"/>
      <c r="C145" s="66"/>
      <c r="D145" s="66"/>
      <c r="E145" s="66"/>
      <c r="F145" s="66"/>
      <c r="G145" s="67"/>
      <c r="H145" s="66"/>
      <c r="I145" s="66"/>
      <c r="J145" s="66"/>
      <c r="K145" s="68"/>
      <c r="L145" s="66"/>
    </row>
    <row r="146" spans="2:12" s="3" customFormat="1" ht="15">
      <c r="B146" s="66"/>
      <c r="C146" s="66"/>
      <c r="D146" s="66"/>
      <c r="E146" s="66"/>
      <c r="F146" s="66"/>
      <c r="G146" s="67"/>
      <c r="H146" s="66"/>
      <c r="I146" s="66"/>
      <c r="J146" s="66"/>
      <c r="K146" s="68"/>
      <c r="L146" s="66"/>
    </row>
    <row r="147" spans="2:12" s="3" customFormat="1" ht="15">
      <c r="B147" s="66"/>
      <c r="C147" s="66"/>
      <c r="D147" s="66"/>
      <c r="E147" s="66"/>
      <c r="F147" s="66"/>
      <c r="G147" s="67"/>
      <c r="H147" s="66"/>
      <c r="I147" s="66"/>
      <c r="J147" s="66"/>
      <c r="K147" s="68"/>
      <c r="L147" s="66"/>
    </row>
    <row r="148" spans="2:12" s="3" customFormat="1" ht="15">
      <c r="B148" s="66"/>
      <c r="C148" s="66"/>
      <c r="D148" s="66"/>
      <c r="E148" s="66"/>
      <c r="F148" s="66"/>
      <c r="G148" s="67"/>
      <c r="H148" s="66"/>
      <c r="I148" s="66"/>
      <c r="J148" s="66"/>
      <c r="K148" s="68"/>
      <c r="L148" s="66"/>
    </row>
    <row r="149" spans="2:12" s="3" customFormat="1" ht="15">
      <c r="B149" s="66"/>
      <c r="C149" s="66"/>
      <c r="D149" s="66"/>
      <c r="E149" s="66"/>
      <c r="F149" s="66"/>
      <c r="G149" s="67"/>
      <c r="H149" s="66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76"/>
      <c r="C152" s="76"/>
      <c r="D152" s="76"/>
      <c r="E152" s="76"/>
      <c r="F152" s="7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8"/>
      <c r="D155" s="68"/>
      <c r="E155" s="68"/>
      <c r="F155" s="68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8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8"/>
      <c r="D162" s="68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7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6"/>
      <c r="D170" s="66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8"/>
      <c r="C175" s="68"/>
      <c r="D175" s="68"/>
      <c r="E175" s="68"/>
      <c r="F175" s="68"/>
      <c r="G175" s="68"/>
      <c r="H175" s="68"/>
      <c r="I175" s="68"/>
      <c r="J175" s="66"/>
      <c r="K175" s="68"/>
      <c r="L175" s="66"/>
    </row>
    <row r="176" spans="2:12" s="3" customFormat="1" ht="15">
      <c r="B176" s="68"/>
      <c r="C176" s="68"/>
      <c r="D176" s="68"/>
      <c r="E176" s="68"/>
      <c r="F176" s="68"/>
      <c r="G176" s="77"/>
      <c r="H176" s="68"/>
      <c r="I176" s="68"/>
      <c r="J176" s="66"/>
      <c r="K176" s="68"/>
      <c r="L176" s="77"/>
    </row>
    <row r="177" spans="2:12" s="3" customFormat="1" ht="15">
      <c r="B177" s="68"/>
      <c r="C177" s="68"/>
      <c r="D177" s="68"/>
      <c r="E177" s="68"/>
      <c r="F177" s="68"/>
      <c r="G177" s="68"/>
      <c r="H177" s="68"/>
      <c r="I177" s="78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8"/>
      <c r="I184" s="68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8"/>
      <c r="I185" s="68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8"/>
      <c r="I186" s="68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6"/>
      <c r="I192" s="66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8"/>
      <c r="I193" s="68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8"/>
      <c r="I194" s="68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8"/>
      <c r="I195" s="68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6"/>
      <c r="I201" s="66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ht="1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ht="1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</sheetData>
  <sheetProtection/>
  <mergeCells count="34">
    <mergeCell ref="B105:J105"/>
    <mergeCell ref="B100:J100"/>
    <mergeCell ref="B90:J90"/>
    <mergeCell ref="B99:J99"/>
    <mergeCell ref="B102:J102"/>
    <mergeCell ref="B83:J83"/>
    <mergeCell ref="E87:F87"/>
    <mergeCell ref="E88:F88"/>
    <mergeCell ref="E84:J84"/>
    <mergeCell ref="G87:H87"/>
    <mergeCell ref="D2:J2"/>
    <mergeCell ref="D3:J3"/>
    <mergeCell ref="D4:J4"/>
    <mergeCell ref="B13:E13"/>
    <mergeCell ref="G13:J13"/>
    <mergeCell ref="E21:F21"/>
    <mergeCell ref="D6:J6"/>
    <mergeCell ref="L71:O71"/>
    <mergeCell ref="B97:J97"/>
    <mergeCell ref="B128:C128"/>
    <mergeCell ref="B98:J98"/>
    <mergeCell ref="B101:J101"/>
    <mergeCell ref="B104:J104"/>
    <mergeCell ref="B82:J82"/>
    <mergeCell ref="B103:J103"/>
    <mergeCell ref="E85:F85"/>
    <mergeCell ref="E86:F86"/>
    <mergeCell ref="G88:H88"/>
    <mergeCell ref="I86:J86"/>
    <mergeCell ref="I87:J87"/>
    <mergeCell ref="I88:J88"/>
    <mergeCell ref="I85:J85"/>
    <mergeCell ref="G85:H85"/>
    <mergeCell ref="G86:H8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17</v>
      </c>
      <c r="C2" s="49">
        <f>((Alcachofa!E14-45000)/45000)+1</f>
        <v>2</v>
      </c>
    </row>
    <row r="3" ht="18">
      <c r="B3" s="12"/>
    </row>
    <row r="4" spans="2:3" ht="18">
      <c r="B4" s="347" t="s">
        <v>18</v>
      </c>
      <c r="C4" s="347"/>
    </row>
    <row r="5" spans="2:5" ht="18">
      <c r="B5" s="81" t="s">
        <v>33</v>
      </c>
      <c r="C5" s="127"/>
      <c r="D5" s="82"/>
      <c r="E5" s="3">
        <v>45000</v>
      </c>
    </row>
    <row r="6" spans="2:4" ht="15">
      <c r="B6" s="25"/>
      <c r="C6" s="25"/>
      <c r="D6" s="25"/>
    </row>
    <row r="14" spans="2:4" ht="15">
      <c r="B14" s="348" t="s">
        <v>14</v>
      </c>
      <c r="C14" s="348"/>
      <c r="D14" s="348"/>
    </row>
    <row r="16" spans="2:4" ht="18">
      <c r="B16" s="48" t="s">
        <v>16</v>
      </c>
      <c r="C16" s="47">
        <f>Alcachofa!B86</f>
        <v>0</v>
      </c>
      <c r="D16" s="47">
        <f>Alcachofa!B88</f>
        <v>0</v>
      </c>
    </row>
    <row r="17" ht="15">
      <c r="B17" s="23"/>
    </row>
    <row r="18" spans="2:4" ht="15">
      <c r="B18" s="46" t="s">
        <v>17</v>
      </c>
      <c r="C18" s="49">
        <f>((C16-Alcachofa!E14)/Alcachofa!E14)+1</f>
        <v>0</v>
      </c>
      <c r="D18" s="49">
        <f>((D16-Alcachofa!E14)/Alcachofa!E14)+1</f>
        <v>0</v>
      </c>
    </row>
    <row r="19" spans="2:4" ht="18">
      <c r="B19" s="16"/>
      <c r="C19" s="47"/>
      <c r="D19" s="47"/>
    </row>
    <row r="20" spans="2:4" ht="18">
      <c r="B20" s="48" t="s">
        <v>7</v>
      </c>
      <c r="C20" s="47"/>
      <c r="D20" s="47"/>
    </row>
    <row r="21" spans="2:4" ht="18">
      <c r="B21" s="16" t="s">
        <v>19</v>
      </c>
      <c r="C21" s="9">
        <f>SUM(Alcachofa!J23:J27)</f>
        <v>570000</v>
      </c>
      <c r="D21" s="9">
        <f>SUM(Alcachofa!J23:J27)</f>
        <v>570000</v>
      </c>
    </row>
    <row r="22" spans="2:4" ht="18">
      <c r="B22" s="50" t="s">
        <v>20</v>
      </c>
      <c r="C22" s="51">
        <f>C18*Alcachofa!G28*Alcachofa!I28</f>
        <v>0</v>
      </c>
      <c r="D22" s="51">
        <f>D18*Alcachofa!G28*Alcachofa!I28</f>
        <v>0</v>
      </c>
    </row>
    <row r="23" spans="2:4" ht="18">
      <c r="B23" s="16" t="s">
        <v>21</v>
      </c>
      <c r="C23" s="9">
        <f>SUM(C21:C22)</f>
        <v>570000</v>
      </c>
      <c r="D23" s="9">
        <f>SUM(D21:D22)</f>
        <v>570000</v>
      </c>
    </row>
    <row r="24" ht="18">
      <c r="B24" s="16"/>
    </row>
    <row r="25" ht="18">
      <c r="B25" s="48" t="s">
        <v>9</v>
      </c>
    </row>
    <row r="26" spans="2:4" ht="18">
      <c r="B26" s="16" t="s">
        <v>19</v>
      </c>
      <c r="C26" s="9">
        <f>SUM(Alcachofa!J34:J41)</f>
        <v>696000</v>
      </c>
      <c r="D26" s="9">
        <f>SUM(Alcachofa!J34:J41)</f>
        <v>696000</v>
      </c>
    </row>
    <row r="27" spans="2:4" ht="18">
      <c r="B27" s="50" t="s">
        <v>20</v>
      </c>
      <c r="C27" s="51">
        <v>0</v>
      </c>
      <c r="D27" s="51">
        <v>0</v>
      </c>
    </row>
    <row r="28" spans="2:4" ht="18">
      <c r="B28" s="16" t="s">
        <v>21</v>
      </c>
      <c r="C28" s="9">
        <f>SUM(C26:C27)</f>
        <v>696000</v>
      </c>
      <c r="D28" s="9">
        <f>SUM(D26:D27)</f>
        <v>696000</v>
      </c>
    </row>
    <row r="30" ht="18">
      <c r="B30" s="48" t="s">
        <v>22</v>
      </c>
    </row>
    <row r="31" spans="2:4" ht="18">
      <c r="B31" s="16" t="s">
        <v>19</v>
      </c>
      <c r="C31" s="9">
        <f>SUM(Alcachofa!J45:J61)</f>
        <v>550209</v>
      </c>
      <c r="D31" s="9">
        <f>SUM(Alcachofa!J45:J61)</f>
        <v>550209</v>
      </c>
    </row>
    <row r="32" spans="2:4" ht="18">
      <c r="B32" s="50" t="s">
        <v>20</v>
      </c>
      <c r="C32" s="51">
        <v>0</v>
      </c>
      <c r="D32" s="51">
        <v>0</v>
      </c>
    </row>
    <row r="33" spans="2:4" ht="18">
      <c r="B33" s="16" t="s">
        <v>21</v>
      </c>
      <c r="C33" s="9">
        <f>SUM(C31:C32)</f>
        <v>550209</v>
      </c>
      <c r="D33" s="9">
        <f>SUM(D31:D32)</f>
        <v>550209</v>
      </c>
    </row>
    <row r="34" spans="2:4" ht="15">
      <c r="B34" s="23"/>
      <c r="C34" s="27"/>
      <c r="D34" s="27"/>
    </row>
    <row r="35" spans="2:4" ht="18">
      <c r="B35" s="53" t="s">
        <v>23</v>
      </c>
      <c r="C35" s="54">
        <f>C23+C28+C33</f>
        <v>1816209</v>
      </c>
      <c r="D35" s="54">
        <f>D23+D28+D33</f>
        <v>1816209</v>
      </c>
    </row>
    <row r="36" ht="15">
      <c r="B36" s="23"/>
    </row>
    <row r="37" spans="2:4" ht="18">
      <c r="B37" s="52" t="s">
        <v>0</v>
      </c>
      <c r="C37" s="9">
        <f>C35*Alcachofa!G65</f>
        <v>90810.45000000001</v>
      </c>
      <c r="D37" s="9">
        <f>D35*D18*Alcachofa!G65</f>
        <v>0</v>
      </c>
    </row>
    <row r="38" spans="2:4" ht="18">
      <c r="B38" s="52" t="s">
        <v>12</v>
      </c>
      <c r="C38" s="9" t="e">
        <f>C35*Alcachofa!E17*Alcachofa!#REF!*0.5</f>
        <v>#REF!</v>
      </c>
      <c r="D38" s="9" t="e">
        <f>D35*Alcachofa!E17*Alcachofa!#REF!*0.5</f>
        <v>#REF!</v>
      </c>
    </row>
    <row r="39" ht="15">
      <c r="B39" s="23"/>
    </row>
    <row r="40" spans="2:4" ht="18">
      <c r="B40" s="53" t="s">
        <v>13</v>
      </c>
      <c r="C40" s="54" t="e">
        <f>C35+C37+C38</f>
        <v>#REF!</v>
      </c>
      <c r="D40" s="54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2019-08-28T20:07:38Z</dcterms:modified>
  <cp:category/>
  <cp:version/>
  <cp:contentType/>
  <cp:contentStatus/>
</cp:coreProperties>
</file>