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30" windowHeight="12135" activeTab="0"/>
  </bookViews>
  <sheets>
    <sheet name="alfalfa_ establecer _rm 2022-23" sheetId="1" r:id="rId1"/>
    <sheet name="Hoja1" sheetId="2" state="hidden" r:id="rId2"/>
  </sheets>
  <definedNames>
    <definedName name="_xlnm.Print_Area" localSheetId="0">'alfalfa_ establecer _rm 2022-23'!$A$1:$K$116</definedName>
  </definedNames>
  <calcPr fullCalcOnLoad="1"/>
</workbook>
</file>

<file path=xl/sharedStrings.xml><?xml version="1.0" encoding="utf-8"?>
<sst xmlns="http://schemas.openxmlformats.org/spreadsheetml/2006/main" count="181" uniqueCount="128">
  <si>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</si>
  <si>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</si>
  <si>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</si>
  <si>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</si>
  <si>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</si>
  <si>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</si>
  <si>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</si>
  <si>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</si>
  <si>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</si>
  <si>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</si>
  <si>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</si>
  <si>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</si>
  <si>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</si>
  <si>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</si>
  <si>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</si>
  <si>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</si>
  <si>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</si>
  <si>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</si>
  <si>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</si>
  <si>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</si>
  <si>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</si>
  <si>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</si>
  <si>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</si>
  <si>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</si>
  <si>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</si>
  <si>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</si>
  <si>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</si>
  <si>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</si>
  <si>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</si>
  <si>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</si>
  <si>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</si>
  <si>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</si>
  <si>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</si>
  <si>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</si>
  <si>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</si>
  <si>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Riego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</si>
  <si>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</si>
  <si>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</si>
  <si>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</si>
  <si>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</si>
  <si>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</si>
  <si>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</si>
  <si>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</si>
  <si>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</si>
  <si>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</si>
  <si>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</si>
  <si>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</si>
  <si>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</si>
  <si>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</si>
  <si>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</si>
  <si>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</si>
  <si>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</si>
  <si>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</si>
  <si>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</si>
  <si>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</si>
  <si>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</si>
  <si>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Tecnología: media</t>
  </si>
  <si>
    <t>Costo oportunidad (arriendo)</t>
  </si>
  <si>
    <t xml:space="preserve">Administración </t>
  </si>
  <si>
    <t>Contribuciones</t>
  </si>
  <si>
    <t>Región Metropolitana</t>
  </si>
  <si>
    <t>Aplicación de fertilizantes</t>
  </si>
  <si>
    <t>Acequiadura</t>
  </si>
  <si>
    <t>Fertilizantes foliares:</t>
  </si>
  <si>
    <t>Tecnología de riego: tendido</t>
  </si>
  <si>
    <t xml:space="preserve">Variedad: Super Lechera WL </t>
  </si>
  <si>
    <t>Control manual de malezas (desmanche)</t>
  </si>
  <si>
    <t>Aplicación fitosanitarios</t>
  </si>
  <si>
    <t>Aplicación pesticidas</t>
  </si>
  <si>
    <t>Aplicar fertilizante con trompo</t>
  </si>
  <si>
    <t>Aradura</t>
  </si>
  <si>
    <t>Rastraje</t>
  </si>
  <si>
    <t>Nivelación</t>
  </si>
  <si>
    <t>Fecha de siembra: mayo-septiembre</t>
  </si>
  <si>
    <t>Fecha de cosecha: noviembre-marzo</t>
  </si>
  <si>
    <t xml:space="preserve">Cosecha: recolección de fardos y dejar en galpón </t>
  </si>
  <si>
    <t>Destino de producción: consumo  nacional deshidratada</t>
  </si>
  <si>
    <t>Siembra y apisonado con rodillo</t>
  </si>
  <si>
    <t>Servicio:Segadora, rastrilladura y enfardadora</t>
  </si>
  <si>
    <t>Rendimiento (kilos/hectárea)</t>
  </si>
  <si>
    <t>Costo unitario ($/kilo)</t>
  </si>
  <si>
    <r>
      <t>Alfalfa (Medicago sativa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establecerla (siembra)</t>
    </r>
  </si>
  <si>
    <r>
      <t xml:space="preserve">Densidad (plantas/ha) </t>
    </r>
    <r>
      <rPr>
        <vertAlign val="superscript"/>
        <sz val="14"/>
        <rFont val="Arial"/>
        <family val="2"/>
      </rPr>
      <t>(2)</t>
    </r>
  </si>
  <si>
    <t>(1) Nombre científico de la alfalfa.</t>
  </si>
  <si>
    <t xml:space="preserve">   septiembre-febrero</t>
  </si>
  <si>
    <t xml:space="preserve">   mayo - septiembre</t>
  </si>
  <si>
    <t xml:space="preserve">   octubre-noviembre</t>
  </si>
  <si>
    <t xml:space="preserve">   mayo-marzo</t>
  </si>
  <si>
    <t xml:space="preserve">   noviembre- marzo</t>
  </si>
  <si>
    <t xml:space="preserve">   abril-septiembre</t>
  </si>
  <si>
    <t xml:space="preserve">   mayo-septiembre</t>
  </si>
  <si>
    <t xml:space="preserve">   agosto</t>
  </si>
  <si>
    <t xml:space="preserve">   noviembre - marzo</t>
  </si>
  <si>
    <t xml:space="preserve">   junio-febrero</t>
  </si>
  <si>
    <t xml:space="preserve">   septiembre-marzo</t>
  </si>
  <si>
    <t xml:space="preserve">   marzo - julio</t>
  </si>
  <si>
    <t xml:space="preserve"> Karate con tecnología Zeon</t>
  </si>
  <si>
    <t xml:space="preserve"> Terrasorb foliar</t>
  </si>
  <si>
    <t xml:space="preserve"> Fosfimax 40 20</t>
  </si>
  <si>
    <t xml:space="preserve"> Semilla </t>
  </si>
  <si>
    <t>1 hectárea mayo  2023</t>
  </si>
  <si>
    <t>Ficha de Costos</t>
  </si>
  <si>
    <t xml:space="preserve">   septiembre-octubre</t>
  </si>
  <si>
    <t xml:space="preserve">  marzo</t>
  </si>
  <si>
    <t xml:space="preserve">  mayo-abril</t>
  </si>
  <si>
    <r>
      <t>Precio de venta a productor ($/kilo)</t>
    </r>
    <r>
      <rPr>
        <b/>
        <vertAlign val="superscript"/>
        <sz val="14"/>
        <rFont val="Arial"/>
        <family val="2"/>
      </rPr>
      <t>(4)</t>
    </r>
    <r>
      <rPr>
        <b/>
        <sz val="14"/>
        <rFont val="Arial"/>
        <family val="2"/>
      </rPr>
      <t>:</t>
    </r>
  </si>
  <si>
    <t>(2) La dosis de semilla de alfalfa es de 25 kg/ha  y cada corona produce tres a cinco brotes.</t>
  </si>
  <si>
    <r>
      <t>Maquinaria (b)</t>
    </r>
    <r>
      <rPr>
        <b/>
        <vertAlign val="superscript"/>
        <sz val="14"/>
        <color indexed="9"/>
        <rFont val="Arial"/>
        <family val="2"/>
      </rPr>
      <t>(5)</t>
    </r>
  </si>
  <si>
    <t>(5) Representa el valor de arriendo del servicio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</si>
  <si>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(6)</t>
    </r>
  </si>
  <si>
    <r>
      <t xml:space="preserve"> Análisis de suelo (fertilidad completa) </t>
    </r>
    <r>
      <rPr>
        <vertAlign val="superscript"/>
        <sz val="14"/>
        <rFont val="Arial"/>
        <family val="2"/>
      </rPr>
      <t>(7)</t>
    </r>
  </si>
  <si>
    <r>
      <t xml:space="preserve">Costo financiero (tasa de interés) </t>
    </r>
    <r>
      <rPr>
        <vertAlign val="superscript"/>
        <sz val="14"/>
        <rFont val="Arial"/>
        <family val="2"/>
      </rPr>
      <t>(8)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</si>
  <si>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(9)</t>
    </r>
  </si>
  <si>
    <r>
      <t xml:space="preserve">Costo unitario ($/kilos) </t>
    </r>
    <r>
      <rPr>
        <b/>
        <vertAlign val="superscript"/>
        <sz val="14"/>
        <color indexed="9"/>
        <rFont val="Arial"/>
        <family val="2"/>
      </rPr>
      <t>(10)</t>
    </r>
  </si>
  <si>
    <t>(7) La dosis de fertilización promedio podría variar de acuerdo a los resultados del análisis de suelo.</t>
  </si>
  <si>
    <t>(8) 1,5% mensual simple sobre el 50% de los costos totales, tasa de interés promedio de las empresas distribuidoras de insumos.</t>
  </si>
  <si>
    <t>(9) Margen neto corresponde a ingresos totales (precio venta x rendimiento) menos los costos totales.</t>
  </si>
  <si>
    <t>(10) Representa el precio de venta mínimo para cubrir los costos totales de producción.</t>
  </si>
  <si>
    <r>
      <t xml:space="preserve"> Muriato de potasio  K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0</t>
    </r>
    <r>
      <rPr>
        <vertAlign val="subscript"/>
        <sz val="14"/>
        <rFont val="Arial"/>
        <family val="2"/>
      </rPr>
      <t>5</t>
    </r>
    <r>
      <rPr>
        <sz val="14"/>
        <rFont val="Arial"/>
        <family val="2"/>
      </rPr>
      <t>(62%)-CL(31%)</t>
    </r>
  </si>
  <si>
    <r>
      <t xml:space="preserve"> Superfosfato triple </t>
    </r>
    <r>
      <rPr>
        <sz val="14"/>
        <color indexed="8"/>
        <rFont val="Arial"/>
        <family val="2"/>
      </rPr>
      <t>P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O</t>
    </r>
    <r>
      <rPr>
        <vertAlign val="subscript"/>
        <sz val="14"/>
        <color indexed="8"/>
        <rFont val="Arial"/>
        <family val="2"/>
      </rPr>
      <t>5</t>
    </r>
    <r>
      <rPr>
        <sz val="14"/>
        <color indexed="8"/>
        <rFont val="Arial"/>
        <family val="2"/>
      </rPr>
      <t xml:space="preserve"> 46%</t>
    </r>
  </si>
  <si>
    <t>Venceweed Extra (hoja ancha)*</t>
  </si>
  <si>
    <t xml:space="preserve">(6)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 y en general en esta ficha de tecnología media* usan control químico de postemergencia en alfalfa. </t>
  </si>
  <si>
    <t>(3) Los fardos de alfalfa cosechados en promedio son  de 25 kilos con un rendimiento de 590 fardos /ha con una humedad del 18 a 20%, en la temporada 2022/23 y la información obtenida fue mediante vía teléfonica .</t>
  </si>
  <si>
    <t xml:space="preserve"> kilo </t>
  </si>
  <si>
    <t xml:space="preserve">kilo </t>
  </si>
  <si>
    <t>(4) El precio promedio de un fardo de 25 kilos de alfalfa, fue de $ 3.900 en el predio durante la cosecha en la temporada y el rendimiento fue afectado por las altas temperatura y escacez de agua de riego en algunos sectores.</t>
  </si>
  <si>
    <t>(Precios sin IVA)</t>
  </si>
  <si>
    <r>
      <t xml:space="preserve">Rendimiento (kilos </t>
    </r>
    <r>
      <rPr>
        <b/>
        <sz val="14"/>
        <color indexed="8"/>
        <rFont val="Arial"/>
        <family val="2"/>
      </rPr>
      <t>MS</t>
    </r>
    <r>
      <rPr>
        <b/>
        <sz val="14"/>
        <rFont val="Arial"/>
        <family val="2"/>
      </rPr>
      <t>/ha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>):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</si>
</sst>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vertAlign val="sub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4"/>
      <color indexed="10"/>
      <name val="Arial"/>
      <family val="2"/>
    </font>
    <font>
      <vertAlign val="subscript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10" applyNumberFormat="0" applyFill="0" applyAlignment="0" applyProtection="0"/>
  </cellStyleXfs>
  <cellXfs count="36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3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3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3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4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5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6" fillId="0" borderId="0" xfId="56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0" xfId="56" applyFont="1" applyFill="1" applyBorder="1" applyAlignment="1" applyProtection="1">
      <alignment horizontal="center"/>
      <protection/>
    </xf>
    <xf numFmtId="4" fontId="66" fillId="0" borderId="0" xfId="56" applyNumberFormat="1" applyFont="1" applyFill="1" applyBorder="1" applyAlignment="1" applyProtection="1">
      <alignment/>
      <protection/>
    </xf>
    <xf numFmtId="3" fontId="66" fillId="0" borderId="0" xfId="56" applyNumberFormat="1" applyFont="1" applyFill="1" applyBorder="1" applyAlignment="1" applyProtection="1">
      <alignment/>
      <protection/>
    </xf>
    <xf numFmtId="3" fontId="66" fillId="0" borderId="0" xfId="56" applyNumberFormat="1" applyFont="1" applyFill="1" applyBorder="1" applyAlignment="1" applyProtection="1">
      <alignment horizontal="center"/>
      <protection/>
    </xf>
    <xf numFmtId="3" fontId="67" fillId="0" borderId="0" xfId="56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1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7" fillId="0" borderId="0" xfId="56" applyFont="1" applyFill="1" applyBorder="1" applyAlignment="1">
      <alignment horizontal="left"/>
      <protection/>
    </xf>
    <xf numFmtId="0" fontId="67" fillId="0" borderId="0" xfId="56" applyFont="1" applyFill="1" applyBorder="1" applyAlignment="1">
      <alignment horizontal="center"/>
      <protection/>
    </xf>
    <xf numFmtId="180" fontId="67" fillId="0" borderId="0" xfId="67" applyFont="1" applyFill="1" applyBorder="1" applyAlignment="1" applyProtection="1">
      <alignment horizontal="left"/>
      <protection/>
    </xf>
    <xf numFmtId="0" fontId="67" fillId="0" borderId="0" xfId="56" applyFont="1" applyFill="1" applyBorder="1" applyAlignment="1" applyProtection="1">
      <alignment horizontal="center"/>
      <protection/>
    </xf>
    <xf numFmtId="3" fontId="67" fillId="0" borderId="0" xfId="56" applyNumberFormat="1" applyFont="1" applyFill="1" applyBorder="1" applyAlignment="1" applyProtection="1">
      <alignment horizontal="center"/>
      <protection/>
    </xf>
    <xf numFmtId="180" fontId="67" fillId="0" borderId="0" xfId="67" applyFont="1" applyFill="1" applyBorder="1" applyAlignment="1" applyProtection="1">
      <alignment horizontal="right"/>
      <protection/>
    </xf>
    <xf numFmtId="3" fontId="67" fillId="0" borderId="0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3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4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3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8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8" fillId="34" borderId="11" xfId="67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180" fontId="68" fillId="34" borderId="16" xfId="67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8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3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8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6" fillId="23" borderId="24" xfId="56" applyNumberFormat="1" applyFont="1" applyFill="1" applyBorder="1" applyAlignment="1" applyProtection="1">
      <alignment horizontal="center" vertical="center" wrapText="1"/>
      <protection/>
    </xf>
    <xf numFmtId="0" fontId="66" fillId="23" borderId="24" xfId="56" applyFont="1" applyFill="1" applyBorder="1" applyAlignment="1" applyProtection="1">
      <alignment horizontal="center" vertical="center" wrapText="1"/>
      <protection/>
    </xf>
    <xf numFmtId="3" fontId="66" fillId="23" borderId="24" xfId="56" applyNumberFormat="1" applyFont="1" applyFill="1" applyBorder="1" applyAlignment="1" applyProtection="1">
      <alignment horizontal="center" vertical="center" wrapText="1"/>
      <protection/>
    </xf>
    <xf numFmtId="3" fontId="66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6" fillId="23" borderId="25" xfId="56" applyFont="1" applyFill="1" applyBorder="1" applyAlignment="1" applyProtection="1">
      <alignment/>
      <protection/>
    </xf>
    <xf numFmtId="0" fontId="66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6" fillId="23" borderId="24" xfId="56" applyFont="1" applyFill="1" applyBorder="1" applyAlignment="1" applyProtection="1">
      <alignment vertical="center"/>
      <protection/>
    </xf>
    <xf numFmtId="0" fontId="66" fillId="23" borderId="24" xfId="56" applyFont="1" applyFill="1" applyBorder="1" applyAlignment="1" applyProtection="1">
      <alignment horizontal="right" vertical="center"/>
      <protection/>
    </xf>
    <xf numFmtId="0" fontId="66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0" xfId="67" applyNumberFormat="1" applyFont="1" applyProtection="1">
      <alignment/>
      <protection locked="0"/>
    </xf>
    <xf numFmtId="0" fontId="10" fillId="0" borderId="0" xfId="56" applyFont="1">
      <alignment/>
      <protection/>
    </xf>
    <xf numFmtId="180" fontId="10" fillId="0" borderId="19" xfId="67" applyFont="1" applyBorder="1" applyProtection="1">
      <alignment/>
      <protection locked="0"/>
    </xf>
    <xf numFmtId="180" fontId="10" fillId="0" borderId="0" xfId="67" applyFont="1">
      <alignment/>
      <protection/>
    </xf>
    <xf numFmtId="0" fontId="10" fillId="0" borderId="17" xfId="56" applyFont="1" applyBorder="1" applyAlignment="1" applyProtection="1">
      <alignment horizontal="left"/>
      <protection locked="0"/>
    </xf>
    <xf numFmtId="0" fontId="10" fillId="0" borderId="14" xfId="56" applyFont="1" applyBorder="1" applyAlignment="1" applyProtection="1">
      <alignment horizontal="left"/>
      <protection locked="0"/>
    </xf>
    <xf numFmtId="0" fontId="10" fillId="0" borderId="18" xfId="56" applyFont="1" applyBorder="1" applyAlignment="1" applyProtection="1">
      <alignment horizontal="left"/>
      <protection locked="0"/>
    </xf>
    <xf numFmtId="0" fontId="10" fillId="0" borderId="19" xfId="56" applyFont="1" applyBorder="1" applyAlignment="1" applyProtection="1">
      <alignment horizontal="left"/>
      <protection locked="0"/>
    </xf>
    <xf numFmtId="0" fontId="10" fillId="0" borderId="0" xfId="56" applyFont="1" applyAlignment="1" applyProtection="1">
      <alignment horizontal="left"/>
      <protection locked="0"/>
    </xf>
    <xf numFmtId="0" fontId="10" fillId="0" borderId="11" xfId="56" applyFont="1" applyBorder="1" applyAlignment="1" applyProtection="1">
      <alignment horizontal="left"/>
      <protection locked="0"/>
    </xf>
    <xf numFmtId="3" fontId="10" fillId="0" borderId="22" xfId="56" applyNumberFormat="1" applyFont="1" applyBorder="1" applyAlignment="1" applyProtection="1">
      <alignment horizontal="right"/>
      <protection locked="0"/>
    </xf>
    <xf numFmtId="0" fontId="10" fillId="0" borderId="0" xfId="56" applyFont="1" applyProtection="1">
      <alignment/>
      <protection locked="0"/>
    </xf>
    <xf numFmtId="181" fontId="10" fillId="0" borderId="11" xfId="56" applyNumberFormat="1" applyFont="1" applyBorder="1" applyAlignment="1" applyProtection="1">
      <alignment horizontal="center"/>
      <protection locked="0"/>
    </xf>
    <xf numFmtId="184" fontId="10" fillId="34" borderId="11" xfId="67" applyNumberFormat="1" applyFont="1" applyFill="1" applyBorder="1" applyAlignment="1" applyProtection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184" fontId="10" fillId="34" borderId="16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 locked="0"/>
    </xf>
    <xf numFmtId="180" fontId="10" fillId="0" borderId="15" xfId="67" applyFont="1" applyBorder="1" applyProtection="1">
      <alignment/>
      <protection locked="0"/>
    </xf>
    <xf numFmtId="180" fontId="10" fillId="0" borderId="13" xfId="67" applyFont="1" applyBorder="1">
      <alignment/>
      <protection/>
    </xf>
    <xf numFmtId="181" fontId="10" fillId="0" borderId="13" xfId="67" applyNumberFormat="1" applyFont="1" applyBorder="1" applyProtection="1">
      <alignment/>
      <protection locked="0"/>
    </xf>
    <xf numFmtId="180" fontId="8" fillId="34" borderId="13" xfId="67" applyFont="1" applyFill="1" applyBorder="1">
      <alignment/>
      <protection/>
    </xf>
    <xf numFmtId="181" fontId="10" fillId="0" borderId="17" xfId="56" applyNumberFormat="1" applyFont="1" applyBorder="1" applyAlignment="1" applyProtection="1">
      <alignment horizontal="center"/>
      <protection locked="0"/>
    </xf>
    <xf numFmtId="181" fontId="10" fillId="0" borderId="19" xfId="56" applyNumberFormat="1" applyFont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Border="1" applyAlignment="1" applyProtection="1">
      <alignment horizontal="center"/>
      <protection locked="0"/>
    </xf>
    <xf numFmtId="3" fontId="10" fillId="0" borderId="19" xfId="67" applyNumberFormat="1" applyFont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184" fontId="10" fillId="34" borderId="19" xfId="56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0" borderId="17" xfId="56" applyFont="1" applyBorder="1" applyAlignment="1" applyProtection="1">
      <alignment vertical="center"/>
      <protection locked="0"/>
    </xf>
    <xf numFmtId="0" fontId="10" fillId="0" borderId="18" xfId="56" applyFont="1" applyBorder="1" applyAlignment="1" applyProtection="1">
      <alignment vertical="center"/>
      <protection locked="0"/>
    </xf>
    <xf numFmtId="0" fontId="10" fillId="34" borderId="19" xfId="56" applyFont="1" applyFill="1" applyBorder="1" applyAlignment="1" applyProtection="1">
      <alignment vertical="center"/>
      <protection locked="0"/>
    </xf>
    <xf numFmtId="0" fontId="10" fillId="34" borderId="11" xfId="56" applyFont="1" applyFill="1" applyBorder="1" applyAlignment="1" applyProtection="1">
      <alignment vertical="center"/>
      <protection locked="0"/>
    </xf>
    <xf numFmtId="0" fontId="10" fillId="0" borderId="19" xfId="56" applyFont="1" applyBorder="1" applyAlignment="1" applyProtection="1">
      <alignment vertical="center"/>
      <protection locked="0"/>
    </xf>
    <xf numFmtId="0" fontId="10" fillId="0" borderId="11" xfId="56" applyFont="1" applyBorder="1" applyAlignment="1" applyProtection="1">
      <alignment vertical="center"/>
      <protection locked="0"/>
    </xf>
    <xf numFmtId="0" fontId="10" fillId="0" borderId="19" xfId="67" applyNumberFormat="1" applyFont="1" applyBorder="1" applyAlignment="1" applyProtection="1">
      <alignment horizontal="left"/>
      <protection locked="0"/>
    </xf>
    <xf numFmtId="0" fontId="8" fillId="0" borderId="19" xfId="56" applyFont="1" applyBorder="1" applyAlignment="1">
      <alignment horizontal="left"/>
      <protection/>
    </xf>
    <xf numFmtId="0" fontId="10" fillId="0" borderId="15" xfId="56" applyFont="1" applyBorder="1" applyAlignment="1" applyProtection="1">
      <alignment vertical="center"/>
      <protection locked="0"/>
    </xf>
    <xf numFmtId="0" fontId="10" fillId="0" borderId="16" xfId="56" applyFont="1" applyBorder="1" applyAlignment="1" applyProtection="1">
      <alignment vertical="center"/>
      <protection locked="0"/>
    </xf>
    <xf numFmtId="0" fontId="10" fillId="34" borderId="17" xfId="56" applyFont="1" applyFill="1" applyBorder="1" applyAlignment="1" applyProtection="1">
      <alignment vertical="center"/>
      <protection locked="0"/>
    </xf>
    <xf numFmtId="0" fontId="10" fillId="34" borderId="18" xfId="56" applyFont="1" applyFill="1" applyBorder="1" applyAlignment="1" applyProtection="1">
      <alignment vertical="center"/>
      <protection locked="0"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9" fillId="34" borderId="24" xfId="67" applyNumberFormat="1" applyFont="1" applyFill="1" applyBorder="1" applyAlignment="1" applyProtection="1">
      <alignment horizontal="left"/>
      <protection/>
    </xf>
    <xf numFmtId="0" fontId="69" fillId="34" borderId="20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4" xfId="56" applyFont="1" applyFill="1" applyBorder="1" applyAlignment="1">
      <alignment/>
      <protection/>
    </xf>
    <xf numFmtId="0" fontId="10" fillId="34" borderId="25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2" fontId="11" fillId="34" borderId="0" xfId="67" applyNumberFormat="1" applyFont="1" applyFill="1" applyBorder="1" applyAlignment="1">
      <alignment vertical="center" wrapText="1"/>
      <protection/>
    </xf>
    <xf numFmtId="0" fontId="10" fillId="34" borderId="0" xfId="56" applyFont="1" applyFill="1">
      <alignment/>
      <protection/>
    </xf>
    <xf numFmtId="184" fontId="10" fillId="34" borderId="11" xfId="67" applyNumberFormat="1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>
      <alignment horizontal="right"/>
      <protection/>
    </xf>
    <xf numFmtId="0" fontId="70" fillId="0" borderId="19" xfId="56" applyFont="1" applyBorder="1" applyProtection="1">
      <alignment/>
      <protection locked="0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10" fillId="34" borderId="17" xfId="56" applyFont="1" applyFill="1" applyBorder="1" applyAlignment="1" applyProtection="1">
      <alignment horizontal="left"/>
      <protection locked="0"/>
    </xf>
    <xf numFmtId="0" fontId="10" fillId="34" borderId="18" xfId="56" applyFont="1" applyFill="1" applyBorder="1" applyAlignment="1" applyProtection="1">
      <alignment horizontal="left"/>
      <protection locked="0"/>
    </xf>
    <xf numFmtId="0" fontId="10" fillId="34" borderId="19" xfId="56" applyFont="1" applyFill="1" applyBorder="1" applyAlignment="1" applyProtection="1">
      <alignment horizontal="left" vertical="center"/>
      <protection locked="0"/>
    </xf>
    <xf numFmtId="0" fontId="10" fillId="34" borderId="11" xfId="56" applyFont="1" applyFill="1" applyBorder="1" applyAlignment="1" applyProtection="1">
      <alignment horizontal="left" vertical="center"/>
      <protection locked="0"/>
    </xf>
    <xf numFmtId="0" fontId="10" fillId="34" borderId="15" xfId="56" applyFont="1" applyFill="1" applyBorder="1" applyAlignment="1" applyProtection="1">
      <alignment horizontal="left" vertical="center"/>
      <protection locked="0"/>
    </xf>
    <xf numFmtId="0" fontId="10" fillId="34" borderId="16" xfId="56" applyFont="1" applyFill="1" applyBorder="1" applyAlignment="1" applyProtection="1">
      <alignment horizontal="left" vertical="center"/>
      <protection locked="0"/>
    </xf>
    <xf numFmtId="0" fontId="66" fillId="23" borderId="24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6" fillId="37" borderId="17" xfId="55" applyFont="1" applyFill="1" applyBorder="1" applyAlignment="1">
      <alignment horizontal="center"/>
      <protection/>
    </xf>
    <xf numFmtId="0" fontId="66" fillId="37" borderId="14" xfId="55" applyFont="1" applyFill="1" applyBorder="1" applyAlignment="1">
      <alignment horizontal="center"/>
      <protection/>
    </xf>
    <xf numFmtId="0" fontId="66" fillId="37" borderId="18" xfId="55" applyFont="1" applyFill="1" applyBorder="1" applyAlignment="1">
      <alignment horizontal="center"/>
      <protection/>
    </xf>
    <xf numFmtId="0" fontId="66" fillId="37" borderId="25" xfId="55" applyFont="1" applyFill="1" applyBorder="1" applyAlignment="1">
      <alignment horizontal="center"/>
      <protection/>
    </xf>
    <xf numFmtId="0" fontId="66" fillId="37" borderId="24" xfId="55" applyFont="1" applyFill="1" applyBorder="1" applyAlignment="1">
      <alignment horizontal="center"/>
      <protection/>
    </xf>
    <xf numFmtId="0" fontId="66" fillId="37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6" fillId="37" borderId="17" xfId="67" applyNumberFormat="1" applyFont="1" applyFill="1" applyBorder="1" applyAlignment="1" applyProtection="1">
      <alignment horizontal="center"/>
      <protection/>
    </xf>
    <xf numFmtId="17" fontId="66" fillId="37" borderId="14" xfId="67" applyNumberFormat="1" applyFont="1" applyFill="1" applyBorder="1" applyAlignment="1" applyProtection="1">
      <alignment horizontal="center"/>
      <protection/>
    </xf>
    <xf numFmtId="17" fontId="66" fillId="37" borderId="18" xfId="67" applyNumberFormat="1" applyFont="1" applyFill="1" applyBorder="1" applyAlignment="1" applyProtection="1">
      <alignment horizontal="center"/>
      <protection/>
    </xf>
    <xf numFmtId="180" fontId="67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6" fillId="38" borderId="17" xfId="0" applyFont="1" applyFill="1" applyBorder="1" applyAlignment="1">
      <alignment horizontal="center"/>
    </xf>
    <xf numFmtId="0" fontId="66" fillId="38" borderId="14" xfId="0" applyFont="1" applyFill="1" applyBorder="1" applyAlignment="1">
      <alignment horizontal="center"/>
    </xf>
    <xf numFmtId="0" fontId="66" fillId="38" borderId="18" xfId="0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6" fillId="38" borderId="15" xfId="0" applyFont="1" applyFill="1" applyBorder="1" applyAlignment="1">
      <alignment horizontal="center"/>
    </xf>
    <xf numFmtId="0" fontId="66" fillId="38" borderId="13" xfId="0" applyFont="1" applyFill="1" applyBorder="1" applyAlignment="1">
      <alignment horizontal="center"/>
    </xf>
    <xf numFmtId="0" fontId="66" fillId="38" borderId="16" xfId="0" applyFont="1" applyFill="1" applyBorder="1" applyAlignment="1">
      <alignment horizontal="center"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Border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0" fontId="66" fillId="23" borderId="25" xfId="56" applyFont="1" applyFill="1" applyBorder="1" applyAlignment="1" applyProtection="1">
      <alignment horizontal="left" vertical="center"/>
      <protection/>
    </xf>
    <xf numFmtId="0" fontId="66" fillId="23" borderId="24" xfId="56" applyFont="1" applyFill="1" applyBorder="1" applyAlignment="1" applyProtection="1">
      <alignment horizontal="left" vertical="center"/>
      <protection/>
    </xf>
    <xf numFmtId="0" fontId="66" fillId="38" borderId="17" xfId="0" applyFont="1" applyFill="1" applyBorder="1" applyAlignment="1">
      <alignment horizontal="center" vertical="center"/>
    </xf>
    <xf numFmtId="0" fontId="66" fillId="38" borderId="14" xfId="0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center" vertical="center"/>
    </xf>
    <xf numFmtId="0" fontId="66" fillId="38" borderId="15" xfId="0" applyFont="1" applyFill="1" applyBorder="1" applyAlignment="1">
      <alignment horizontal="center" vertical="center"/>
    </xf>
    <xf numFmtId="0" fontId="66" fillId="38" borderId="13" xfId="0" applyFont="1" applyFill="1" applyBorder="1" applyAlignment="1">
      <alignment horizontal="center" vertical="center"/>
    </xf>
    <xf numFmtId="0" fontId="66" fillId="38" borderId="16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4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3" fontId="13" fillId="0" borderId="19" xfId="56" applyNumberFormat="1" applyFont="1" applyFill="1" applyBorder="1" applyAlignment="1">
      <alignment horizontal="left"/>
      <protection/>
    </xf>
    <xf numFmtId="3" fontId="13" fillId="0" borderId="0" xfId="56" applyNumberFormat="1" applyFont="1" applyFill="1" applyBorder="1" applyAlignment="1">
      <alignment horizontal="left"/>
      <protection/>
    </xf>
    <xf numFmtId="3" fontId="13" fillId="0" borderId="11" xfId="56" applyNumberFormat="1" applyFont="1" applyFill="1" applyBorder="1" applyAlignment="1">
      <alignment horizontal="left"/>
      <protection/>
    </xf>
    <xf numFmtId="3" fontId="10" fillId="0" borderId="0" xfId="56" applyNumberFormat="1" applyFont="1" applyFill="1" applyBorder="1">
      <alignment/>
      <protection/>
    </xf>
    <xf numFmtId="0" fontId="64" fillId="0" borderId="19" xfId="56" applyFont="1" applyBorder="1" applyProtection="1">
      <alignment/>
      <protection locked="0"/>
    </xf>
    <xf numFmtId="0" fontId="64" fillId="0" borderId="0" xfId="56" applyFont="1" applyProtection="1">
      <alignment/>
      <protection locked="0"/>
    </xf>
    <xf numFmtId="0" fontId="64" fillId="34" borderId="0" xfId="56" applyFont="1" applyFill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12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628650</xdr:colOff>
      <xdr:row>115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70033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8"/>
  <sheetViews>
    <sheetView showGridLines="0" tabSelected="1" view="pageBreakPreview" zoomScale="68" zoomScaleNormal="70" zoomScaleSheetLayoutView="68" zoomScalePageLayoutView="80" workbookViewId="0" topLeftCell="A1">
      <selection activeCell="B55" sqref="B55:D55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2.574218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1"/>
      <c r="C2" s="131"/>
      <c r="D2" s="277" t="s">
        <v>101</v>
      </c>
      <c r="E2" s="277"/>
      <c r="F2" s="277"/>
      <c r="G2" s="277"/>
      <c r="H2" s="277"/>
      <c r="I2" s="277"/>
      <c r="J2" s="277"/>
    </row>
    <row r="3" spans="2:10" s="3" customFormat="1" ht="18" customHeight="1">
      <c r="B3" s="131"/>
      <c r="C3" s="131"/>
      <c r="D3" s="261"/>
      <c r="E3" s="261"/>
      <c r="F3" s="261"/>
      <c r="G3" s="261"/>
      <c r="H3" s="261"/>
      <c r="I3" s="261"/>
      <c r="J3" s="261"/>
    </row>
    <row r="4" spans="2:11" s="3" customFormat="1" ht="18" customHeight="1">
      <c r="B4" s="94"/>
      <c r="C4" s="112"/>
      <c r="D4" s="278" t="s">
        <v>81</v>
      </c>
      <c r="E4" s="278"/>
      <c r="F4" s="278"/>
      <c r="G4" s="278"/>
      <c r="H4" s="278"/>
      <c r="I4" s="278"/>
      <c r="J4" s="278"/>
      <c r="K4" s="14"/>
    </row>
    <row r="5" spans="2:11" s="3" customFormat="1" ht="18" customHeight="1">
      <c r="B5" s="94"/>
      <c r="C5" s="112"/>
      <c r="D5" s="278" t="s">
        <v>60</v>
      </c>
      <c r="E5" s="278"/>
      <c r="F5" s="278"/>
      <c r="G5" s="278"/>
      <c r="H5" s="278"/>
      <c r="I5" s="278"/>
      <c r="J5" s="278"/>
      <c r="K5" s="14"/>
    </row>
    <row r="6" spans="2:11" s="3" customFormat="1" ht="18" customHeight="1">
      <c r="B6" s="94"/>
      <c r="C6" s="112"/>
      <c r="D6" s="278" t="s">
        <v>126</v>
      </c>
      <c r="E6" s="278"/>
      <c r="F6" s="278"/>
      <c r="G6" s="278"/>
      <c r="H6" s="278"/>
      <c r="I6" s="278"/>
      <c r="J6" s="278"/>
      <c r="K6" s="14"/>
    </row>
    <row r="7" spans="2:11" s="3" customFormat="1" ht="18" customHeight="1">
      <c r="B7" s="42"/>
      <c r="C7" s="42"/>
      <c r="D7" s="113"/>
      <c r="E7" s="44"/>
      <c r="F7" s="263"/>
      <c r="G7" s="263"/>
      <c r="H7" s="263"/>
      <c r="I7" s="263"/>
      <c r="J7" s="263"/>
      <c r="K7" s="16"/>
    </row>
    <row r="8" spans="2:11" s="3" customFormat="1" ht="18" customHeight="1">
      <c r="B8" s="42"/>
      <c r="C8" s="42"/>
      <c r="D8" s="286" t="s">
        <v>29</v>
      </c>
      <c r="E8" s="287"/>
      <c r="F8" s="287"/>
      <c r="G8" s="287"/>
      <c r="H8" s="287"/>
      <c r="I8" s="287"/>
      <c r="J8" s="288"/>
      <c r="K8" s="16"/>
    </row>
    <row r="9" spans="2:11" s="3" customFormat="1" ht="18" customHeight="1">
      <c r="B9" s="42"/>
      <c r="C9" s="42"/>
      <c r="D9" s="85" t="s">
        <v>100</v>
      </c>
      <c r="E9" s="86"/>
      <c r="F9" s="86"/>
      <c r="G9" s="87" t="s">
        <v>65</v>
      </c>
      <c r="H9" s="88"/>
      <c r="I9" s="89"/>
      <c r="J9" s="90"/>
      <c r="K9" s="16"/>
    </row>
    <row r="10" spans="2:11" s="3" customFormat="1" ht="18.75">
      <c r="B10" s="42"/>
      <c r="C10" s="42"/>
      <c r="D10" s="91" t="s">
        <v>64</v>
      </c>
      <c r="E10" s="92"/>
      <c r="F10" s="92"/>
      <c r="G10" s="93" t="s">
        <v>76</v>
      </c>
      <c r="H10" s="94"/>
      <c r="I10" s="95"/>
      <c r="J10" s="96"/>
      <c r="K10" s="16"/>
    </row>
    <row r="11" spans="2:11" s="3" customFormat="1" ht="21.75">
      <c r="B11" s="42"/>
      <c r="C11" s="42"/>
      <c r="D11" s="203" t="s">
        <v>82</v>
      </c>
      <c r="E11" s="204"/>
      <c r="F11" s="150"/>
      <c r="G11" s="93" t="s">
        <v>56</v>
      </c>
      <c r="H11" s="94"/>
      <c r="I11" s="95"/>
      <c r="J11" s="96"/>
      <c r="K11" s="18"/>
    </row>
    <row r="12" spans="2:11" s="3" customFormat="1" ht="18" customHeight="1">
      <c r="B12" s="42"/>
      <c r="C12" s="42"/>
      <c r="D12" s="218" t="s">
        <v>73</v>
      </c>
      <c r="E12" s="219"/>
      <c r="F12" s="219"/>
      <c r="G12" s="220" t="s">
        <v>74</v>
      </c>
      <c r="H12" s="97"/>
      <c r="I12" s="221"/>
      <c r="J12" s="98"/>
      <c r="K12" s="18"/>
    </row>
    <row r="13" spans="2:11" s="3" customFormat="1" ht="18" customHeight="1">
      <c r="B13" s="42"/>
      <c r="C13" s="42"/>
      <c r="D13" s="26"/>
      <c r="E13" s="92"/>
      <c r="F13" s="92"/>
      <c r="G13" s="26"/>
      <c r="H13" s="94"/>
      <c r="I13" s="95"/>
      <c r="J13" s="120"/>
      <c r="K13" s="18"/>
    </row>
    <row r="14" spans="2:11" ht="18">
      <c r="B14" s="279" t="s">
        <v>30</v>
      </c>
      <c r="C14" s="280"/>
      <c r="D14" s="280"/>
      <c r="E14" s="281"/>
      <c r="F14" s="41"/>
      <c r="G14" s="282" t="s">
        <v>4</v>
      </c>
      <c r="H14" s="283"/>
      <c r="I14" s="283"/>
      <c r="J14" s="284"/>
      <c r="K14" s="16"/>
    </row>
    <row r="15" spans="2:11" ht="21">
      <c r="B15" s="102" t="s">
        <v>127</v>
      </c>
      <c r="C15" s="103"/>
      <c r="D15" s="86"/>
      <c r="E15" s="104">
        <v>14750</v>
      </c>
      <c r="F15" s="42"/>
      <c r="G15" s="108" t="s">
        <v>51</v>
      </c>
      <c r="H15" s="86"/>
      <c r="I15" s="86"/>
      <c r="J15" s="132">
        <f>E15*E16</f>
        <v>2301000</v>
      </c>
      <c r="K15" s="16"/>
    </row>
    <row r="16" spans="2:13" ht="18" customHeight="1">
      <c r="B16" s="174" t="s">
        <v>105</v>
      </c>
      <c r="C16" s="175"/>
      <c r="D16" s="175"/>
      <c r="E16" s="135">
        <v>156</v>
      </c>
      <c r="F16" s="42"/>
      <c r="G16" s="109" t="s">
        <v>48</v>
      </c>
      <c r="H16" s="42"/>
      <c r="I16" s="42"/>
      <c r="J16" s="133">
        <f>J30+J41+J63+J66</f>
        <v>2189654.25</v>
      </c>
      <c r="K16" s="16"/>
      <c r="M16" s="160"/>
    </row>
    <row r="17" spans="2:11" ht="18">
      <c r="B17" s="126" t="s">
        <v>36</v>
      </c>
      <c r="C17" s="43"/>
      <c r="D17" s="42"/>
      <c r="E17" s="135">
        <v>23000</v>
      </c>
      <c r="F17" s="42"/>
      <c r="G17" s="109" t="s">
        <v>50</v>
      </c>
      <c r="H17" s="44"/>
      <c r="I17" s="42"/>
      <c r="J17" s="133">
        <f>J30+J41+J63+J66+J76</f>
        <v>2288188.69125</v>
      </c>
      <c r="K17" s="16"/>
    </row>
    <row r="18" spans="2:11" ht="18">
      <c r="B18" s="126" t="s">
        <v>2</v>
      </c>
      <c r="C18" s="45"/>
      <c r="D18" s="42"/>
      <c r="E18" s="105">
        <v>0.015</v>
      </c>
      <c r="F18" s="42"/>
      <c r="G18" s="109" t="s">
        <v>52</v>
      </c>
      <c r="H18" s="42"/>
      <c r="I18" s="42"/>
      <c r="J18" s="133">
        <f>J15-J16</f>
        <v>111345.75</v>
      </c>
      <c r="K18" s="16"/>
    </row>
    <row r="19" spans="2:11" ht="18">
      <c r="B19" s="126" t="s">
        <v>3</v>
      </c>
      <c r="C19" s="45"/>
      <c r="D19" s="42"/>
      <c r="E19" s="239">
        <v>6</v>
      </c>
      <c r="F19" s="42"/>
      <c r="G19" s="109" t="s">
        <v>53</v>
      </c>
      <c r="H19" s="42"/>
      <c r="I19" s="42"/>
      <c r="J19" s="133">
        <f>J15-J17</f>
        <v>12811.308749999851</v>
      </c>
      <c r="K19" s="16"/>
    </row>
    <row r="20" spans="2:11" ht="18">
      <c r="B20" s="106"/>
      <c r="C20" s="107"/>
      <c r="D20" s="99"/>
      <c r="E20" s="240"/>
      <c r="F20" s="42"/>
      <c r="G20" s="110" t="s">
        <v>26</v>
      </c>
      <c r="H20" s="99"/>
      <c r="I20" s="111"/>
      <c r="J20" s="134">
        <f>G100</f>
        <v>155.13143669491527</v>
      </c>
      <c r="K20" s="16"/>
    </row>
    <row r="21" spans="2:11" s="3" customFormat="1" ht="18">
      <c r="B21" s="42"/>
      <c r="C21" s="42"/>
      <c r="D21" s="42"/>
      <c r="E21" s="20"/>
      <c r="F21" s="20"/>
      <c r="G21" s="21"/>
      <c r="H21" s="22"/>
      <c r="I21" s="23"/>
      <c r="J21" s="23"/>
      <c r="K21" s="16"/>
    </row>
    <row r="22" spans="2:11" s="3" customFormat="1" ht="20.25">
      <c r="B22" s="115" t="s">
        <v>27</v>
      </c>
      <c r="C22" s="114"/>
      <c r="D22" s="114"/>
      <c r="E22" s="285"/>
      <c r="F22" s="285"/>
      <c r="G22" s="116"/>
      <c r="H22" s="117"/>
      <c r="I22" s="124"/>
      <c r="J22" s="118"/>
      <c r="K22" s="16"/>
    </row>
    <row r="23" spans="2:11" s="3" customFormat="1" ht="18" customHeight="1">
      <c r="B23" s="178" t="s">
        <v>7</v>
      </c>
      <c r="C23" s="179"/>
      <c r="D23" s="179"/>
      <c r="E23" s="192" t="s">
        <v>37</v>
      </c>
      <c r="F23" s="191"/>
      <c r="G23" s="136" t="s">
        <v>5</v>
      </c>
      <c r="H23" s="137" t="s">
        <v>6</v>
      </c>
      <c r="I23" s="138" t="s">
        <v>45</v>
      </c>
      <c r="J23" s="139" t="s">
        <v>1</v>
      </c>
      <c r="K23" s="16"/>
    </row>
    <row r="24" spans="2:10" s="3" customFormat="1" ht="18">
      <c r="B24" s="205" t="s">
        <v>35</v>
      </c>
      <c r="C24" s="206"/>
      <c r="D24" s="207"/>
      <c r="E24" s="270" t="s">
        <v>104</v>
      </c>
      <c r="F24" s="271"/>
      <c r="G24" s="145">
        <v>5</v>
      </c>
      <c r="H24" s="140" t="s">
        <v>39</v>
      </c>
      <c r="I24" s="224">
        <f>$E$17</f>
        <v>23000</v>
      </c>
      <c r="J24" s="158">
        <f aca="true" t="shared" si="0" ref="J24:J29">G24*I24</f>
        <v>115000</v>
      </c>
    </row>
    <row r="25" spans="2:10" s="3" customFormat="1" ht="18">
      <c r="B25" s="208" t="s">
        <v>32</v>
      </c>
      <c r="C25" s="209"/>
      <c r="D25" s="210"/>
      <c r="E25" s="272" t="s">
        <v>84</v>
      </c>
      <c r="F25" s="273"/>
      <c r="G25" s="146">
        <v>2</v>
      </c>
      <c r="H25" s="141" t="s">
        <v>39</v>
      </c>
      <c r="I25" s="225">
        <f>$E$17</f>
        <v>23000</v>
      </c>
      <c r="J25" s="10">
        <f t="shared" si="0"/>
        <v>46000</v>
      </c>
    </row>
    <row r="26" spans="2:10" s="3" customFormat="1" ht="18">
      <c r="B26" s="198" t="s">
        <v>61</v>
      </c>
      <c r="C26" s="199"/>
      <c r="D26" s="200"/>
      <c r="E26" s="272" t="s">
        <v>85</v>
      </c>
      <c r="F26" s="273"/>
      <c r="G26" s="146">
        <v>1</v>
      </c>
      <c r="H26" s="141" t="s">
        <v>39</v>
      </c>
      <c r="I26" s="225">
        <f>$E$17</f>
        <v>23000</v>
      </c>
      <c r="J26" s="10">
        <f t="shared" si="0"/>
        <v>23000</v>
      </c>
    </row>
    <row r="27" spans="2:10" s="3" customFormat="1" ht="18">
      <c r="B27" s="198" t="s">
        <v>66</v>
      </c>
      <c r="C27" s="199"/>
      <c r="D27" s="200"/>
      <c r="E27" s="272" t="s">
        <v>86</v>
      </c>
      <c r="F27" s="273"/>
      <c r="G27" s="146">
        <v>1</v>
      </c>
      <c r="H27" s="141" t="s">
        <v>39</v>
      </c>
      <c r="I27" s="225">
        <f>$E$17</f>
        <v>23000</v>
      </c>
      <c r="J27" s="10">
        <f t="shared" si="0"/>
        <v>23000</v>
      </c>
    </row>
    <row r="28" spans="2:10" s="3" customFormat="1" ht="18">
      <c r="B28" s="198" t="s">
        <v>67</v>
      </c>
      <c r="C28" s="199"/>
      <c r="D28" s="200"/>
      <c r="E28" s="272" t="s">
        <v>87</v>
      </c>
      <c r="F28" s="273"/>
      <c r="G28" s="146">
        <v>2</v>
      </c>
      <c r="H28" s="141" t="s">
        <v>39</v>
      </c>
      <c r="I28" s="225">
        <f>$E$17</f>
        <v>23000</v>
      </c>
      <c r="J28" s="10">
        <f t="shared" si="0"/>
        <v>46000</v>
      </c>
    </row>
    <row r="29" spans="2:10" s="3" customFormat="1" ht="17.25" customHeight="1">
      <c r="B29" s="198" t="s">
        <v>75</v>
      </c>
      <c r="C29" s="199"/>
      <c r="D29" s="200"/>
      <c r="E29" s="274" t="s">
        <v>88</v>
      </c>
      <c r="F29" s="275"/>
      <c r="G29" s="147">
        <v>3</v>
      </c>
      <c r="H29" s="141" t="s">
        <v>39</v>
      </c>
      <c r="I29" s="226">
        <f>E17</f>
        <v>23000</v>
      </c>
      <c r="J29" s="159">
        <f t="shared" si="0"/>
        <v>69000</v>
      </c>
    </row>
    <row r="30" spans="2:11" ht="18">
      <c r="B30" s="182" t="s">
        <v>8</v>
      </c>
      <c r="C30" s="183"/>
      <c r="D30" s="183"/>
      <c r="E30" s="183"/>
      <c r="F30" s="183"/>
      <c r="G30" s="183"/>
      <c r="H30" s="183"/>
      <c r="I30" s="183"/>
      <c r="J30" s="100">
        <f>SUM(J24:J29)</f>
        <v>322000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178" t="s">
        <v>107</v>
      </c>
      <c r="C32" s="179"/>
      <c r="D32" s="179"/>
      <c r="E32" s="192" t="s">
        <v>37</v>
      </c>
      <c r="F32" s="192"/>
      <c r="G32" s="136" t="s">
        <v>5</v>
      </c>
      <c r="H32" s="137" t="s">
        <v>6</v>
      </c>
      <c r="I32" s="138" t="s">
        <v>45</v>
      </c>
      <c r="J32" s="139" t="s">
        <v>1</v>
      </c>
      <c r="K32" s="3"/>
    </row>
    <row r="33" spans="2:10" s="3" customFormat="1" ht="18">
      <c r="B33" s="205" t="s">
        <v>70</v>
      </c>
      <c r="C33" s="206"/>
      <c r="D33" s="206"/>
      <c r="E33" s="241" t="s">
        <v>89</v>
      </c>
      <c r="F33" s="242"/>
      <c r="G33" s="222">
        <v>1</v>
      </c>
      <c r="H33" s="232" t="s">
        <v>40</v>
      </c>
      <c r="I33" s="227">
        <v>80000</v>
      </c>
      <c r="J33" s="121">
        <f>I33*G33</f>
        <v>80000</v>
      </c>
    </row>
    <row r="34" spans="2:10" s="3" customFormat="1" ht="18">
      <c r="B34" s="208" t="s">
        <v>71</v>
      </c>
      <c r="C34" s="209"/>
      <c r="D34" s="210"/>
      <c r="E34" s="245" t="s">
        <v>89</v>
      </c>
      <c r="F34" s="246"/>
      <c r="G34" s="223">
        <v>2</v>
      </c>
      <c r="H34" s="233" t="s">
        <v>40</v>
      </c>
      <c r="I34" s="228">
        <v>40000</v>
      </c>
      <c r="J34" s="122">
        <f>G34*I34</f>
        <v>80000</v>
      </c>
    </row>
    <row r="35" spans="2:10" s="3" customFormat="1" ht="18">
      <c r="B35" s="208" t="s">
        <v>72</v>
      </c>
      <c r="C35" s="209"/>
      <c r="D35" s="210"/>
      <c r="E35" s="245" t="s">
        <v>89</v>
      </c>
      <c r="F35" s="246"/>
      <c r="G35" s="223">
        <v>1</v>
      </c>
      <c r="H35" s="233" t="s">
        <v>40</v>
      </c>
      <c r="I35" s="228">
        <v>50000</v>
      </c>
      <c r="J35" s="122">
        <f>G35*I35</f>
        <v>50000</v>
      </c>
    </row>
    <row r="36" spans="2:10" s="3" customFormat="1" ht="18">
      <c r="B36" s="208" t="s">
        <v>77</v>
      </c>
      <c r="C36" s="209"/>
      <c r="D36" s="210"/>
      <c r="E36" s="245" t="s">
        <v>90</v>
      </c>
      <c r="F36" s="246"/>
      <c r="G36" s="223">
        <v>1</v>
      </c>
      <c r="H36" s="233" t="s">
        <v>40</v>
      </c>
      <c r="I36" s="228">
        <v>45000</v>
      </c>
      <c r="J36" s="122">
        <f>G36*I36</f>
        <v>45000</v>
      </c>
    </row>
    <row r="37" spans="2:10" s="3" customFormat="1" ht="18">
      <c r="B37" s="208" t="s">
        <v>62</v>
      </c>
      <c r="C37" s="209"/>
      <c r="D37" s="210"/>
      <c r="E37" s="245" t="s">
        <v>89</v>
      </c>
      <c r="F37" s="246"/>
      <c r="G37" s="223">
        <v>1</v>
      </c>
      <c r="H37" s="233" t="s">
        <v>40</v>
      </c>
      <c r="I37" s="228">
        <v>15000</v>
      </c>
      <c r="J37" s="122">
        <f>I37*G37</f>
        <v>15000</v>
      </c>
    </row>
    <row r="38" spans="2:10" s="3" customFormat="1" ht="18">
      <c r="B38" s="208" t="s">
        <v>68</v>
      </c>
      <c r="C38" s="209"/>
      <c r="D38" s="210"/>
      <c r="E38" s="245" t="s">
        <v>87</v>
      </c>
      <c r="F38" s="246"/>
      <c r="G38" s="223">
        <v>2</v>
      </c>
      <c r="H38" s="233" t="s">
        <v>40</v>
      </c>
      <c r="I38" s="228">
        <v>25000</v>
      </c>
      <c r="J38" s="122">
        <f>G38*I38</f>
        <v>50000</v>
      </c>
    </row>
    <row r="39" spans="2:10" s="3" customFormat="1" ht="18">
      <c r="B39" s="198" t="s">
        <v>69</v>
      </c>
      <c r="C39" s="199"/>
      <c r="D39" s="217"/>
      <c r="E39" s="243" t="s">
        <v>91</v>
      </c>
      <c r="F39" s="244"/>
      <c r="G39" s="230">
        <v>1</v>
      </c>
      <c r="H39" s="233" t="s">
        <v>40</v>
      </c>
      <c r="I39" s="229">
        <v>20000</v>
      </c>
      <c r="J39" s="122">
        <f>I39*G39</f>
        <v>20000</v>
      </c>
    </row>
    <row r="40" spans="2:10" s="3" customFormat="1" ht="18">
      <c r="B40" s="198" t="s">
        <v>78</v>
      </c>
      <c r="C40" s="199"/>
      <c r="D40" s="217"/>
      <c r="E40" s="243" t="s">
        <v>92</v>
      </c>
      <c r="F40" s="244"/>
      <c r="G40" s="231">
        <f>E15</f>
        <v>14750</v>
      </c>
      <c r="H40" s="233" t="s">
        <v>41</v>
      </c>
      <c r="I40" s="229">
        <v>48</v>
      </c>
      <c r="J40" s="122">
        <f>I40*G40</f>
        <v>708000</v>
      </c>
    </row>
    <row r="41" spans="2:12" ht="15.75" customHeight="1">
      <c r="B41" s="182" t="s">
        <v>10</v>
      </c>
      <c r="C41" s="183"/>
      <c r="D41" s="183"/>
      <c r="E41" s="183"/>
      <c r="F41" s="183"/>
      <c r="G41" s="183"/>
      <c r="H41" s="183"/>
      <c r="I41" s="183"/>
      <c r="J41" s="100">
        <f>SUM(J33:J40)</f>
        <v>1048000</v>
      </c>
      <c r="K41" s="3"/>
      <c r="L41" s="16"/>
    </row>
    <row r="42" spans="2:12" s="3" customFormat="1" ht="18">
      <c r="B42" s="84"/>
      <c r="C42" s="84"/>
      <c r="D42" s="84"/>
      <c r="E42" s="84"/>
      <c r="F42" s="84"/>
      <c r="G42" s="25"/>
      <c r="H42" s="84"/>
      <c r="I42" s="84"/>
      <c r="J42" s="27"/>
      <c r="L42" s="19"/>
    </row>
    <row r="43" spans="2:12" s="3" customFormat="1" ht="18" customHeight="1">
      <c r="B43" s="178" t="s">
        <v>109</v>
      </c>
      <c r="C43" s="179"/>
      <c r="D43" s="179"/>
      <c r="E43" s="192" t="s">
        <v>37</v>
      </c>
      <c r="F43" s="192"/>
      <c r="G43" s="136" t="s">
        <v>5</v>
      </c>
      <c r="H43" s="137" t="s">
        <v>6</v>
      </c>
      <c r="I43" s="138" t="s">
        <v>45</v>
      </c>
      <c r="J43" s="139" t="s">
        <v>1</v>
      </c>
      <c r="L43" s="24"/>
    </row>
    <row r="44" spans="2:12" s="3" customFormat="1" ht="18">
      <c r="B44" s="247" t="s">
        <v>99</v>
      </c>
      <c r="C44" s="151"/>
      <c r="D44" s="151"/>
      <c r="E44" s="251" t="s">
        <v>90</v>
      </c>
      <c r="F44" s="252"/>
      <c r="G44" s="235">
        <v>25</v>
      </c>
      <c r="H44" s="234" t="s">
        <v>41</v>
      </c>
      <c r="I44" s="236">
        <v>11500</v>
      </c>
      <c r="J44" s="122">
        <f>G44*I44</f>
        <v>287500</v>
      </c>
      <c r="L44" s="24"/>
    </row>
    <row r="45" spans="2:12" s="3" customFormat="1" ht="18">
      <c r="B45" s="247"/>
      <c r="C45" s="151"/>
      <c r="D45" s="151"/>
      <c r="E45" s="243"/>
      <c r="F45" s="244"/>
      <c r="G45" s="235"/>
      <c r="H45" s="234"/>
      <c r="I45" s="236"/>
      <c r="J45" s="122"/>
      <c r="L45" s="24"/>
    </row>
    <row r="46" spans="2:12" s="3" customFormat="1" ht="18" customHeight="1">
      <c r="B46" s="148" t="s">
        <v>24</v>
      </c>
      <c r="C46" s="154"/>
      <c r="D46" s="154"/>
      <c r="E46" s="195"/>
      <c r="F46" s="196"/>
      <c r="G46" s="214"/>
      <c r="H46" s="143"/>
      <c r="I46" s="237"/>
      <c r="J46" s="122"/>
      <c r="L46" s="24"/>
    </row>
    <row r="47" spans="2:12" s="3" customFormat="1" ht="21">
      <c r="B47" s="247" t="s">
        <v>118</v>
      </c>
      <c r="C47" s="201"/>
      <c r="D47" s="151"/>
      <c r="E47" s="245" t="s">
        <v>85</v>
      </c>
      <c r="F47" s="246"/>
      <c r="G47" s="213">
        <v>150</v>
      </c>
      <c r="H47" s="142" t="s">
        <v>123</v>
      </c>
      <c r="I47" s="237">
        <v>756</v>
      </c>
      <c r="J47" s="211">
        <f>G47*I47</f>
        <v>113400</v>
      </c>
      <c r="L47" s="24"/>
    </row>
    <row r="48" spans="2:12" s="3" customFormat="1" ht="21">
      <c r="B48" s="247" t="s">
        <v>118</v>
      </c>
      <c r="C48" s="201"/>
      <c r="D48" s="151"/>
      <c r="E48" s="245" t="s">
        <v>103</v>
      </c>
      <c r="F48" s="246"/>
      <c r="G48" s="213">
        <v>100</v>
      </c>
      <c r="H48" s="142" t="s">
        <v>41</v>
      </c>
      <c r="I48" s="237">
        <v>756</v>
      </c>
      <c r="J48" s="211">
        <f>G48*I48</f>
        <v>75600</v>
      </c>
      <c r="L48" s="24"/>
    </row>
    <row r="49" spans="2:12" s="3" customFormat="1" ht="21">
      <c r="B49" s="247" t="s">
        <v>119</v>
      </c>
      <c r="C49" s="201"/>
      <c r="D49" s="130"/>
      <c r="E49" s="245" t="s">
        <v>85</v>
      </c>
      <c r="F49" s="246"/>
      <c r="G49" s="213">
        <v>100</v>
      </c>
      <c r="H49" s="142" t="s">
        <v>124</v>
      </c>
      <c r="I49" s="237">
        <v>650</v>
      </c>
      <c r="J49" s="211">
        <f>G49*I49</f>
        <v>65000</v>
      </c>
      <c r="L49" s="24"/>
    </row>
    <row r="50" spans="2:12" s="3" customFormat="1" ht="18">
      <c r="B50" s="247"/>
      <c r="C50" s="201"/>
      <c r="D50" s="130"/>
      <c r="E50" s="245"/>
      <c r="F50" s="246"/>
      <c r="G50" s="213"/>
      <c r="H50" s="142"/>
      <c r="I50" s="237"/>
      <c r="J50" s="211"/>
      <c r="L50" s="24"/>
    </row>
    <row r="51" spans="2:12" s="3" customFormat="1" ht="18">
      <c r="B51" s="248" t="s">
        <v>25</v>
      </c>
      <c r="C51" s="26"/>
      <c r="D51" s="157"/>
      <c r="E51" s="195"/>
      <c r="F51" s="196"/>
      <c r="G51" s="215"/>
      <c r="H51" s="142"/>
      <c r="I51" s="237"/>
      <c r="J51" s="122"/>
      <c r="L51" s="24"/>
    </row>
    <row r="52" spans="2:12" s="3" customFormat="1" ht="18">
      <c r="B52" s="208" t="s">
        <v>96</v>
      </c>
      <c r="C52" s="26"/>
      <c r="D52" s="157"/>
      <c r="E52" s="245" t="s">
        <v>93</v>
      </c>
      <c r="F52" s="246"/>
      <c r="G52" s="215">
        <v>0.5</v>
      </c>
      <c r="H52" s="142" t="s">
        <v>42</v>
      </c>
      <c r="I52" s="236">
        <v>69240</v>
      </c>
      <c r="J52" s="122">
        <f>G52*I52</f>
        <v>34620</v>
      </c>
      <c r="L52" s="24"/>
    </row>
    <row r="53" spans="2:12" s="3" customFormat="1" ht="18">
      <c r="B53" s="208"/>
      <c r="C53" s="26"/>
      <c r="D53" s="262"/>
      <c r="E53" s="245"/>
      <c r="F53" s="246"/>
      <c r="G53" s="215"/>
      <c r="H53" s="142"/>
      <c r="I53" s="236"/>
      <c r="J53" s="122"/>
      <c r="L53" s="24"/>
    </row>
    <row r="54" spans="2:12" s="3" customFormat="1" ht="18">
      <c r="B54" s="248" t="s">
        <v>55</v>
      </c>
      <c r="C54" s="153"/>
      <c r="D54" s="153"/>
      <c r="E54" s="195"/>
      <c r="F54" s="196"/>
      <c r="G54" s="215"/>
      <c r="H54" s="142"/>
      <c r="I54" s="237"/>
      <c r="J54" s="122"/>
      <c r="L54" s="24"/>
    </row>
    <row r="55" spans="2:12" s="3" customFormat="1" ht="18">
      <c r="B55" s="360" t="s">
        <v>120</v>
      </c>
      <c r="C55" s="361"/>
      <c r="D55" s="362"/>
      <c r="E55" s="245" t="s">
        <v>102</v>
      </c>
      <c r="F55" s="246"/>
      <c r="G55" s="265">
        <v>1.5</v>
      </c>
      <c r="H55" s="143" t="s">
        <v>42</v>
      </c>
      <c r="I55" s="236">
        <v>39250</v>
      </c>
      <c r="J55" s="266">
        <f>G55*I55</f>
        <v>58875</v>
      </c>
      <c r="L55" s="24"/>
    </row>
    <row r="56" spans="2:12" s="3" customFormat="1" ht="18">
      <c r="B56" s="267"/>
      <c r="C56" s="212"/>
      <c r="D56" s="264"/>
      <c r="E56" s="245"/>
      <c r="F56" s="246"/>
      <c r="G56" s="265"/>
      <c r="H56" s="143"/>
      <c r="I56" s="236"/>
      <c r="J56" s="266"/>
      <c r="L56" s="24"/>
    </row>
    <row r="57" spans="2:12" s="3" customFormat="1" ht="18">
      <c r="B57" s="248" t="s">
        <v>63</v>
      </c>
      <c r="C57" s="202"/>
      <c r="D57" s="157"/>
      <c r="E57" s="195"/>
      <c r="F57" s="196"/>
      <c r="G57" s="214"/>
      <c r="H57" s="143"/>
      <c r="I57" s="237"/>
      <c r="J57" s="122"/>
      <c r="L57" s="24"/>
    </row>
    <row r="58" spans="2:12" s="3" customFormat="1" ht="19.5" customHeight="1">
      <c r="B58" s="208" t="s">
        <v>97</v>
      </c>
      <c r="C58" s="149"/>
      <c r="D58" s="149"/>
      <c r="E58" s="245" t="s">
        <v>94</v>
      </c>
      <c r="F58" s="246"/>
      <c r="G58" s="214">
        <v>1</v>
      </c>
      <c r="H58" s="143" t="s">
        <v>42</v>
      </c>
      <c r="I58" s="237">
        <v>14290</v>
      </c>
      <c r="J58" s="122">
        <f>G58*I58</f>
        <v>14290</v>
      </c>
      <c r="L58" s="24"/>
    </row>
    <row r="59" spans="2:12" s="3" customFormat="1" ht="18">
      <c r="B59" s="208" t="s">
        <v>98</v>
      </c>
      <c r="C59" s="149"/>
      <c r="D59" s="149"/>
      <c r="E59" s="245" t="s">
        <v>94</v>
      </c>
      <c r="F59" s="246"/>
      <c r="G59" s="214">
        <v>2</v>
      </c>
      <c r="H59" s="143" t="s">
        <v>42</v>
      </c>
      <c r="I59" s="237">
        <v>18050</v>
      </c>
      <c r="J59" s="122">
        <f>G59*I59</f>
        <v>36100</v>
      </c>
      <c r="L59" s="24"/>
    </row>
    <row r="60" spans="2:12" s="3" customFormat="1" ht="18">
      <c r="B60" s="208"/>
      <c r="C60" s="149"/>
      <c r="D60" s="149"/>
      <c r="E60" s="245"/>
      <c r="F60" s="246"/>
      <c r="G60" s="214"/>
      <c r="H60" s="143"/>
      <c r="I60" s="237"/>
      <c r="J60" s="122"/>
      <c r="L60" s="24"/>
    </row>
    <row r="61" spans="2:12" s="3" customFormat="1" ht="18">
      <c r="B61" s="148" t="s">
        <v>33</v>
      </c>
      <c r="C61" s="151"/>
      <c r="D61" s="151"/>
      <c r="E61" s="195"/>
      <c r="F61" s="196"/>
      <c r="G61" s="214"/>
      <c r="H61" s="143"/>
      <c r="I61" s="237"/>
      <c r="J61" s="122"/>
      <c r="L61" s="24"/>
    </row>
    <row r="62" spans="2:12" s="3" customFormat="1" ht="18" customHeight="1">
      <c r="B62" s="247" t="s">
        <v>110</v>
      </c>
      <c r="C62" s="152"/>
      <c r="D62" s="152"/>
      <c r="E62" s="249" t="s">
        <v>95</v>
      </c>
      <c r="F62" s="250"/>
      <c r="G62" s="216">
        <v>1</v>
      </c>
      <c r="H62" s="144" t="s">
        <v>43</v>
      </c>
      <c r="I62" s="238">
        <v>30000</v>
      </c>
      <c r="J62" s="127">
        <f>G62*I62</f>
        <v>30000</v>
      </c>
      <c r="L62" s="24"/>
    </row>
    <row r="63" spans="2:14" ht="18">
      <c r="B63" s="176" t="s">
        <v>11</v>
      </c>
      <c r="C63" s="177"/>
      <c r="D63" s="177"/>
      <c r="E63" s="177"/>
      <c r="F63" s="177"/>
      <c r="G63" s="177"/>
      <c r="H63" s="177"/>
      <c r="I63" s="177"/>
      <c r="J63" s="119">
        <f>SUM(J44:J62)</f>
        <v>715385</v>
      </c>
      <c r="K63" s="16"/>
      <c r="M63" s="16"/>
      <c r="N63" s="16"/>
    </row>
    <row r="64" spans="2:14" s="3" customFormat="1" ht="18">
      <c r="B64" s="29"/>
      <c r="C64" s="29"/>
      <c r="D64" s="29"/>
      <c r="E64" s="29"/>
      <c r="F64" s="29"/>
      <c r="G64" s="30"/>
      <c r="H64" s="29"/>
      <c r="I64" s="29"/>
      <c r="J64" s="31"/>
      <c r="K64" s="16"/>
      <c r="M64" s="16"/>
      <c r="N64" s="16"/>
    </row>
    <row r="65" spans="2:16" ht="18" customHeight="1">
      <c r="B65" s="178" t="s">
        <v>46</v>
      </c>
      <c r="C65" s="179"/>
      <c r="D65" s="179"/>
      <c r="E65" s="190"/>
      <c r="F65" s="190"/>
      <c r="G65" s="136" t="s">
        <v>5</v>
      </c>
      <c r="H65" s="137" t="s">
        <v>6</v>
      </c>
      <c r="I65" s="138"/>
      <c r="J65" s="139" t="s">
        <v>1</v>
      </c>
      <c r="K65" s="16"/>
      <c r="M65" s="16"/>
      <c r="N65" s="16"/>
      <c r="O65" s="9"/>
      <c r="P65" s="9"/>
    </row>
    <row r="66" spans="2:14" s="3" customFormat="1" ht="18">
      <c r="B66" s="253" t="s">
        <v>54</v>
      </c>
      <c r="C66" s="254"/>
      <c r="D66" s="255"/>
      <c r="E66" s="256"/>
      <c r="F66" s="257"/>
      <c r="G66" s="260">
        <v>0.05</v>
      </c>
      <c r="H66" s="258" t="s">
        <v>38</v>
      </c>
      <c r="I66" s="259"/>
      <c r="J66" s="259">
        <f>(J30+J41+J63)*G66</f>
        <v>104269.25</v>
      </c>
      <c r="K66" s="16"/>
      <c r="M66" s="16"/>
      <c r="N66" s="16"/>
    </row>
    <row r="67" spans="11:14" s="3" customFormat="1" ht="18">
      <c r="K67" s="16"/>
      <c r="M67" s="16"/>
      <c r="N67" s="16"/>
    </row>
    <row r="68" spans="2:14" s="3" customFormat="1" ht="18">
      <c r="B68" s="180" t="s">
        <v>47</v>
      </c>
      <c r="C68" s="181"/>
      <c r="D68" s="181"/>
      <c r="E68" s="181"/>
      <c r="F68" s="181"/>
      <c r="G68" s="181"/>
      <c r="H68" s="181"/>
      <c r="I68" s="181"/>
      <c r="J68" s="100">
        <f>J30+J41+J63+J66</f>
        <v>2189654.25</v>
      </c>
      <c r="K68" s="16"/>
      <c r="M68" s="16"/>
      <c r="N68" s="16"/>
    </row>
    <row r="69" spans="2:14" s="3" customFormat="1" ht="18">
      <c r="B69" s="125"/>
      <c r="C69" s="125"/>
      <c r="D69" s="125"/>
      <c r="E69" s="125"/>
      <c r="F69" s="125"/>
      <c r="G69" s="32"/>
      <c r="H69" s="125"/>
      <c r="I69" s="125"/>
      <c r="J69" s="27"/>
      <c r="K69" s="16"/>
      <c r="M69" s="16"/>
      <c r="N69" s="16"/>
    </row>
    <row r="70" spans="2:14" s="3" customFormat="1" ht="20.25">
      <c r="B70" s="115" t="s">
        <v>49</v>
      </c>
      <c r="C70" s="114"/>
      <c r="D70" s="114"/>
      <c r="E70" s="20"/>
      <c r="F70" s="20"/>
      <c r="G70" s="21"/>
      <c r="H70" s="22"/>
      <c r="I70" s="23"/>
      <c r="J70" s="23"/>
      <c r="K70" s="16"/>
      <c r="M70" s="16"/>
      <c r="N70" s="16"/>
    </row>
    <row r="71" spans="2:14" s="3" customFormat="1" ht="18" customHeight="1">
      <c r="B71" s="311" t="s">
        <v>31</v>
      </c>
      <c r="C71" s="312"/>
      <c r="D71" s="312"/>
      <c r="E71" s="276"/>
      <c r="F71" s="276"/>
      <c r="G71" s="136" t="s">
        <v>5</v>
      </c>
      <c r="H71" s="137" t="s">
        <v>6</v>
      </c>
      <c r="I71" s="138"/>
      <c r="J71" s="139" t="s">
        <v>1</v>
      </c>
      <c r="K71" s="16"/>
      <c r="M71" s="16"/>
      <c r="N71" s="16"/>
    </row>
    <row r="72" spans="2:15" s="3" customFormat="1" ht="21">
      <c r="B72" s="208" t="s">
        <v>111</v>
      </c>
      <c r="C72" s="169"/>
      <c r="D72" s="169"/>
      <c r="E72" s="193"/>
      <c r="F72" s="194"/>
      <c r="G72" s="155">
        <f>E18</f>
        <v>0.015</v>
      </c>
      <c r="H72" s="156" t="s">
        <v>38</v>
      </c>
      <c r="I72" s="171"/>
      <c r="J72" s="11">
        <f>J68*E18*E19*0.5</f>
        <v>98534.44125</v>
      </c>
      <c r="K72" s="16"/>
      <c r="L72" s="335"/>
      <c r="M72" s="335"/>
      <c r="N72" s="335"/>
      <c r="O72" s="335"/>
    </row>
    <row r="73" spans="2:18" ht="18" customHeight="1" outlineLevel="1">
      <c r="B73" s="208" t="s">
        <v>57</v>
      </c>
      <c r="C73" s="149"/>
      <c r="D73" s="149"/>
      <c r="E73" s="167"/>
      <c r="F73" s="161"/>
      <c r="G73" s="162"/>
      <c r="H73" s="169"/>
      <c r="I73" s="172"/>
      <c r="J73" s="163"/>
      <c r="L73"/>
      <c r="M73"/>
      <c r="N73"/>
      <c r="O73"/>
      <c r="P73"/>
      <c r="Q73"/>
      <c r="R73"/>
    </row>
    <row r="74" spans="2:18" ht="18" customHeight="1" outlineLevel="1">
      <c r="B74" s="208" t="s">
        <v>58</v>
      </c>
      <c r="C74" s="149"/>
      <c r="D74" s="149"/>
      <c r="E74" s="167"/>
      <c r="F74" s="161"/>
      <c r="G74" s="162"/>
      <c r="H74" s="169"/>
      <c r="I74" s="172"/>
      <c r="J74" s="163"/>
      <c r="L74"/>
      <c r="M74"/>
      <c r="N74"/>
      <c r="O74"/>
      <c r="P74"/>
      <c r="Q74"/>
      <c r="R74"/>
    </row>
    <row r="75" spans="2:18" ht="18" customHeight="1" outlineLevel="1">
      <c r="B75" s="208" t="s">
        <v>59</v>
      </c>
      <c r="C75" s="123"/>
      <c r="D75" s="123"/>
      <c r="E75" s="168"/>
      <c r="F75" s="164"/>
      <c r="G75" s="165"/>
      <c r="H75" s="170"/>
      <c r="I75" s="173"/>
      <c r="J75" s="166"/>
      <c r="L75"/>
      <c r="M75"/>
      <c r="N75"/>
      <c r="O75"/>
      <c r="P75"/>
      <c r="Q75"/>
      <c r="R75"/>
    </row>
    <row r="76" spans="2:14" ht="18">
      <c r="B76" s="182" t="s">
        <v>28</v>
      </c>
      <c r="C76" s="183"/>
      <c r="D76" s="183"/>
      <c r="E76" s="183"/>
      <c r="F76" s="183"/>
      <c r="G76" s="183"/>
      <c r="H76" s="183"/>
      <c r="I76" s="183"/>
      <c r="J76" s="100">
        <f>SUM(J72:J75)</f>
        <v>98534.44125</v>
      </c>
      <c r="K76" s="16"/>
      <c r="M76" s="16"/>
      <c r="N76" s="16"/>
    </row>
    <row r="77" spans="2:12" s="3" customFormat="1" ht="18">
      <c r="B77" s="84"/>
      <c r="C77" s="84"/>
      <c r="D77" s="84"/>
      <c r="E77" s="84"/>
      <c r="F77" s="84"/>
      <c r="G77" s="25"/>
      <c r="H77" s="84"/>
      <c r="I77" s="84"/>
      <c r="J77" s="27"/>
      <c r="K77" s="16"/>
      <c r="L77" s="16"/>
    </row>
    <row r="78" spans="2:12" ht="18">
      <c r="B78" s="184" t="s">
        <v>13</v>
      </c>
      <c r="C78" s="185"/>
      <c r="D78" s="185"/>
      <c r="E78" s="185"/>
      <c r="F78" s="185"/>
      <c r="G78" s="185"/>
      <c r="H78" s="185"/>
      <c r="I78" s="185"/>
      <c r="J78" s="188">
        <f>J68+J76</f>
        <v>2288188.69125</v>
      </c>
      <c r="K78" s="16"/>
      <c r="L78" s="16"/>
    </row>
    <row r="79" spans="2:12" s="3" customFormat="1" ht="18">
      <c r="B79" s="186"/>
      <c r="C79" s="187"/>
      <c r="D79" s="187"/>
      <c r="E79" s="187"/>
      <c r="F79" s="187"/>
      <c r="G79" s="187"/>
      <c r="H79" s="187"/>
      <c r="I79" s="187"/>
      <c r="J79" s="189"/>
      <c r="K79" s="16"/>
      <c r="L79" s="16"/>
    </row>
    <row r="80" spans="2:12" s="3" customFormat="1" ht="18" customHeight="1">
      <c r="B80" s="128"/>
      <c r="C80" s="128"/>
      <c r="D80" s="128"/>
      <c r="E80" s="128"/>
      <c r="F80" s="128"/>
      <c r="G80" s="128"/>
      <c r="H80" s="128"/>
      <c r="I80" s="128"/>
      <c r="J80" s="129"/>
      <c r="K80" s="16"/>
      <c r="L80" s="16"/>
    </row>
    <row r="81" spans="2:12" s="3" customFormat="1" ht="18" customHeight="1">
      <c r="B81" s="128"/>
      <c r="C81" s="128"/>
      <c r="D81" s="128"/>
      <c r="E81" s="128"/>
      <c r="F81" s="128"/>
      <c r="G81" s="128"/>
      <c r="H81" s="128"/>
      <c r="I81" s="128"/>
      <c r="J81" s="129"/>
      <c r="K81" s="16"/>
      <c r="L81" s="16"/>
    </row>
    <row r="82" spans="2:12" s="3" customFormat="1" ht="18" customHeight="1">
      <c r="B82" s="128"/>
      <c r="C82" s="128"/>
      <c r="D82" s="128"/>
      <c r="E82" s="128"/>
      <c r="F82" s="128"/>
      <c r="G82" s="128"/>
      <c r="H82" s="128"/>
      <c r="I82" s="128"/>
      <c r="J82" s="129"/>
      <c r="K82" s="16"/>
      <c r="L82" s="16"/>
    </row>
    <row r="83" spans="2:12" s="3" customFormat="1" ht="18" customHeight="1">
      <c r="B83" s="128"/>
      <c r="C83" s="128"/>
      <c r="D83" s="128"/>
      <c r="E83" s="128"/>
      <c r="F83" s="128"/>
      <c r="G83" s="128"/>
      <c r="H83" s="128"/>
      <c r="I83" s="128"/>
      <c r="J83" s="129"/>
      <c r="K83" s="16"/>
      <c r="L83" s="16"/>
    </row>
    <row r="84" spans="2:12" s="3" customFormat="1" ht="18" customHeight="1">
      <c r="B84" s="128"/>
      <c r="C84" s="128"/>
      <c r="D84" s="128"/>
      <c r="E84" s="128"/>
      <c r="F84" s="128"/>
      <c r="G84" s="128"/>
      <c r="H84" s="128"/>
      <c r="I84" s="128"/>
      <c r="J84" s="129"/>
      <c r="K84" s="16"/>
      <c r="L84" s="16"/>
    </row>
    <row r="85" spans="2:12" s="3" customFormat="1" ht="18" customHeight="1">
      <c r="B85" s="128"/>
      <c r="C85" s="128"/>
      <c r="D85" s="128"/>
      <c r="E85" s="128"/>
      <c r="F85" s="128"/>
      <c r="G85" s="128"/>
      <c r="H85" s="128"/>
      <c r="I85" s="128"/>
      <c r="J85" s="129"/>
      <c r="K85" s="16"/>
      <c r="L85" s="16"/>
    </row>
    <row r="86" spans="2:12" s="3" customFormat="1" ht="18" customHeight="1">
      <c r="B86" s="128"/>
      <c r="C86" s="128"/>
      <c r="D86" s="128"/>
      <c r="E86" s="128"/>
      <c r="F86" s="128"/>
      <c r="G86" s="128"/>
      <c r="H86" s="128"/>
      <c r="I86" s="128"/>
      <c r="J86" s="129"/>
      <c r="K86" s="16"/>
      <c r="L86" s="16"/>
    </row>
    <row r="87" spans="2:12" s="3" customFormat="1" ht="18" customHeight="1">
      <c r="B87" s="128"/>
      <c r="C87" s="128"/>
      <c r="D87" s="128"/>
      <c r="E87" s="128"/>
      <c r="F87" s="128"/>
      <c r="G87" s="128"/>
      <c r="H87" s="128"/>
      <c r="I87" s="128"/>
      <c r="J87" s="129"/>
      <c r="K87" s="16"/>
      <c r="L87" s="16"/>
    </row>
    <row r="88" spans="2:12" ht="18" customHeight="1">
      <c r="B88" s="296" t="s">
        <v>112</v>
      </c>
      <c r="C88" s="297"/>
      <c r="D88" s="297"/>
      <c r="E88" s="297"/>
      <c r="F88" s="297"/>
      <c r="G88" s="297"/>
      <c r="H88" s="297"/>
      <c r="I88" s="297"/>
      <c r="J88" s="298"/>
      <c r="K88" s="16"/>
      <c r="L88" s="24"/>
    </row>
    <row r="89" spans="2:12" ht="18" customHeight="1">
      <c r="B89" s="305" t="s">
        <v>44</v>
      </c>
      <c r="C89" s="306"/>
      <c r="D89" s="306"/>
      <c r="E89" s="306"/>
      <c r="F89" s="306"/>
      <c r="G89" s="306"/>
      <c r="H89" s="306"/>
      <c r="I89" s="306"/>
      <c r="J89" s="307"/>
      <c r="K89" s="16"/>
      <c r="L89" s="24"/>
    </row>
    <row r="90" spans="2:12" s="3" customFormat="1" ht="18" customHeight="1">
      <c r="B90" s="319" t="s">
        <v>79</v>
      </c>
      <c r="C90" s="320"/>
      <c r="D90" s="321"/>
      <c r="E90" s="328" t="s">
        <v>45</v>
      </c>
      <c r="F90" s="329"/>
      <c r="G90" s="329"/>
      <c r="H90" s="329"/>
      <c r="I90" s="329"/>
      <c r="J90" s="330"/>
      <c r="K90" s="16"/>
      <c r="L90" s="24"/>
    </row>
    <row r="91" spans="2:12" s="3" customFormat="1" ht="18" customHeight="1">
      <c r="B91" s="322"/>
      <c r="C91" s="323"/>
      <c r="D91" s="324"/>
      <c r="E91" s="325">
        <f>G91*0.9</f>
        <v>140.4</v>
      </c>
      <c r="F91" s="327"/>
      <c r="G91" s="339">
        <f>E16</f>
        <v>156</v>
      </c>
      <c r="H91" s="340"/>
      <c r="I91" s="325">
        <f>G91*1.1</f>
        <v>171.60000000000002</v>
      </c>
      <c r="J91" s="327"/>
      <c r="K91" s="16"/>
      <c r="L91" s="24"/>
    </row>
    <row r="92" spans="2:12" s="3" customFormat="1" ht="18" customHeight="1">
      <c r="B92" s="325">
        <f>E15*0.9</f>
        <v>13275</v>
      </c>
      <c r="C92" s="326"/>
      <c r="D92" s="327"/>
      <c r="E92" s="268">
        <f>E$91*$B$92-$J$78</f>
        <v>-424378.69125000015</v>
      </c>
      <c r="F92" s="269"/>
      <c r="G92" s="268">
        <f>G$91*$B$92-$J$78</f>
        <v>-217288.69125000015</v>
      </c>
      <c r="H92" s="269"/>
      <c r="I92" s="268">
        <f>I$91*$B$92-$J$78</f>
        <v>-10198.691249999683</v>
      </c>
      <c r="J92" s="269"/>
      <c r="K92" s="16"/>
      <c r="L92" s="24"/>
    </row>
    <row r="93" spans="2:12" s="3" customFormat="1" ht="18" customHeight="1">
      <c r="B93" s="325">
        <f>E15</f>
        <v>14750</v>
      </c>
      <c r="C93" s="326"/>
      <c r="D93" s="327"/>
      <c r="E93" s="268">
        <f>E$91*$B$93-$J$78</f>
        <v>-217288.69125000015</v>
      </c>
      <c r="F93" s="269"/>
      <c r="G93" s="268">
        <f>G$91*$B$93-$J$78</f>
        <v>12811.308749999851</v>
      </c>
      <c r="H93" s="269"/>
      <c r="I93" s="268">
        <f>I$91*$B$93-$J$78</f>
        <v>242911.30875000032</v>
      </c>
      <c r="J93" s="269"/>
      <c r="K93" s="16"/>
      <c r="L93" s="24"/>
    </row>
    <row r="94" spans="2:12" s="3" customFormat="1" ht="18" customHeight="1">
      <c r="B94" s="325">
        <f>E15*1.1</f>
        <v>16225.000000000002</v>
      </c>
      <c r="C94" s="326"/>
      <c r="D94" s="327"/>
      <c r="E94" s="268">
        <f>E$91*$B$94-$J$78</f>
        <v>-10198.691249999683</v>
      </c>
      <c r="F94" s="269"/>
      <c r="G94" s="268">
        <f>G$91*$B$94-$J$78</f>
        <v>242911.30875000032</v>
      </c>
      <c r="H94" s="269"/>
      <c r="I94" s="268">
        <f>I$91*$B$94-$J$78</f>
        <v>496021.3087500003</v>
      </c>
      <c r="J94" s="269"/>
      <c r="K94" s="16"/>
      <c r="L94" s="24"/>
    </row>
    <row r="95" spans="2:12" s="3" customFormat="1" ht="18" customHeight="1">
      <c r="B95" s="34"/>
      <c r="C95" s="34"/>
      <c r="D95" s="35"/>
      <c r="E95" s="35"/>
      <c r="F95" s="35"/>
      <c r="G95" s="36"/>
      <c r="H95" s="12"/>
      <c r="I95" s="15"/>
      <c r="J95" s="15"/>
      <c r="K95" s="16"/>
      <c r="L95" s="24"/>
    </row>
    <row r="96" spans="2:12" s="3" customFormat="1" ht="18" customHeight="1">
      <c r="B96" s="313" t="s">
        <v>113</v>
      </c>
      <c r="C96" s="314"/>
      <c r="D96" s="314"/>
      <c r="E96" s="314"/>
      <c r="F96" s="314"/>
      <c r="G96" s="314"/>
      <c r="H96" s="314"/>
      <c r="I96" s="314"/>
      <c r="J96" s="315"/>
      <c r="K96" s="16"/>
      <c r="L96" s="24"/>
    </row>
    <row r="97" spans="2:12" s="3" customFormat="1" ht="18" customHeight="1">
      <c r="B97" s="316"/>
      <c r="C97" s="317"/>
      <c r="D97" s="317"/>
      <c r="E97" s="317"/>
      <c r="F97" s="317"/>
      <c r="G97" s="317"/>
      <c r="H97" s="317"/>
      <c r="I97" s="317"/>
      <c r="J97" s="318"/>
      <c r="K97" s="16"/>
      <c r="L97" s="24"/>
    </row>
    <row r="98" spans="2:12" s="3" customFormat="1" ht="18" customHeight="1">
      <c r="B98" s="348" t="s">
        <v>79</v>
      </c>
      <c r="C98" s="331"/>
      <c r="D98" s="331"/>
      <c r="E98" s="331">
        <f>B92</f>
        <v>13275</v>
      </c>
      <c r="F98" s="331"/>
      <c r="G98" s="331">
        <f>E15</f>
        <v>14750</v>
      </c>
      <c r="H98" s="331"/>
      <c r="I98" s="331">
        <f>B94</f>
        <v>16225.000000000002</v>
      </c>
      <c r="J98" s="341"/>
      <c r="K98" s="16"/>
      <c r="L98" s="24"/>
    </row>
    <row r="99" spans="2:12" ht="18" customHeight="1">
      <c r="B99" s="349"/>
      <c r="C99" s="332"/>
      <c r="D99" s="332"/>
      <c r="E99" s="332"/>
      <c r="F99" s="332"/>
      <c r="G99" s="332"/>
      <c r="H99" s="332"/>
      <c r="I99" s="332"/>
      <c r="J99" s="342"/>
      <c r="K99" s="16"/>
      <c r="L99" s="24"/>
    </row>
    <row r="100" spans="2:12" ht="18" customHeight="1">
      <c r="B100" s="350" t="s">
        <v>80</v>
      </c>
      <c r="C100" s="351"/>
      <c r="D100" s="351"/>
      <c r="E100" s="333">
        <f>$J$78/E98</f>
        <v>172.3682629943503</v>
      </c>
      <c r="F100" s="333"/>
      <c r="G100" s="333">
        <f>$J$78/G98</f>
        <v>155.13143669491527</v>
      </c>
      <c r="H100" s="333"/>
      <c r="I100" s="333">
        <f>$J$78/I98</f>
        <v>141.0285788135593</v>
      </c>
      <c r="J100" s="343"/>
      <c r="K100" s="16"/>
      <c r="L100" s="24"/>
    </row>
    <row r="101" spans="2:12" ht="18" customHeight="1">
      <c r="B101" s="352"/>
      <c r="C101" s="353"/>
      <c r="D101" s="353"/>
      <c r="E101" s="334"/>
      <c r="F101" s="334"/>
      <c r="G101" s="334"/>
      <c r="H101" s="334"/>
      <c r="I101" s="334"/>
      <c r="J101" s="344"/>
      <c r="K101" s="16"/>
      <c r="L101" s="24"/>
    </row>
    <row r="102" spans="2:12" ht="18" customHeight="1">
      <c r="B102" s="46"/>
      <c r="C102" s="1"/>
      <c r="D102" s="3"/>
      <c r="E102" s="3"/>
      <c r="F102" s="101"/>
      <c r="G102" s="101"/>
      <c r="H102" s="101"/>
      <c r="I102" s="15"/>
      <c r="J102" s="15"/>
      <c r="K102" s="16"/>
      <c r="L102" s="24"/>
    </row>
    <row r="103" spans="2:11" s="3" customFormat="1" ht="18" customHeight="1">
      <c r="B103" s="336" t="s">
        <v>15</v>
      </c>
      <c r="C103" s="337"/>
      <c r="D103" s="337"/>
      <c r="E103" s="337"/>
      <c r="F103" s="337"/>
      <c r="G103" s="337"/>
      <c r="H103" s="337"/>
      <c r="I103" s="337"/>
      <c r="J103" s="338"/>
      <c r="K103" s="80"/>
    </row>
    <row r="104" spans="2:11" s="3" customFormat="1" ht="18" customHeight="1">
      <c r="B104" s="345" t="s">
        <v>83</v>
      </c>
      <c r="C104" s="346"/>
      <c r="D104" s="346"/>
      <c r="E104" s="346"/>
      <c r="F104" s="346"/>
      <c r="G104" s="346"/>
      <c r="H104" s="346"/>
      <c r="I104" s="346"/>
      <c r="J104" s="347"/>
      <c r="K104" s="80"/>
    </row>
    <row r="105" spans="2:11" s="3" customFormat="1" ht="18" customHeight="1">
      <c r="B105" s="356" t="s">
        <v>106</v>
      </c>
      <c r="C105" s="357"/>
      <c r="D105" s="357"/>
      <c r="E105" s="357"/>
      <c r="F105" s="357"/>
      <c r="G105" s="357"/>
      <c r="H105" s="357"/>
      <c r="I105" s="357"/>
      <c r="J105" s="358"/>
      <c r="K105" s="359"/>
    </row>
    <row r="106" spans="2:11" s="3" customFormat="1" ht="18" customHeight="1">
      <c r="B106" s="356" t="s">
        <v>122</v>
      </c>
      <c r="C106" s="357"/>
      <c r="D106" s="357"/>
      <c r="E106" s="357"/>
      <c r="F106" s="357"/>
      <c r="G106" s="357"/>
      <c r="H106" s="357"/>
      <c r="I106" s="357"/>
      <c r="J106" s="358"/>
      <c r="K106" s="359"/>
    </row>
    <row r="107" spans="2:11" s="3" customFormat="1" ht="31.5" customHeight="1">
      <c r="B107" s="308" t="s">
        <v>125</v>
      </c>
      <c r="C107" s="309"/>
      <c r="D107" s="309"/>
      <c r="E107" s="309"/>
      <c r="F107" s="309"/>
      <c r="G107" s="309"/>
      <c r="H107" s="309"/>
      <c r="I107" s="309"/>
      <c r="J107" s="310"/>
      <c r="K107" s="81"/>
    </row>
    <row r="108" spans="2:11" s="3" customFormat="1" ht="16.5" customHeight="1">
      <c r="B108" s="299" t="s">
        <v>108</v>
      </c>
      <c r="C108" s="300"/>
      <c r="D108" s="300"/>
      <c r="E108" s="300"/>
      <c r="F108" s="300"/>
      <c r="G108" s="300"/>
      <c r="H108" s="300"/>
      <c r="I108" s="300"/>
      <c r="J108" s="301"/>
      <c r="K108" s="81"/>
    </row>
    <row r="109" spans="2:11" s="3" customFormat="1" ht="42.75" customHeight="1">
      <c r="B109" s="290" t="s">
        <v>121</v>
      </c>
      <c r="C109" s="291"/>
      <c r="D109" s="291"/>
      <c r="E109" s="291"/>
      <c r="F109" s="291"/>
      <c r="G109" s="291"/>
      <c r="H109" s="291"/>
      <c r="I109" s="291"/>
      <c r="J109" s="292"/>
      <c r="K109" s="80"/>
    </row>
    <row r="110" spans="2:11" s="3" customFormat="1" ht="18" customHeight="1">
      <c r="B110" s="299" t="s">
        <v>114</v>
      </c>
      <c r="C110" s="300"/>
      <c r="D110" s="300"/>
      <c r="E110" s="300"/>
      <c r="F110" s="300"/>
      <c r="G110" s="300"/>
      <c r="H110" s="300"/>
      <c r="I110" s="300"/>
      <c r="J110" s="301"/>
      <c r="K110" s="80"/>
    </row>
    <row r="111" spans="2:11" s="3" customFormat="1" ht="18" customHeight="1">
      <c r="B111" s="299" t="s">
        <v>115</v>
      </c>
      <c r="C111" s="300"/>
      <c r="D111" s="300"/>
      <c r="E111" s="300"/>
      <c r="F111" s="300"/>
      <c r="G111" s="300"/>
      <c r="H111" s="300"/>
      <c r="I111" s="300"/>
      <c r="J111" s="301"/>
      <c r="K111" s="80"/>
    </row>
    <row r="112" spans="2:11" s="3" customFormat="1" ht="17.25" customHeight="1">
      <c r="B112" s="293" t="s">
        <v>116</v>
      </c>
      <c r="C112" s="294"/>
      <c r="D112" s="294"/>
      <c r="E112" s="294"/>
      <c r="F112" s="294"/>
      <c r="G112" s="294"/>
      <c r="H112" s="294"/>
      <c r="I112" s="294"/>
      <c r="J112" s="295"/>
      <c r="K112" s="80"/>
    </row>
    <row r="113" spans="2:11" s="3" customFormat="1" ht="18.75" customHeight="1">
      <c r="B113" s="302" t="s">
        <v>117</v>
      </c>
      <c r="C113" s="303"/>
      <c r="D113" s="303"/>
      <c r="E113" s="303"/>
      <c r="F113" s="303"/>
      <c r="G113" s="303"/>
      <c r="H113" s="303"/>
      <c r="I113" s="303"/>
      <c r="J113" s="304"/>
      <c r="K113" s="80"/>
    </row>
    <row r="114" spans="2:11" s="3" customFormat="1" ht="18" customHeight="1">
      <c r="B114" s="197"/>
      <c r="C114" s="197"/>
      <c r="D114" s="197"/>
      <c r="E114" s="197"/>
      <c r="F114" s="197"/>
      <c r="G114" s="197"/>
      <c r="H114" s="197"/>
      <c r="I114" s="197"/>
      <c r="J114" s="197"/>
      <c r="K114" s="81"/>
    </row>
    <row r="115" spans="2:11" s="3" customFormat="1" ht="18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3"/>
    </row>
    <row r="116" spans="2:11" s="3" customFormat="1" ht="16.5" customHeight="1">
      <c r="B116" s="39"/>
      <c r="C116" s="39"/>
      <c r="D116" s="39"/>
      <c r="E116" s="39"/>
      <c r="F116" s="39"/>
      <c r="G116" s="40"/>
      <c r="H116" s="39"/>
      <c r="I116" s="39"/>
      <c r="J116" s="39"/>
      <c r="K116" s="9"/>
    </row>
    <row r="117" spans="2:11" s="3" customFormat="1" ht="15">
      <c r="B117" s="4"/>
      <c r="C117" s="4"/>
      <c r="D117" s="4"/>
      <c r="E117" s="4"/>
      <c r="F117" s="4"/>
      <c r="G117" s="5"/>
      <c r="H117" s="4"/>
      <c r="I117" s="4"/>
      <c r="J117" s="4"/>
      <c r="K117" s="9"/>
    </row>
    <row r="118" spans="2:11" s="3" customFormat="1" ht="15">
      <c r="B118" s="6"/>
      <c r="C118" s="6"/>
      <c r="D118" s="6"/>
      <c r="E118" s="6"/>
      <c r="F118" s="6"/>
      <c r="G118" s="7"/>
      <c r="H118" s="6"/>
      <c r="I118" s="6"/>
      <c r="J118" s="6"/>
      <c r="K118" s="9"/>
    </row>
    <row r="119" spans="2:11" s="3" customFormat="1" ht="15">
      <c r="B119" s="6"/>
      <c r="C119" s="6"/>
      <c r="D119" s="6"/>
      <c r="E119" s="6"/>
      <c r="F119" s="6"/>
      <c r="G119" s="7"/>
      <c r="H119" s="6"/>
      <c r="I119" s="6"/>
      <c r="J119" s="6"/>
      <c r="K119" s="9"/>
    </row>
    <row r="120" spans="2:11" s="3" customFormat="1" ht="15">
      <c r="B120" s="6"/>
      <c r="C120" s="6"/>
      <c r="D120" s="6"/>
      <c r="E120" s="6"/>
      <c r="F120" s="6"/>
      <c r="G120" s="7"/>
      <c r="H120" s="6"/>
      <c r="I120" s="6"/>
      <c r="J120" s="6"/>
      <c r="K120" s="9"/>
    </row>
    <row r="121" spans="2:12" s="3" customFormat="1" ht="15">
      <c r="B121" s="67"/>
      <c r="C121" s="67"/>
      <c r="D121" s="67"/>
      <c r="E121" s="67"/>
      <c r="F121" s="67"/>
      <c r="G121" s="68"/>
      <c r="H121" s="67"/>
      <c r="I121" s="67"/>
      <c r="J121" s="67"/>
      <c r="K121" s="69"/>
      <c r="L121" s="67"/>
    </row>
    <row r="122" spans="2:12" s="3" customFormat="1" ht="15">
      <c r="B122" s="67"/>
      <c r="C122" s="67"/>
      <c r="D122" s="67"/>
      <c r="E122" s="67"/>
      <c r="F122" s="67"/>
      <c r="G122" s="68"/>
      <c r="H122" s="67"/>
      <c r="I122" s="67"/>
      <c r="J122" s="67"/>
      <c r="K122" s="69"/>
      <c r="L122" s="67"/>
    </row>
    <row r="123" spans="2:12" s="3" customFormat="1" ht="15">
      <c r="B123" s="67"/>
      <c r="C123" s="67"/>
      <c r="D123" s="67"/>
      <c r="E123" s="67"/>
      <c r="F123" s="67"/>
      <c r="G123" s="68"/>
      <c r="H123" s="67"/>
      <c r="I123" s="67"/>
      <c r="J123" s="67"/>
      <c r="K123" s="69"/>
      <c r="L123" s="67"/>
    </row>
    <row r="124" spans="2:12" s="3" customFormat="1" ht="15">
      <c r="B124" s="67"/>
      <c r="C124" s="67"/>
      <c r="D124" s="67"/>
      <c r="E124" s="67"/>
      <c r="F124" s="67"/>
      <c r="G124" s="68"/>
      <c r="H124" s="67"/>
      <c r="I124" s="67"/>
      <c r="J124" s="67"/>
      <c r="K124" s="69"/>
      <c r="L124" s="67"/>
    </row>
    <row r="125" spans="2:12" ht="18">
      <c r="B125" s="56"/>
      <c r="C125" s="56"/>
      <c r="D125" s="57"/>
      <c r="E125" s="57"/>
      <c r="F125" s="58"/>
      <c r="G125" s="58"/>
      <c r="H125" s="58"/>
      <c r="I125" s="67"/>
      <c r="J125" s="67"/>
      <c r="K125" s="69"/>
      <c r="L125" s="67"/>
    </row>
    <row r="126" spans="2:12" ht="18">
      <c r="B126" s="56"/>
      <c r="C126" s="59"/>
      <c r="D126" s="59"/>
      <c r="E126" s="60"/>
      <c r="F126" s="59"/>
      <c r="G126" s="61"/>
      <c r="H126" s="62"/>
      <c r="I126" s="67"/>
      <c r="J126" s="67"/>
      <c r="K126" s="69"/>
      <c r="L126" s="67"/>
    </row>
    <row r="127" spans="2:12" ht="18">
      <c r="B127" s="57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56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8">
      <c r="B129" s="70"/>
      <c r="C129" s="71"/>
      <c r="D129" s="71"/>
      <c r="E129" s="63"/>
      <c r="F129" s="63"/>
      <c r="G129" s="63"/>
      <c r="H129" s="63"/>
      <c r="I129" s="67"/>
      <c r="J129" s="69"/>
      <c r="K129" s="69"/>
      <c r="L129" s="67"/>
    </row>
    <row r="130" spans="2:12" ht="18">
      <c r="B130" s="70"/>
      <c r="C130" s="71"/>
      <c r="D130" s="71"/>
      <c r="E130" s="63"/>
      <c r="F130" s="63"/>
      <c r="G130" s="63"/>
      <c r="H130" s="63"/>
      <c r="I130" s="67"/>
      <c r="J130" s="69"/>
      <c r="K130" s="69"/>
      <c r="L130" s="67"/>
    </row>
    <row r="131" spans="2:12" ht="18">
      <c r="B131" s="64"/>
      <c r="C131" s="65"/>
      <c r="D131" s="65"/>
      <c r="E131" s="64"/>
      <c r="F131" s="64"/>
      <c r="G131" s="64"/>
      <c r="H131" s="66"/>
      <c r="I131" s="67"/>
      <c r="J131" s="67"/>
      <c r="K131" s="69"/>
      <c r="L131" s="67"/>
    </row>
    <row r="132" spans="2:12" ht="18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8">
      <c r="B133" s="56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289"/>
      <c r="C136" s="289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8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8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8">
      <c r="B147" s="64"/>
      <c r="C147" s="65"/>
      <c r="D147" s="65"/>
      <c r="E147" s="64"/>
      <c r="F147" s="64"/>
      <c r="G147" s="64"/>
      <c r="H147" s="66"/>
      <c r="I147" s="67"/>
      <c r="J147" s="67"/>
      <c r="K147" s="69"/>
      <c r="L147" s="67"/>
    </row>
    <row r="148" spans="2:12" ht="18">
      <c r="B148" s="57"/>
      <c r="C148" s="57"/>
      <c r="D148" s="57"/>
      <c r="E148" s="57"/>
      <c r="F148" s="57"/>
      <c r="G148" s="57"/>
      <c r="H148" s="57"/>
      <c r="I148" s="67"/>
      <c r="J148" s="67"/>
      <c r="K148" s="69"/>
      <c r="L148" s="67"/>
    </row>
    <row r="149" spans="2:12" ht="18">
      <c r="B149" s="64"/>
      <c r="C149" s="65"/>
      <c r="D149" s="65"/>
      <c r="E149" s="64"/>
      <c r="F149" s="64"/>
      <c r="G149" s="64"/>
      <c r="H149" s="66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77"/>
      <c r="C160" s="77"/>
      <c r="D160" s="77"/>
      <c r="E160" s="77"/>
      <c r="F160" s="7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9"/>
      <c r="D163" s="69"/>
      <c r="E163" s="69"/>
      <c r="F163" s="69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9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9"/>
      <c r="D170" s="69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8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9"/>
      <c r="C183" s="69"/>
      <c r="D183" s="69"/>
      <c r="E183" s="69"/>
      <c r="F183" s="69"/>
      <c r="G183" s="69"/>
      <c r="H183" s="69"/>
      <c r="I183" s="69"/>
      <c r="J183" s="67"/>
      <c r="K183" s="69"/>
      <c r="L183" s="67"/>
    </row>
    <row r="184" spans="2:12" s="3" customFormat="1" ht="15">
      <c r="B184" s="69"/>
      <c r="C184" s="69"/>
      <c r="D184" s="69"/>
      <c r="E184" s="69"/>
      <c r="F184" s="69"/>
      <c r="G184" s="78"/>
      <c r="H184" s="69"/>
      <c r="I184" s="69"/>
      <c r="J184" s="67"/>
      <c r="K184" s="69"/>
      <c r="L184" s="78"/>
    </row>
    <row r="185" spans="2:12" s="3" customFormat="1" ht="15">
      <c r="B185" s="69"/>
      <c r="C185" s="69"/>
      <c r="D185" s="69"/>
      <c r="E185" s="69"/>
      <c r="F185" s="69"/>
      <c r="G185" s="69"/>
      <c r="H185" s="69"/>
      <c r="I185" s="7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9"/>
      <c r="I201" s="69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9"/>
      <c r="I202" s="69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9"/>
      <c r="I203" s="69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</sheetData>
  <sheetProtection/>
  <mergeCells count="55">
    <mergeCell ref="I98:J99"/>
    <mergeCell ref="I100:J101"/>
    <mergeCell ref="B104:J104"/>
    <mergeCell ref="I91:J91"/>
    <mergeCell ref="I92:J92"/>
    <mergeCell ref="I93:J93"/>
    <mergeCell ref="I94:J94"/>
    <mergeCell ref="B98:D99"/>
    <mergeCell ref="B100:D101"/>
    <mergeCell ref="E98:F99"/>
    <mergeCell ref="E100:F101"/>
    <mergeCell ref="G98:H99"/>
    <mergeCell ref="G100:H101"/>
    <mergeCell ref="L72:O72"/>
    <mergeCell ref="B103:J103"/>
    <mergeCell ref="E93:F93"/>
    <mergeCell ref="E94:F94"/>
    <mergeCell ref="G91:H91"/>
    <mergeCell ref="G92:H92"/>
    <mergeCell ref="B71:D71"/>
    <mergeCell ref="B96:J97"/>
    <mergeCell ref="B90:D91"/>
    <mergeCell ref="B92:D92"/>
    <mergeCell ref="B93:D93"/>
    <mergeCell ref="B94:D94"/>
    <mergeCell ref="E90:J90"/>
    <mergeCell ref="E91:F91"/>
    <mergeCell ref="E92:F92"/>
    <mergeCell ref="G93:H93"/>
    <mergeCell ref="B136:C136"/>
    <mergeCell ref="B109:J109"/>
    <mergeCell ref="B112:J112"/>
    <mergeCell ref="B88:J88"/>
    <mergeCell ref="B111:J111"/>
    <mergeCell ref="B113:J113"/>
    <mergeCell ref="B108:J108"/>
    <mergeCell ref="B89:J89"/>
    <mergeCell ref="B110:J110"/>
    <mergeCell ref="B107:J107"/>
    <mergeCell ref="D2:J2"/>
    <mergeCell ref="D4:J4"/>
    <mergeCell ref="D6:J6"/>
    <mergeCell ref="B14:E14"/>
    <mergeCell ref="G14:J14"/>
    <mergeCell ref="E22:F22"/>
    <mergeCell ref="D8:J8"/>
    <mergeCell ref="D5:J5"/>
    <mergeCell ref="G94:H94"/>
    <mergeCell ref="E24:F24"/>
    <mergeCell ref="E25:F25"/>
    <mergeCell ref="E26:F26"/>
    <mergeCell ref="E27:F27"/>
    <mergeCell ref="E28:F28"/>
    <mergeCell ref="E29:F29"/>
    <mergeCell ref="E71:F7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84" max="10" man="1"/>
  </rowBreaks>
  <ignoredErrors>
    <ignoredError sqref="J37:J38" formula="1"/>
    <ignoredError sqref="J49 J4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(('alfalfa_ establecer _rm 2022-23'!E15-45000)/45000)+1</f>
        <v>0.3277777777777777</v>
      </c>
    </row>
    <row r="3" ht="18">
      <c r="B3" s="13"/>
    </row>
    <row r="4" spans="2:3" ht="18">
      <c r="B4" s="354" t="s">
        <v>18</v>
      </c>
      <c r="C4" s="354"/>
    </row>
    <row r="5" spans="2:5" ht="18">
      <c r="B5" s="82" t="s">
        <v>34</v>
      </c>
      <c r="C5" s="123"/>
      <c r="D5" s="83"/>
      <c r="E5" s="3">
        <v>45000</v>
      </c>
    </row>
    <row r="6" spans="2:4" ht="15">
      <c r="B6" s="26"/>
      <c r="C6" s="26"/>
      <c r="D6" s="26"/>
    </row>
    <row r="14" spans="2:4" ht="15">
      <c r="B14" s="355" t="s">
        <v>14</v>
      </c>
      <c r="C14" s="355"/>
      <c r="D14" s="355"/>
    </row>
    <row r="16" spans="2:4" ht="18">
      <c r="B16" s="49" t="s">
        <v>16</v>
      </c>
      <c r="C16" s="48" t="e">
        <f>'alfalfa_ establecer _rm 2022-23'!#REF!</f>
        <v>#REF!</v>
      </c>
      <c r="D16" s="48" t="e">
        <f>'alfalfa_ establecer _rm 2022-23'!#REF!</f>
        <v>#REF!</v>
      </c>
    </row>
    <row r="17" ht="15">
      <c r="B17" s="24"/>
    </row>
    <row r="18" spans="2:4" ht="15">
      <c r="B18" s="47" t="s">
        <v>17</v>
      </c>
      <c r="C18" s="50" t="e">
        <f>((C16-'alfalfa_ establecer _rm 2022-23'!E15)/'alfalfa_ establecer _rm 2022-23'!E15)+1</f>
        <v>#REF!</v>
      </c>
      <c r="D18" s="50" t="e">
        <f>((D16-'alfalfa_ establecer _rm 2022-23'!E15)/'alfalfa_ establecer _rm 2022-23'!E15)+1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SUM('alfalfa_ establecer _rm 2022-23'!J24:J28)</f>
        <v>253000</v>
      </c>
      <c r="D21" s="9">
        <f>SUM('alfalfa_ establecer _rm 2022-23'!J24:J28)</f>
        <v>253000</v>
      </c>
    </row>
    <row r="22" spans="2:4" ht="18">
      <c r="B22" s="51" t="s">
        <v>20</v>
      </c>
      <c r="C22" s="52" t="e">
        <f>C18*'alfalfa_ establecer _rm 2022-23'!G29*'alfalfa_ establecer _rm 2022-23'!I29</f>
        <v>#REF!</v>
      </c>
      <c r="D22" s="52" t="e">
        <f>D18*'alfalfa_ establecer _rm 2022-23'!G29*'alfalfa_ establecer _rm 2022-23'!I29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SUM('alfalfa_ establecer _rm 2022-23'!J33:J40)</f>
        <v>1048000</v>
      </c>
      <c r="D26" s="9">
        <f>SUM('alfalfa_ establecer _rm 2022-23'!J33:J40)</f>
        <v>1048000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1048000</v>
      </c>
      <c r="D28" s="9">
        <f>SUM(D26:D27)</f>
        <v>1048000</v>
      </c>
    </row>
    <row r="30" ht="18">
      <c r="B30" s="49" t="s">
        <v>22</v>
      </c>
    </row>
    <row r="31" spans="2:4" ht="18">
      <c r="B31" s="17" t="s">
        <v>19</v>
      </c>
      <c r="C31" s="9">
        <f>SUM('alfalfa_ establecer _rm 2022-23'!J44:J62)</f>
        <v>715385</v>
      </c>
      <c r="D31" s="9">
        <f>SUM('alfalfa_ establecer _rm 2022-23'!J44:J62)</f>
        <v>715385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715385</v>
      </c>
      <c r="D33" s="9">
        <f>SUM(D31:D32)</f>
        <v>715385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C35*'alfalfa_ establecer _rm 2022-23'!G66</f>
        <v>#REF!</v>
      </c>
      <c r="D37" s="9" t="e">
        <f>D35*D18*'alfalfa_ establecer _rm 2022-23'!G66</f>
        <v>#REF!</v>
      </c>
    </row>
    <row r="38" spans="2:4" ht="18">
      <c r="B38" s="53" t="s">
        <v>12</v>
      </c>
      <c r="C38" s="9" t="e">
        <f>C35*'alfalfa_ establecer _rm 2022-23'!E18*'alfalfa_ establecer _rm 2022-23'!E19*0.5</f>
        <v>#REF!</v>
      </c>
      <c r="D38" s="9" t="e">
        <f>D35*'alfalfa_ establecer _rm 2022-23'!E18*'alfalfa_ establecer _rm 2022-23'!E19*0.5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2019-06-10T21:24:06Z</cp:lastPrinted>
  <dcterms:created xsi:type="dcterms:W3CDTF">2012-07-09T18:51:50Z</dcterms:created>
  <dcterms:modified xsi:type="dcterms:W3CDTF">2023-07-04T19:28:53Z</dcterms:modified>
  <cp:category/>
  <cp:version/>
  <cp:contentType/>
  <cp:contentStatus/>
</cp:coreProperties>
</file>