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especie" sheetId="1" r:id="rId1"/>
    <sheet name="rdto_variable" sheetId="2" r:id="rId2"/>
  </sheets>
  <definedNames>
    <definedName name="_xlfn.IFERROR" hidden="1">#NAME?</definedName>
    <definedName name="_xlnm.Print_Area" localSheetId="0">'especie'!$A$1:$K$130</definedName>
    <definedName name="costo_financiero">'especie'!$J$97</definedName>
    <definedName name="imprevistos">'especie'!$J$93</definedName>
    <definedName name="meses_financiamiento">'especie'!$E$17</definedName>
    <definedName name="precio_de_venta">'especie'!$E$14</definedName>
    <definedName name="rendimiento">'especie'!$E$13</definedName>
    <definedName name="tasa_interes_mensual">'especie'!$E$16</definedName>
    <definedName name="total_costos">'especie'!$J$103</definedName>
    <definedName name="total_costos_directos">'especie'!$J$91</definedName>
    <definedName name="total_costos_indirectos">'especie'!$J$101</definedName>
    <definedName name="total_insumos">'especie'!$J$89</definedName>
    <definedName name="total_mano_obra">'especie'!$J$30</definedName>
    <definedName name="total_maquinaria">'especie'!$J$38</definedName>
  </definedNames>
  <calcPr fullCalcOnLoad="1"/>
</workbook>
</file>

<file path=xl/sharedStrings.xml><?xml version="1.0" encoding="utf-8"?>
<sst xmlns="http://schemas.openxmlformats.org/spreadsheetml/2006/main" count="250" uniqueCount="168">
  <si>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</si>
  <si>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</si>
  <si>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</si>
  <si>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</si>
  <si>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</si>
  <si>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</si>
  <si>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</si>
  <si>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</si>
  <si>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</si>
  <si>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</si>
  <si>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</si>
  <si>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</si>
  <si>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</si>
  <si>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</si>
  <si>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</si>
  <si>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</si>
  <si>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</si>
  <si>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</si>
  <si>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</si>
  <si>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</si>
  <si>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</si>
  <si>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</si>
  <si>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</si>
  <si>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</si>
  <si>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</si>
  <si>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</si>
  <si>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</si>
  <si>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</si>
  <si>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</si>
  <si>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</si>
  <si>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</si>
  <si>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</si>
  <si>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</si>
  <si>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</si>
  <si>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</si>
  <si>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</si>
  <si>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</si>
  <si>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</si>
  <si>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</si>
  <si>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</si>
  <si>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</si>
  <si>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</si>
  <si>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</si>
  <si>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</si>
  <si>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</si>
  <si>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</si>
  <si>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</si>
  <si>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</si>
  <si>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</si>
  <si>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</si>
  <si>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</si>
  <si>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</si>
  <si>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</si>
  <si>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</si>
  <si>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</si>
  <si>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</si>
  <si>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</si>
  <si>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</si>
  <si>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</si>
  <si>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</si>
  <si>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</si>
  <si>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</si>
  <si>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</si>
  <si>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</si>
  <si>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</si>
  <si>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</si>
  <si>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</si>
  <si>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</si>
  <si>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</si>
  <si>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</si>
  <si>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</si>
  <si>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</si>
  <si>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</si>
  <si>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Baño químico</t>
  </si>
  <si>
    <t>Rdto original ficha</t>
  </si>
  <si>
    <t>Ponderador/variación</t>
  </si>
  <si>
    <t>Mano de Obra</t>
  </si>
  <si>
    <t>Maquinaria</t>
  </si>
  <si>
    <t>Insumos</t>
  </si>
  <si>
    <t>Cantidad (Q)</t>
  </si>
  <si>
    <t>Junio-agosto</t>
  </si>
  <si>
    <t>Septiembre-octubre</t>
  </si>
  <si>
    <t>Octubre-noviembre</t>
  </si>
  <si>
    <t>U</t>
  </si>
  <si>
    <t>Junio-julio</t>
  </si>
  <si>
    <t>1 hectárea marzo 2016</t>
  </si>
  <si>
    <t>Huerto en producción</t>
  </si>
  <si>
    <t>(3) La dosis de fertilización promedio podría variar de acuerdo a los resultados del análisis foliar.</t>
  </si>
  <si>
    <t>(4) 1,5% mensual simple, tasa de interés promedio de las empresas distribuidoras de insumos</t>
  </si>
  <si>
    <t>Planta</t>
  </si>
  <si>
    <t>Enero-febrero</t>
  </si>
  <si>
    <t>Aplicación fitosanitarios</t>
  </si>
  <si>
    <t>Octubre-marzo</t>
  </si>
  <si>
    <t>Septiembre-enero</t>
  </si>
  <si>
    <t>Mayo-julio</t>
  </si>
  <si>
    <t>Poda</t>
  </si>
  <si>
    <t>Aplicación de pesticidas</t>
  </si>
  <si>
    <t>Abril-noviembre</t>
  </si>
  <si>
    <t>Control de malezas</t>
  </si>
  <si>
    <t>Cosecha</t>
  </si>
  <si>
    <t>Noviembre-diciembre</t>
  </si>
  <si>
    <t>Triturar poda</t>
  </si>
  <si>
    <t>Acarreo de insumos</t>
  </si>
  <si>
    <t>Sulpomag</t>
  </si>
  <si>
    <t>Julio-septiembre</t>
  </si>
  <si>
    <t>Noviembre-enero</t>
  </si>
  <si>
    <t>Bravo 720</t>
  </si>
  <si>
    <t>Septiembre-noviembre</t>
  </si>
  <si>
    <t>Frutaliv</t>
  </si>
  <si>
    <t>Terrasorb foliar</t>
  </si>
  <si>
    <t>Strepto Plus</t>
  </si>
  <si>
    <t>Electricidad</t>
  </si>
  <si>
    <t>Ha</t>
  </si>
  <si>
    <t>Certificación</t>
  </si>
  <si>
    <t>Marzo-diciembre</t>
  </si>
  <si>
    <t>Agosto</t>
  </si>
  <si>
    <t>Break</t>
  </si>
  <si>
    <t>Vertimec 018 EC</t>
  </si>
  <si>
    <t>Bellis</t>
  </si>
  <si>
    <t>Abejorros</t>
  </si>
  <si>
    <t>Tango 24 EC</t>
  </si>
  <si>
    <t>Dipel WG</t>
  </si>
  <si>
    <t>Agosto-septiembre</t>
  </si>
  <si>
    <t>Agosto-octubre</t>
  </si>
  <si>
    <t>Noctubre-diciembre</t>
  </si>
  <si>
    <t>BC-1000</t>
  </si>
  <si>
    <t xml:space="preserve">Podexal </t>
  </si>
  <si>
    <t>Cerezo</t>
  </si>
  <si>
    <t>Variedad: Lapins</t>
  </si>
  <si>
    <t>Tecnología de riego: riego por surco</t>
  </si>
  <si>
    <t xml:space="preserve">(1) El precio del kilo de cereza  corresponde al promedio estimado de la región a nivel predial durante el periodo de cosecha en la temporada  en el 2015-2016. </t>
  </si>
  <si>
    <t>Riego y limpias de acequias</t>
  </si>
  <si>
    <t>Poda de vigor</t>
  </si>
  <si>
    <t>Diciembre-enero</t>
  </si>
  <si>
    <t>Mayo-junio</t>
  </si>
  <si>
    <t>Mayo-enero</t>
  </si>
  <si>
    <t xml:space="preserve">Control de cosecha </t>
  </si>
  <si>
    <t>Julio-agosto</t>
  </si>
  <si>
    <t>Flete</t>
  </si>
  <si>
    <t>Sacar cajas cosechadas a packing</t>
  </si>
  <si>
    <t>Selección, embalar y carga</t>
  </si>
  <si>
    <t>Nitrato de Potasio</t>
  </si>
  <si>
    <t>Aceite citroliv</t>
  </si>
  <si>
    <t>Hurricane 70 WP</t>
  </si>
  <si>
    <t>Agosto-noviembre</t>
  </si>
  <si>
    <t>Aogosto-septiembre</t>
  </si>
  <si>
    <t>Roundup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</si>
  <si>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</si>
  <si>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Defender Boro</t>
  </si>
  <si>
    <t>Dormex (aplicar 60-55 días antes de inicio floración)</t>
  </si>
  <si>
    <t>Densidad (Plantas/ha): 1.082 (4,2m x 2,2m)</t>
  </si>
  <si>
    <t>Cosecha: noviembre-diciembre</t>
  </si>
  <si>
    <t>Febrero-marzo</t>
  </si>
  <si>
    <t>Lorsban 4E</t>
  </si>
  <si>
    <t>Karate con tecnología Zeon</t>
  </si>
  <si>
    <t>Fosfimax 40 20</t>
  </si>
  <si>
    <t>Agua</t>
  </si>
  <si>
    <t>Mezcla frutal</t>
  </si>
  <si>
    <t>Captan 80 WP</t>
  </si>
  <si>
    <r>
      <t xml:space="preserve">Análisis de suelo </t>
    </r>
    <r>
      <rPr>
        <vertAlign val="superscript"/>
        <sz val="14"/>
        <rFont val="Arial"/>
        <family val="2"/>
      </rPr>
      <t>(3)</t>
    </r>
  </si>
  <si>
    <t>Región del Maule</t>
  </si>
  <si>
    <t>Herbicidas:</t>
  </si>
  <si>
    <t>Acaricidas-insecticidas:</t>
  </si>
  <si>
    <t>Bactericidas:</t>
  </si>
  <si>
    <t>Reguladores del crecimiento: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</si>
  <si>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</si>
  <si>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(5) Margen neto corresponde a ingresos totales (precio venta x rendimiento) menos los costos totales.</t>
  </si>
  <si>
    <t>(6) Representa el precio de venta mínimo para cubrir los costos totales de producción.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</si>
</sst>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1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180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129</xdr:row>
      <xdr:rowOff>9525</xdr:rowOff>
    </xdr:from>
    <xdr:to>
      <xdr:col>2</xdr:col>
      <xdr:colOff>723900</xdr:colOff>
      <xdr:row>129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30051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9"/>
  <sheetViews>
    <sheetView showGridLines="0" tabSelected="1" view="pageBreakPreview" zoomScale="70" zoomScaleNormal="68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6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78" t="s">
        <v>8</v>
      </c>
      <c r="C2" s="278"/>
      <c r="D2" s="278"/>
      <c r="E2" s="278"/>
      <c r="F2" s="278"/>
      <c r="G2" s="278"/>
      <c r="H2" s="278"/>
      <c r="I2" s="278"/>
      <c r="J2" s="278"/>
    </row>
    <row r="3" spans="2:11" s="3" customFormat="1" ht="18" customHeight="1">
      <c r="B3" s="78"/>
      <c r="C3" s="97"/>
      <c r="D3" s="285" t="s">
        <v>127</v>
      </c>
      <c r="E3" s="285"/>
      <c r="F3" s="285"/>
      <c r="G3" s="285"/>
      <c r="H3" s="285"/>
      <c r="I3" s="98"/>
      <c r="J3" s="97"/>
      <c r="K3" s="12"/>
    </row>
    <row r="4" spans="2:11" s="3" customFormat="1" ht="18" customHeight="1">
      <c r="B4" s="78"/>
      <c r="C4" s="97"/>
      <c r="D4" s="285" t="s">
        <v>160</v>
      </c>
      <c r="E4" s="285"/>
      <c r="F4" s="285"/>
      <c r="G4" s="285"/>
      <c r="H4" s="285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91" t="s">
        <v>50</v>
      </c>
      <c r="E6" s="292"/>
      <c r="F6" s="292"/>
      <c r="G6" s="292"/>
      <c r="H6" s="292"/>
      <c r="I6" s="292"/>
      <c r="J6" s="293"/>
      <c r="K6" s="14"/>
    </row>
    <row r="7" spans="2:11" s="3" customFormat="1" ht="18" customHeight="1">
      <c r="B7" s="35"/>
      <c r="C7" s="35"/>
      <c r="D7" s="169" t="s">
        <v>85</v>
      </c>
      <c r="E7" s="76"/>
      <c r="F7" s="76"/>
      <c r="G7" s="166" t="s">
        <v>128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129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150</v>
      </c>
      <c r="E9" s="77"/>
      <c r="F9" s="77"/>
      <c r="G9" s="167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86</v>
      </c>
      <c r="E10" s="114"/>
      <c r="F10" s="114"/>
      <c r="G10" s="168" t="s">
        <v>151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79" t="s">
        <v>51</v>
      </c>
      <c r="C12" s="280"/>
      <c r="D12" s="280"/>
      <c r="E12" s="281"/>
      <c r="F12" s="34"/>
      <c r="G12" s="282" t="s">
        <v>14</v>
      </c>
      <c r="H12" s="283"/>
      <c r="I12" s="283"/>
      <c r="J12" s="284"/>
      <c r="K12" s="14"/>
    </row>
    <row r="13" spans="2:11" ht="18">
      <c r="B13" s="89" t="s">
        <v>58</v>
      </c>
      <c r="C13" s="90"/>
      <c r="D13" s="76"/>
      <c r="E13" s="163">
        <v>5500</v>
      </c>
      <c r="F13" s="35"/>
      <c r="G13" s="152" t="s">
        <v>7</v>
      </c>
      <c r="H13" s="153"/>
      <c r="I13" s="153"/>
      <c r="J13" s="154">
        <f>rendimiento*precio_de_venta</f>
        <v>12650000</v>
      </c>
      <c r="K13" s="14"/>
    </row>
    <row r="14" spans="2:11" ht="21">
      <c r="B14" s="295" t="s">
        <v>65</v>
      </c>
      <c r="C14" s="296"/>
      <c r="D14" s="296"/>
      <c r="E14" s="164">
        <v>2300</v>
      </c>
      <c r="F14" s="35"/>
      <c r="G14" s="155" t="s">
        <v>10</v>
      </c>
      <c r="H14" s="156"/>
      <c r="I14" s="156"/>
      <c r="J14" s="157">
        <f>total_mano_obra+total_maquinaria+total_insumos+imprevistos</f>
        <v>7765070.775</v>
      </c>
      <c r="K14" s="14"/>
    </row>
    <row r="15" spans="2:11" ht="18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8430648.27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4884929.225</v>
      </c>
      <c r="K16" s="14"/>
    </row>
    <row r="17" spans="2:11" ht="18">
      <c r="B17" s="91" t="s">
        <v>5</v>
      </c>
      <c r="C17" s="92"/>
      <c r="D17" s="80"/>
      <c r="E17" s="165">
        <v>12</v>
      </c>
      <c r="F17" s="35"/>
      <c r="G17" s="155" t="s">
        <v>13</v>
      </c>
      <c r="H17" s="156"/>
      <c r="I17" s="156"/>
      <c r="J17" s="157">
        <f>J13-J15</f>
        <v>4219351.73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1532.84514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294" t="s">
        <v>15</v>
      </c>
      <c r="F20" s="294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286" t="s">
        <v>19</v>
      </c>
      <c r="C21" s="287"/>
      <c r="D21" s="287"/>
      <c r="E21" s="218"/>
      <c r="F21" s="218"/>
      <c r="G21" s="93"/>
      <c r="H21" s="94"/>
      <c r="I21" s="95"/>
      <c r="J21" s="96"/>
      <c r="K21" s="14"/>
    </row>
    <row r="22" spans="2:11" s="3" customFormat="1" ht="18">
      <c r="B22" s="288" t="s">
        <v>131</v>
      </c>
      <c r="C22" s="289"/>
      <c r="D22" s="290"/>
      <c r="E22" s="300" t="s">
        <v>92</v>
      </c>
      <c r="F22" s="301"/>
      <c r="G22" s="172">
        <v>20</v>
      </c>
      <c r="H22" s="173" t="s">
        <v>6</v>
      </c>
      <c r="I22" s="174">
        <f>$E$15</f>
        <v>13000</v>
      </c>
      <c r="J22" s="126">
        <f>G22*I22</f>
        <v>260000</v>
      </c>
      <c r="K22" s="14"/>
    </row>
    <row r="23" spans="2:11" s="3" customFormat="1" ht="18">
      <c r="B23" s="297" t="s">
        <v>132</v>
      </c>
      <c r="C23" s="298"/>
      <c r="D23" s="299"/>
      <c r="E23" s="208" t="s">
        <v>133</v>
      </c>
      <c r="F23" s="209"/>
      <c r="G23" s="172">
        <v>1082</v>
      </c>
      <c r="H23" s="173" t="s">
        <v>89</v>
      </c>
      <c r="I23" s="174">
        <v>600</v>
      </c>
      <c r="J23" s="126">
        <f aca="true" t="shared" si="0" ref="J23:J29">G23*I23</f>
        <v>649200</v>
      </c>
      <c r="K23" s="14"/>
    </row>
    <row r="24" spans="2:11" s="3" customFormat="1" ht="18">
      <c r="B24" s="189" t="s">
        <v>95</v>
      </c>
      <c r="C24" s="190"/>
      <c r="D24" s="191"/>
      <c r="E24" s="208" t="s">
        <v>134</v>
      </c>
      <c r="F24" s="209"/>
      <c r="G24" s="172">
        <v>1082</v>
      </c>
      <c r="H24" s="173" t="s">
        <v>89</v>
      </c>
      <c r="I24" s="174">
        <v>600</v>
      </c>
      <c r="J24" s="126">
        <f t="shared" si="0"/>
        <v>649200</v>
      </c>
      <c r="K24" s="14"/>
    </row>
    <row r="25" spans="2:11" s="3" customFormat="1" ht="18">
      <c r="B25" s="297" t="s">
        <v>96</v>
      </c>
      <c r="C25" s="298"/>
      <c r="D25" s="299"/>
      <c r="E25" s="208" t="s">
        <v>135</v>
      </c>
      <c r="F25" s="209"/>
      <c r="G25" s="172">
        <v>7</v>
      </c>
      <c r="H25" s="173" t="s">
        <v>6</v>
      </c>
      <c r="I25" s="174">
        <f>$E$15</f>
        <v>13000</v>
      </c>
      <c r="J25" s="126">
        <f t="shared" si="0"/>
        <v>91000</v>
      </c>
      <c r="K25" s="14"/>
    </row>
    <row r="26" spans="2:11" s="3" customFormat="1" ht="18">
      <c r="B26" s="189" t="s">
        <v>98</v>
      </c>
      <c r="C26" s="190"/>
      <c r="D26" s="191"/>
      <c r="E26" s="208" t="s">
        <v>63</v>
      </c>
      <c r="F26" s="209"/>
      <c r="G26" s="172">
        <v>7</v>
      </c>
      <c r="H26" s="173" t="s">
        <v>6</v>
      </c>
      <c r="I26" s="174">
        <f>$E$15</f>
        <v>13000</v>
      </c>
      <c r="J26" s="126">
        <f t="shared" si="0"/>
        <v>91000</v>
      </c>
      <c r="K26" s="14"/>
    </row>
    <row r="27" spans="2:11" s="3" customFormat="1" ht="18">
      <c r="B27" s="297" t="s">
        <v>99</v>
      </c>
      <c r="C27" s="298"/>
      <c r="D27" s="299"/>
      <c r="E27" s="208" t="s">
        <v>100</v>
      </c>
      <c r="F27" s="209"/>
      <c r="G27" s="172">
        <f>rdto_variable!$C$2*rdto_variable!E5</f>
        <v>5500</v>
      </c>
      <c r="H27" s="173" t="s">
        <v>44</v>
      </c>
      <c r="I27" s="174">
        <v>250</v>
      </c>
      <c r="J27" s="126">
        <f t="shared" si="0"/>
        <v>1375000</v>
      </c>
      <c r="K27" s="14"/>
    </row>
    <row r="28" spans="2:11" s="3" customFormat="1" ht="18">
      <c r="B28" s="297" t="s">
        <v>136</v>
      </c>
      <c r="C28" s="307"/>
      <c r="D28" s="308"/>
      <c r="E28" s="208" t="s">
        <v>100</v>
      </c>
      <c r="F28" s="209"/>
      <c r="G28" s="172">
        <f>rdto_variable!$C$2*rdto_variable!E6</f>
        <v>5500</v>
      </c>
      <c r="H28" s="173" t="s">
        <v>44</v>
      </c>
      <c r="I28" s="174">
        <v>50</v>
      </c>
      <c r="J28" s="126">
        <f t="shared" si="0"/>
        <v>275000</v>
      </c>
      <c r="K28" s="14"/>
    </row>
    <row r="29" spans="2:11" s="3" customFormat="1" ht="18">
      <c r="B29" s="297" t="s">
        <v>140</v>
      </c>
      <c r="C29" s="307"/>
      <c r="D29" s="308"/>
      <c r="E29" s="208" t="s">
        <v>100</v>
      </c>
      <c r="F29" s="209"/>
      <c r="G29" s="172">
        <f>rdto_variable!$C$2*rdto_variable!E7</f>
        <v>5500</v>
      </c>
      <c r="H29" s="173" t="s">
        <v>44</v>
      </c>
      <c r="I29" s="174">
        <v>100</v>
      </c>
      <c r="J29" s="126">
        <f t="shared" si="0"/>
        <v>550000</v>
      </c>
      <c r="K29" s="14"/>
    </row>
    <row r="30" spans="2:11" ht="18">
      <c r="B30" s="302" t="s">
        <v>20</v>
      </c>
      <c r="C30" s="303"/>
      <c r="D30" s="303"/>
      <c r="E30" s="303"/>
      <c r="F30" s="303"/>
      <c r="G30" s="303"/>
      <c r="H30" s="303"/>
      <c r="I30" s="303"/>
      <c r="J30" s="81">
        <f>SUM(J22:J29)</f>
        <v>3940400</v>
      </c>
      <c r="K30" s="14"/>
    </row>
    <row r="31" spans="2:11" s="3" customFormat="1" ht="18">
      <c r="B31" s="18"/>
      <c r="C31" s="18"/>
      <c r="D31" s="18"/>
      <c r="E31" s="18"/>
      <c r="F31" s="18"/>
      <c r="G31" s="129"/>
      <c r="H31" s="18"/>
      <c r="I31" s="18"/>
      <c r="J31" s="130"/>
      <c r="K31" s="14"/>
    </row>
    <row r="32" spans="2:11" s="26" customFormat="1" ht="18">
      <c r="B32" s="286" t="s">
        <v>21</v>
      </c>
      <c r="C32" s="287"/>
      <c r="D32" s="287"/>
      <c r="E32" s="218"/>
      <c r="F32" s="218"/>
      <c r="G32" s="93"/>
      <c r="H32" s="94"/>
      <c r="I32" s="95"/>
      <c r="J32" s="137"/>
      <c r="K32" s="14"/>
    </row>
    <row r="33" spans="2:11" s="3" customFormat="1" ht="18">
      <c r="B33" s="288" t="s">
        <v>91</v>
      </c>
      <c r="C33" s="289"/>
      <c r="D33" s="289"/>
      <c r="E33" s="309" t="s">
        <v>135</v>
      </c>
      <c r="F33" s="310"/>
      <c r="G33" s="194">
        <v>8</v>
      </c>
      <c r="H33" s="196" t="s">
        <v>56</v>
      </c>
      <c r="I33" s="192">
        <v>25000</v>
      </c>
      <c r="J33" s="127">
        <f>G33*I33</f>
        <v>200000</v>
      </c>
      <c r="K33" s="14"/>
    </row>
    <row r="34" spans="2:11" s="3" customFormat="1" ht="18">
      <c r="B34" s="189" t="s">
        <v>101</v>
      </c>
      <c r="C34" s="190"/>
      <c r="D34" s="190"/>
      <c r="E34" s="311" t="s">
        <v>80</v>
      </c>
      <c r="F34" s="312"/>
      <c r="G34" s="195">
        <v>2</v>
      </c>
      <c r="H34" s="197" t="s">
        <v>56</v>
      </c>
      <c r="I34" s="193">
        <v>40000</v>
      </c>
      <c r="J34" s="125">
        <f>G34*I34</f>
        <v>80000</v>
      </c>
      <c r="K34" s="14"/>
    </row>
    <row r="35" spans="2:11" s="3" customFormat="1" ht="18">
      <c r="B35" s="189" t="s">
        <v>102</v>
      </c>
      <c r="C35" s="190"/>
      <c r="D35" s="190"/>
      <c r="E35" s="311" t="s">
        <v>63</v>
      </c>
      <c r="F35" s="312"/>
      <c r="G35" s="195">
        <v>1</v>
      </c>
      <c r="H35" s="197" t="s">
        <v>56</v>
      </c>
      <c r="I35" s="193">
        <v>90000</v>
      </c>
      <c r="J35" s="125">
        <f>G35*I35</f>
        <v>90000</v>
      </c>
      <c r="K35" s="14"/>
    </row>
    <row r="36" spans="2:11" s="3" customFormat="1" ht="18">
      <c r="B36" s="189" t="s">
        <v>139</v>
      </c>
      <c r="C36" s="190"/>
      <c r="D36" s="190"/>
      <c r="E36" s="311" t="s">
        <v>100</v>
      </c>
      <c r="F36" s="312"/>
      <c r="G36" s="195">
        <f>rdto_variable!$C$2*rdto_variable!E8</f>
        <v>5500</v>
      </c>
      <c r="H36" s="197" t="s">
        <v>44</v>
      </c>
      <c r="I36" s="193">
        <v>30</v>
      </c>
      <c r="J36" s="125">
        <f>G36*I36</f>
        <v>165000</v>
      </c>
      <c r="K36" s="14"/>
    </row>
    <row r="37" spans="2:11" s="3" customFormat="1" ht="18">
      <c r="B37" s="189" t="s">
        <v>138</v>
      </c>
      <c r="C37" s="190"/>
      <c r="D37" s="190"/>
      <c r="E37" s="311" t="s">
        <v>100</v>
      </c>
      <c r="F37" s="312"/>
      <c r="G37" s="195">
        <f>rdto_variable!$C$2*rdto_variable!E9</f>
        <v>5500</v>
      </c>
      <c r="H37" s="197" t="s">
        <v>44</v>
      </c>
      <c r="I37" s="193">
        <v>50</v>
      </c>
      <c r="J37" s="128">
        <f>G37*I37</f>
        <v>275000</v>
      </c>
      <c r="K37" s="14"/>
    </row>
    <row r="38" spans="2:12" ht="18">
      <c r="B38" s="302" t="s">
        <v>22</v>
      </c>
      <c r="C38" s="303"/>
      <c r="D38" s="303"/>
      <c r="E38" s="303"/>
      <c r="F38" s="303"/>
      <c r="G38" s="303"/>
      <c r="H38" s="303"/>
      <c r="I38" s="303"/>
      <c r="J38" s="103">
        <f>SUM(J33:J37)</f>
        <v>810000</v>
      </c>
      <c r="K38" s="14"/>
      <c r="L38" s="14"/>
    </row>
    <row r="39" spans="2:12" s="3" customFormat="1" ht="18">
      <c r="B39" s="74"/>
      <c r="C39" s="74"/>
      <c r="D39" s="74"/>
      <c r="E39" s="74"/>
      <c r="F39" s="74"/>
      <c r="G39" s="23" t="s">
        <v>57</v>
      </c>
      <c r="H39" s="74"/>
      <c r="I39" s="74"/>
      <c r="J39" s="25"/>
      <c r="K39" s="14"/>
      <c r="L39" s="17"/>
    </row>
    <row r="40" spans="2:12" s="3" customFormat="1" ht="21">
      <c r="B40" s="286" t="s">
        <v>66</v>
      </c>
      <c r="C40" s="287"/>
      <c r="D40" s="287"/>
      <c r="E40" s="218"/>
      <c r="F40" s="218"/>
      <c r="G40" s="93"/>
      <c r="H40" s="94"/>
      <c r="I40" s="95"/>
      <c r="J40" s="96"/>
      <c r="K40" s="14"/>
      <c r="L40" s="22"/>
    </row>
    <row r="41" spans="2:12" s="3" customFormat="1" ht="18">
      <c r="B41" s="181" t="s">
        <v>41</v>
      </c>
      <c r="C41" s="176"/>
      <c r="D41" s="177"/>
      <c r="E41" s="199"/>
      <c r="F41" s="200"/>
      <c r="G41" s="178"/>
      <c r="H41" s="179"/>
      <c r="I41" s="180"/>
      <c r="J41" s="9"/>
      <c r="K41" s="14"/>
      <c r="L41" s="22"/>
    </row>
    <row r="42" spans="2:12" s="3" customFormat="1" ht="18">
      <c r="B42" s="175" t="s">
        <v>157</v>
      </c>
      <c r="C42" s="182"/>
      <c r="D42" s="183"/>
      <c r="E42" s="208" t="s">
        <v>115</v>
      </c>
      <c r="F42" s="209"/>
      <c r="G42" s="184">
        <v>300</v>
      </c>
      <c r="H42" s="173" t="s">
        <v>44</v>
      </c>
      <c r="I42" s="180">
        <v>390</v>
      </c>
      <c r="J42" s="9">
        <f>G42*I42</f>
        <v>117000</v>
      </c>
      <c r="K42" s="14"/>
      <c r="L42" s="22"/>
    </row>
    <row r="43" spans="2:12" s="3" customFormat="1" ht="18">
      <c r="B43" s="175" t="s">
        <v>103</v>
      </c>
      <c r="C43" s="182"/>
      <c r="D43" s="183"/>
      <c r="E43" s="208" t="s">
        <v>104</v>
      </c>
      <c r="F43" s="209"/>
      <c r="G43" s="184">
        <v>200</v>
      </c>
      <c r="H43" s="173" t="s">
        <v>44</v>
      </c>
      <c r="I43" s="180">
        <v>362</v>
      </c>
      <c r="J43" s="9">
        <f>G43*I43</f>
        <v>72400</v>
      </c>
      <c r="K43" s="14"/>
      <c r="L43" s="22"/>
    </row>
    <row r="44" spans="2:12" s="3" customFormat="1" ht="18">
      <c r="B44" s="175" t="s">
        <v>72</v>
      </c>
      <c r="C44" s="182"/>
      <c r="D44" s="183"/>
      <c r="E44" s="208" t="s">
        <v>137</v>
      </c>
      <c r="F44" s="209"/>
      <c r="G44" s="184">
        <v>300</v>
      </c>
      <c r="H44" s="173" t="s">
        <v>44</v>
      </c>
      <c r="I44" s="180">
        <v>362</v>
      </c>
      <c r="J44" s="9">
        <f>G44*I44</f>
        <v>108600</v>
      </c>
      <c r="K44" s="14"/>
      <c r="L44" s="22"/>
    </row>
    <row r="45" spans="2:12" s="3" customFormat="1" ht="18">
      <c r="B45" s="175" t="s">
        <v>141</v>
      </c>
      <c r="C45" s="182"/>
      <c r="D45" s="183"/>
      <c r="E45" s="208" t="s">
        <v>104</v>
      </c>
      <c r="F45" s="209"/>
      <c r="G45" s="184">
        <v>200</v>
      </c>
      <c r="H45" s="173" t="s">
        <v>44</v>
      </c>
      <c r="I45" s="180">
        <v>670</v>
      </c>
      <c r="J45" s="9">
        <f>G45*I45</f>
        <v>134000</v>
      </c>
      <c r="K45" s="14"/>
      <c r="L45" s="22"/>
    </row>
    <row r="46" spans="2:12" s="3" customFormat="1" ht="18">
      <c r="B46" s="198"/>
      <c r="C46" s="199"/>
      <c r="D46" s="200"/>
      <c r="E46" s="208"/>
      <c r="F46" s="209"/>
      <c r="G46" s="184"/>
      <c r="H46" s="173"/>
      <c r="I46" s="180"/>
      <c r="J46" s="9"/>
      <c r="K46" s="14"/>
      <c r="L46" s="22"/>
    </row>
    <row r="47" spans="2:12" s="3" customFormat="1" ht="18">
      <c r="B47" s="185" t="s">
        <v>42</v>
      </c>
      <c r="C47" s="186"/>
      <c r="D47" s="187"/>
      <c r="E47" s="208"/>
      <c r="F47" s="209"/>
      <c r="G47" s="184"/>
      <c r="H47" s="173"/>
      <c r="I47" s="180"/>
      <c r="J47" s="9"/>
      <c r="K47" s="14"/>
      <c r="L47" s="22"/>
    </row>
    <row r="48" spans="2:12" s="3" customFormat="1" ht="18">
      <c r="B48" s="198" t="s">
        <v>126</v>
      </c>
      <c r="C48" s="199"/>
      <c r="D48" s="200"/>
      <c r="E48" s="208" t="s">
        <v>94</v>
      </c>
      <c r="F48" s="209"/>
      <c r="G48" s="184">
        <v>4</v>
      </c>
      <c r="H48" s="173" t="s">
        <v>40</v>
      </c>
      <c r="I48" s="180">
        <v>3721</v>
      </c>
      <c r="J48" s="9">
        <f aca="true" t="shared" si="1" ref="J48:J88">G48*I48</f>
        <v>14884</v>
      </c>
      <c r="K48" s="14"/>
      <c r="L48" s="22"/>
    </row>
    <row r="49" spans="2:12" s="3" customFormat="1" ht="18">
      <c r="B49" s="198" t="s">
        <v>125</v>
      </c>
      <c r="C49" s="204"/>
      <c r="D49" s="205"/>
      <c r="E49" s="208" t="s">
        <v>105</v>
      </c>
      <c r="F49" s="209"/>
      <c r="G49" s="184">
        <v>1</v>
      </c>
      <c r="H49" s="173" t="s">
        <v>40</v>
      </c>
      <c r="I49" s="180">
        <v>63202</v>
      </c>
      <c r="J49" s="9">
        <f t="shared" si="1"/>
        <v>63202</v>
      </c>
      <c r="K49" s="14"/>
      <c r="L49" s="22"/>
    </row>
    <row r="50" spans="2:12" s="3" customFormat="1" ht="18">
      <c r="B50" s="198" t="s">
        <v>106</v>
      </c>
      <c r="C50" s="204"/>
      <c r="D50" s="205"/>
      <c r="E50" s="208" t="s">
        <v>107</v>
      </c>
      <c r="F50" s="209"/>
      <c r="G50" s="184">
        <v>4</v>
      </c>
      <c r="H50" s="173" t="s">
        <v>40</v>
      </c>
      <c r="I50" s="180">
        <v>9152</v>
      </c>
      <c r="J50" s="9">
        <f t="shared" si="1"/>
        <v>36608</v>
      </c>
      <c r="K50" s="14"/>
      <c r="L50" s="22"/>
    </row>
    <row r="51" spans="2:12" s="3" customFormat="1" ht="18">
      <c r="B51" s="198" t="s">
        <v>158</v>
      </c>
      <c r="C51" s="199"/>
      <c r="D51" s="200"/>
      <c r="E51" s="208" t="s">
        <v>115</v>
      </c>
      <c r="F51" s="209"/>
      <c r="G51" s="184">
        <v>2</v>
      </c>
      <c r="H51" s="173" t="s">
        <v>44</v>
      </c>
      <c r="I51" s="180">
        <v>9983</v>
      </c>
      <c r="J51" s="9">
        <f t="shared" si="1"/>
        <v>19966</v>
      </c>
      <c r="K51" s="14"/>
      <c r="L51" s="22"/>
    </row>
    <row r="52" spans="2:12" s="3" customFormat="1" ht="18">
      <c r="B52" s="198" t="s">
        <v>118</v>
      </c>
      <c r="C52" s="199"/>
      <c r="D52" s="200"/>
      <c r="E52" s="208" t="s">
        <v>124</v>
      </c>
      <c r="F52" s="209"/>
      <c r="G52" s="184">
        <v>1</v>
      </c>
      <c r="H52" s="173" t="s">
        <v>44</v>
      </c>
      <c r="I52" s="180">
        <v>120768</v>
      </c>
      <c r="J52" s="9">
        <f t="shared" si="1"/>
        <v>120768</v>
      </c>
      <c r="K52" s="14"/>
      <c r="L52" s="22"/>
    </row>
    <row r="53" spans="2:12" s="3" customFormat="1" ht="18">
      <c r="B53" s="198"/>
      <c r="C53" s="199"/>
      <c r="D53" s="200"/>
      <c r="E53" s="208"/>
      <c r="F53" s="209"/>
      <c r="G53" s="184"/>
      <c r="H53" s="173"/>
      <c r="I53" s="180"/>
      <c r="J53" s="9"/>
      <c r="K53" s="14"/>
      <c r="L53" s="22"/>
    </row>
    <row r="54" spans="2:13" s="3" customFormat="1" ht="18">
      <c r="B54" s="185" t="s">
        <v>43</v>
      </c>
      <c r="C54" s="186"/>
      <c r="D54" s="187"/>
      <c r="E54" s="208"/>
      <c r="F54" s="209"/>
      <c r="G54" s="184"/>
      <c r="H54" s="173"/>
      <c r="I54" s="180"/>
      <c r="J54" s="9"/>
      <c r="K54" s="14"/>
      <c r="L54" s="22"/>
      <c r="M54" s="3" t="s">
        <v>62</v>
      </c>
    </row>
    <row r="55" spans="2:12" s="3" customFormat="1" ht="18">
      <c r="B55" s="198" t="s">
        <v>142</v>
      </c>
      <c r="C55" s="199"/>
      <c r="D55" s="200"/>
      <c r="E55" s="208" t="s">
        <v>122</v>
      </c>
      <c r="F55" s="209"/>
      <c r="G55" s="178">
        <v>35</v>
      </c>
      <c r="H55" s="179" t="s">
        <v>40</v>
      </c>
      <c r="I55" s="180">
        <v>3172</v>
      </c>
      <c r="J55" s="9">
        <f t="shared" si="1"/>
        <v>111020</v>
      </c>
      <c r="K55" s="14"/>
      <c r="L55" s="22"/>
    </row>
    <row r="56" spans="2:12" s="3" customFormat="1" ht="18">
      <c r="B56" s="198" t="s">
        <v>153</v>
      </c>
      <c r="C56" s="206"/>
      <c r="D56" s="207"/>
      <c r="E56" s="208" t="s">
        <v>84</v>
      </c>
      <c r="F56" s="209"/>
      <c r="G56" s="178">
        <v>2</v>
      </c>
      <c r="H56" s="179" t="s">
        <v>40</v>
      </c>
      <c r="I56" s="180">
        <v>7229</v>
      </c>
      <c r="J56" s="9">
        <f t="shared" si="1"/>
        <v>14458</v>
      </c>
      <c r="K56" s="14"/>
      <c r="L56" s="22"/>
    </row>
    <row r="57" spans="2:12" s="3" customFormat="1" ht="18">
      <c r="B57" s="198" t="s">
        <v>154</v>
      </c>
      <c r="C57" s="206"/>
      <c r="D57" s="207"/>
      <c r="E57" s="208" t="s">
        <v>81</v>
      </c>
      <c r="F57" s="209"/>
      <c r="G57" s="178">
        <v>1</v>
      </c>
      <c r="H57" s="179" t="s">
        <v>40</v>
      </c>
      <c r="I57" s="180">
        <v>34500</v>
      </c>
      <c r="J57" s="9">
        <f t="shared" si="1"/>
        <v>34500</v>
      </c>
      <c r="K57" s="14"/>
      <c r="L57" s="22"/>
    </row>
    <row r="58" spans="2:12" s="3" customFormat="1" ht="18">
      <c r="B58" s="198" t="s">
        <v>143</v>
      </c>
      <c r="C58" s="199"/>
      <c r="D58" s="200"/>
      <c r="E58" s="208" t="s">
        <v>144</v>
      </c>
      <c r="F58" s="209"/>
      <c r="G58" s="178">
        <v>0.5</v>
      </c>
      <c r="H58" s="179" t="s">
        <v>44</v>
      </c>
      <c r="I58" s="180">
        <v>208193</v>
      </c>
      <c r="J58" s="9">
        <f t="shared" si="1"/>
        <v>104096.5</v>
      </c>
      <c r="K58" s="14"/>
      <c r="L58" s="22"/>
    </row>
    <row r="59" spans="2:12" s="3" customFormat="1" ht="18">
      <c r="B59" s="198" t="s">
        <v>121</v>
      </c>
      <c r="C59" s="199"/>
      <c r="D59" s="200"/>
      <c r="E59" s="208" t="s">
        <v>145</v>
      </c>
      <c r="F59" s="209"/>
      <c r="G59" s="178">
        <v>1</v>
      </c>
      <c r="H59" s="179" t="s">
        <v>44</v>
      </c>
      <c r="I59" s="180">
        <v>43121</v>
      </c>
      <c r="J59" s="9">
        <f t="shared" si="1"/>
        <v>43121</v>
      </c>
      <c r="K59" s="14"/>
      <c r="L59" s="22"/>
    </row>
    <row r="60" spans="2:12" s="3" customFormat="1" ht="18">
      <c r="B60" s="198"/>
      <c r="C60" s="199"/>
      <c r="D60" s="200"/>
      <c r="E60" s="208"/>
      <c r="F60" s="209"/>
      <c r="G60" s="178"/>
      <c r="H60" s="179"/>
      <c r="I60" s="180"/>
      <c r="J60" s="9"/>
      <c r="K60" s="14"/>
      <c r="L60" s="22"/>
    </row>
    <row r="61" spans="2:12" s="3" customFormat="1" ht="18">
      <c r="B61" s="185" t="s">
        <v>161</v>
      </c>
      <c r="C61" s="199"/>
      <c r="D61" s="200"/>
      <c r="E61" s="208"/>
      <c r="F61" s="209"/>
      <c r="G61" s="178"/>
      <c r="H61" s="179"/>
      <c r="I61" s="180"/>
      <c r="J61" s="9"/>
      <c r="K61" s="14"/>
      <c r="L61" s="22"/>
    </row>
    <row r="62" spans="2:12" s="3" customFormat="1" ht="18">
      <c r="B62" s="198" t="s">
        <v>120</v>
      </c>
      <c r="C62" s="204"/>
      <c r="D62" s="205"/>
      <c r="E62" s="208" t="s">
        <v>84</v>
      </c>
      <c r="F62" s="209"/>
      <c r="G62" s="178">
        <v>2</v>
      </c>
      <c r="H62" s="179" t="s">
        <v>40</v>
      </c>
      <c r="I62" s="180">
        <v>12040</v>
      </c>
      <c r="J62" s="9">
        <f t="shared" si="1"/>
        <v>24080</v>
      </c>
      <c r="K62" s="14"/>
      <c r="L62" s="22"/>
    </row>
    <row r="63" spans="2:12" s="3" customFormat="1" ht="18">
      <c r="B63" s="198" t="s">
        <v>146</v>
      </c>
      <c r="C63" s="199"/>
      <c r="D63" s="200"/>
      <c r="E63" s="208" t="s">
        <v>123</v>
      </c>
      <c r="F63" s="209"/>
      <c r="G63" s="178">
        <v>3</v>
      </c>
      <c r="H63" s="179" t="s">
        <v>40</v>
      </c>
      <c r="I63" s="180">
        <v>6327</v>
      </c>
      <c r="J63" s="9">
        <f t="shared" si="1"/>
        <v>18981</v>
      </c>
      <c r="K63" s="14"/>
      <c r="L63" s="22"/>
    </row>
    <row r="64" spans="2:12" s="3" customFormat="1" ht="18">
      <c r="B64" s="185"/>
      <c r="C64" s="199"/>
      <c r="D64" s="200"/>
      <c r="E64" s="208"/>
      <c r="F64" s="209"/>
      <c r="G64" s="178"/>
      <c r="H64" s="179"/>
      <c r="I64" s="180"/>
      <c r="J64" s="9"/>
      <c r="K64" s="14"/>
      <c r="L64" s="22"/>
    </row>
    <row r="65" spans="2:12" s="3" customFormat="1" ht="18">
      <c r="B65" s="185" t="s">
        <v>162</v>
      </c>
      <c r="C65" s="199"/>
      <c r="D65" s="200"/>
      <c r="E65" s="208"/>
      <c r="F65" s="209"/>
      <c r="G65" s="178"/>
      <c r="H65" s="179"/>
      <c r="I65" s="180"/>
      <c r="J65" s="9"/>
      <c r="K65" s="14"/>
      <c r="L65" s="22"/>
    </row>
    <row r="66" spans="2:12" s="3" customFormat="1" ht="18">
      <c r="B66" s="198" t="s">
        <v>117</v>
      </c>
      <c r="C66" s="199"/>
      <c r="D66" s="200"/>
      <c r="E66" s="208" t="s">
        <v>100</v>
      </c>
      <c r="F66" s="209"/>
      <c r="G66" s="178">
        <v>2</v>
      </c>
      <c r="H66" s="179" t="s">
        <v>40</v>
      </c>
      <c r="I66" s="180">
        <v>18500</v>
      </c>
      <c r="J66" s="9">
        <f t="shared" si="1"/>
        <v>37000</v>
      </c>
      <c r="K66" s="14"/>
      <c r="L66" s="22"/>
    </row>
    <row r="67" spans="2:12" s="3" customFormat="1" ht="18">
      <c r="B67" s="198"/>
      <c r="C67" s="199"/>
      <c r="D67" s="200"/>
      <c r="E67" s="208"/>
      <c r="F67" s="209"/>
      <c r="G67" s="178"/>
      <c r="H67" s="179"/>
      <c r="I67" s="180"/>
      <c r="J67" s="9"/>
      <c r="K67" s="14"/>
      <c r="L67" s="22"/>
    </row>
    <row r="68" spans="2:12" s="3" customFormat="1" ht="18">
      <c r="B68" s="185" t="s">
        <v>163</v>
      </c>
      <c r="C68" s="199"/>
      <c r="D68" s="200"/>
      <c r="E68" s="208"/>
      <c r="F68" s="209"/>
      <c r="G68" s="178"/>
      <c r="H68" s="179"/>
      <c r="I68" s="180"/>
      <c r="J68" s="9"/>
      <c r="K68" s="14"/>
      <c r="L68" s="22"/>
    </row>
    <row r="69" spans="2:12" s="3" customFormat="1" ht="18">
      <c r="B69" s="198" t="s">
        <v>110</v>
      </c>
      <c r="C69" s="199"/>
      <c r="D69" s="200"/>
      <c r="E69" s="208" t="s">
        <v>100</v>
      </c>
      <c r="F69" s="209"/>
      <c r="G69" s="178">
        <v>3</v>
      </c>
      <c r="H69" s="179" t="s">
        <v>44</v>
      </c>
      <c r="I69" s="180">
        <v>46692</v>
      </c>
      <c r="J69" s="9">
        <f t="shared" si="1"/>
        <v>140076</v>
      </c>
      <c r="K69" s="14"/>
      <c r="L69" s="22"/>
    </row>
    <row r="70" spans="2:12" s="3" customFormat="1" ht="18">
      <c r="B70" s="198"/>
      <c r="C70" s="199"/>
      <c r="D70" s="200"/>
      <c r="E70" s="208"/>
      <c r="F70" s="209"/>
      <c r="G70" s="178"/>
      <c r="H70" s="179"/>
      <c r="I70" s="180"/>
      <c r="J70" s="9"/>
      <c r="K70" s="14"/>
      <c r="L70" s="22"/>
    </row>
    <row r="71" spans="2:12" s="3" customFormat="1" ht="18">
      <c r="B71" s="185" t="s">
        <v>164</v>
      </c>
      <c r="C71" s="186"/>
      <c r="D71" s="200"/>
      <c r="E71" s="208"/>
      <c r="F71" s="209"/>
      <c r="G71" s="178"/>
      <c r="H71" s="179"/>
      <c r="I71" s="180"/>
      <c r="J71" s="9"/>
      <c r="K71" s="14"/>
      <c r="L71" s="22"/>
    </row>
    <row r="72" spans="2:12" s="3" customFormat="1" ht="18">
      <c r="B72" s="198" t="s">
        <v>149</v>
      </c>
      <c r="C72" s="199"/>
      <c r="D72" s="200"/>
      <c r="E72" s="208" t="s">
        <v>137</v>
      </c>
      <c r="F72" s="209"/>
      <c r="G72" s="178">
        <v>30</v>
      </c>
      <c r="H72" s="179" t="s">
        <v>40</v>
      </c>
      <c r="I72" s="180">
        <v>5507</v>
      </c>
      <c r="J72" s="9">
        <f t="shared" si="1"/>
        <v>165210</v>
      </c>
      <c r="K72" s="14"/>
      <c r="L72" s="22"/>
    </row>
    <row r="73" spans="2:12" s="3" customFormat="1" ht="18">
      <c r="B73" s="198"/>
      <c r="C73" s="199"/>
      <c r="D73" s="200"/>
      <c r="E73" s="208"/>
      <c r="F73" s="209"/>
      <c r="G73" s="178"/>
      <c r="H73" s="179"/>
      <c r="I73" s="180"/>
      <c r="J73" s="9"/>
      <c r="K73" s="14"/>
      <c r="L73" s="22"/>
    </row>
    <row r="74" spans="2:12" s="3" customFormat="1" ht="18">
      <c r="B74" s="185" t="s">
        <v>70</v>
      </c>
      <c r="C74" s="199"/>
      <c r="D74" s="200"/>
      <c r="E74" s="208"/>
      <c r="F74" s="209"/>
      <c r="G74" s="178"/>
      <c r="H74" s="179"/>
      <c r="I74" s="180"/>
      <c r="J74" s="9"/>
      <c r="K74" s="14"/>
      <c r="L74" s="22"/>
    </row>
    <row r="75" spans="2:12" s="3" customFormat="1" ht="18">
      <c r="B75" s="198" t="s">
        <v>108</v>
      </c>
      <c r="C75" s="204"/>
      <c r="D75" s="205"/>
      <c r="E75" s="208" t="s">
        <v>82</v>
      </c>
      <c r="F75" s="209"/>
      <c r="G75" s="178">
        <v>8</v>
      </c>
      <c r="H75" s="179" t="s">
        <v>40</v>
      </c>
      <c r="I75" s="180">
        <v>9615</v>
      </c>
      <c r="J75" s="9">
        <f t="shared" si="1"/>
        <v>76920</v>
      </c>
      <c r="K75" s="14"/>
      <c r="L75" s="22"/>
    </row>
    <row r="76" spans="2:12" s="3" customFormat="1" ht="18">
      <c r="B76" s="198" t="s">
        <v>155</v>
      </c>
      <c r="C76" s="204"/>
      <c r="D76" s="205"/>
      <c r="E76" s="208" t="s">
        <v>93</v>
      </c>
      <c r="F76" s="209"/>
      <c r="G76" s="178">
        <v>10</v>
      </c>
      <c r="H76" s="179" t="s">
        <v>40</v>
      </c>
      <c r="I76" s="180">
        <v>8725</v>
      </c>
      <c r="J76" s="9">
        <f t="shared" si="1"/>
        <v>87250</v>
      </c>
      <c r="K76" s="14"/>
      <c r="L76" s="22"/>
    </row>
    <row r="77" spans="2:12" s="3" customFormat="1" ht="18">
      <c r="B77" s="198" t="s">
        <v>109</v>
      </c>
      <c r="C77" s="204"/>
      <c r="D77" s="205"/>
      <c r="E77" s="208" t="s">
        <v>82</v>
      </c>
      <c r="F77" s="209"/>
      <c r="G77" s="178">
        <v>3</v>
      </c>
      <c r="H77" s="179" t="s">
        <v>40</v>
      </c>
      <c r="I77" s="180">
        <v>5500</v>
      </c>
      <c r="J77" s="9">
        <f t="shared" si="1"/>
        <v>16500</v>
      </c>
      <c r="K77" s="14"/>
      <c r="L77" s="22"/>
    </row>
    <row r="78" spans="2:12" s="3" customFormat="1" ht="18">
      <c r="B78" s="175" t="s">
        <v>148</v>
      </c>
      <c r="C78" s="182"/>
      <c r="D78" s="183"/>
      <c r="E78" s="208" t="s">
        <v>82</v>
      </c>
      <c r="F78" s="209"/>
      <c r="G78" s="178">
        <v>3</v>
      </c>
      <c r="H78" s="179" t="s">
        <v>40</v>
      </c>
      <c r="I78" s="180">
        <v>4755</v>
      </c>
      <c r="J78" s="9">
        <f t="shared" si="1"/>
        <v>14265</v>
      </c>
      <c r="K78" s="14"/>
      <c r="L78" s="22"/>
    </row>
    <row r="79" spans="2:12" s="3" customFormat="1" ht="18">
      <c r="B79" s="175"/>
      <c r="C79" s="182"/>
      <c r="D79" s="183"/>
      <c r="E79" s="208"/>
      <c r="F79" s="209"/>
      <c r="G79" s="178"/>
      <c r="H79" s="179"/>
      <c r="I79" s="180"/>
      <c r="J79" s="9"/>
      <c r="K79" s="14"/>
      <c r="L79" s="22"/>
    </row>
    <row r="80" spans="2:12" s="3" customFormat="1" ht="18">
      <c r="B80" s="181" t="s">
        <v>71</v>
      </c>
      <c r="C80" s="182"/>
      <c r="D80" s="183"/>
      <c r="E80" s="208"/>
      <c r="F80" s="209"/>
      <c r="G80" s="178"/>
      <c r="H80" s="179"/>
      <c r="I80" s="180"/>
      <c r="J80" s="9"/>
      <c r="K80" s="14"/>
      <c r="L80" s="22"/>
    </row>
    <row r="81" spans="2:12" s="3" customFormat="1" ht="18">
      <c r="B81" s="175" t="s">
        <v>73</v>
      </c>
      <c r="C81" s="182"/>
      <c r="D81" s="183"/>
      <c r="E81" s="208" t="s">
        <v>152</v>
      </c>
      <c r="F81" s="209"/>
      <c r="G81" s="178">
        <v>4</v>
      </c>
      <c r="H81" s="179" t="s">
        <v>83</v>
      </c>
      <c r="I81" s="180">
        <v>60000</v>
      </c>
      <c r="J81" s="9">
        <f t="shared" si="1"/>
        <v>240000</v>
      </c>
      <c r="K81" s="14"/>
      <c r="L81" s="22"/>
    </row>
    <row r="82" spans="2:12" s="3" customFormat="1" ht="18">
      <c r="B82" s="175" t="s">
        <v>119</v>
      </c>
      <c r="C82" s="182"/>
      <c r="D82" s="183"/>
      <c r="E82" s="208" t="s">
        <v>115</v>
      </c>
      <c r="F82" s="209"/>
      <c r="G82" s="178">
        <v>3</v>
      </c>
      <c r="H82" s="179" t="s">
        <v>83</v>
      </c>
      <c r="I82" s="188">
        <v>35000</v>
      </c>
      <c r="J82" s="9">
        <f t="shared" si="1"/>
        <v>105000</v>
      </c>
      <c r="K82" s="14"/>
      <c r="L82" s="22"/>
    </row>
    <row r="83" spans="2:12" s="3" customFormat="1" ht="18">
      <c r="B83" s="175" t="s">
        <v>111</v>
      </c>
      <c r="C83" s="182"/>
      <c r="D83" s="183"/>
      <c r="E83" s="208" t="s">
        <v>63</v>
      </c>
      <c r="F83" s="209"/>
      <c r="G83" s="178">
        <v>1</v>
      </c>
      <c r="H83" s="179" t="s">
        <v>112</v>
      </c>
      <c r="I83" s="188">
        <v>400000</v>
      </c>
      <c r="J83" s="9">
        <f t="shared" si="1"/>
        <v>400000</v>
      </c>
      <c r="K83" s="14"/>
      <c r="L83" s="22"/>
    </row>
    <row r="84" spans="2:12" s="3" customFormat="1" ht="18">
      <c r="B84" s="175" t="s">
        <v>113</v>
      </c>
      <c r="C84" s="182"/>
      <c r="D84" s="183"/>
      <c r="E84" s="208" t="s">
        <v>114</v>
      </c>
      <c r="F84" s="209"/>
      <c r="G84" s="178">
        <v>3</v>
      </c>
      <c r="H84" s="179" t="s">
        <v>56</v>
      </c>
      <c r="I84" s="188">
        <v>60000</v>
      </c>
      <c r="J84" s="9">
        <f t="shared" si="1"/>
        <v>180000</v>
      </c>
      <c r="K84" s="14"/>
      <c r="L84" s="22"/>
    </row>
    <row r="85" spans="2:12" s="3" customFormat="1" ht="18">
      <c r="B85" s="175" t="s">
        <v>156</v>
      </c>
      <c r="C85" s="182"/>
      <c r="D85" s="183"/>
      <c r="E85" s="208" t="s">
        <v>63</v>
      </c>
      <c r="F85" s="209"/>
      <c r="G85" s="178">
        <v>1</v>
      </c>
      <c r="H85" s="179" t="s">
        <v>56</v>
      </c>
      <c r="I85" s="188">
        <v>30000</v>
      </c>
      <c r="J85" s="9">
        <f t="shared" si="1"/>
        <v>30000</v>
      </c>
      <c r="K85" s="14"/>
      <c r="L85" s="22"/>
    </row>
    <row r="86" spans="2:12" s="3" customFormat="1" ht="18">
      <c r="B86" s="175" t="s">
        <v>116</v>
      </c>
      <c r="C86" s="182"/>
      <c r="D86" s="183"/>
      <c r="E86" s="208" t="s">
        <v>97</v>
      </c>
      <c r="F86" s="209"/>
      <c r="G86" s="178">
        <v>4</v>
      </c>
      <c r="H86" s="179" t="s">
        <v>40</v>
      </c>
      <c r="I86" s="180">
        <v>15500</v>
      </c>
      <c r="J86" s="9">
        <f t="shared" si="1"/>
        <v>62000</v>
      </c>
      <c r="K86" s="14"/>
      <c r="L86" s="22"/>
    </row>
    <row r="87" spans="2:12" s="3" customFormat="1" ht="21">
      <c r="B87" s="175" t="s">
        <v>159</v>
      </c>
      <c r="C87" s="182"/>
      <c r="D87" s="183"/>
      <c r="E87" s="208" t="s">
        <v>115</v>
      </c>
      <c r="F87" s="209"/>
      <c r="G87" s="178">
        <v>1</v>
      </c>
      <c r="H87" s="179" t="s">
        <v>83</v>
      </c>
      <c r="I87" s="180">
        <v>28000</v>
      </c>
      <c r="J87" s="9">
        <f t="shared" si="1"/>
        <v>28000</v>
      </c>
      <c r="K87" s="14"/>
      <c r="L87" s="22"/>
    </row>
    <row r="88" spans="2:12" s="3" customFormat="1" ht="21">
      <c r="B88" s="201" t="s">
        <v>147</v>
      </c>
      <c r="C88" s="202"/>
      <c r="D88" s="203"/>
      <c r="E88" s="208" t="s">
        <v>90</v>
      </c>
      <c r="F88" s="209"/>
      <c r="G88" s="178">
        <v>1</v>
      </c>
      <c r="H88" s="179" t="s">
        <v>64</v>
      </c>
      <c r="I88" s="180">
        <v>25000</v>
      </c>
      <c r="J88" s="9">
        <f t="shared" si="1"/>
        <v>25000</v>
      </c>
      <c r="K88" s="14"/>
      <c r="L88" s="22"/>
    </row>
    <row r="89" spans="2:14" ht="18">
      <c r="B89" s="216" t="s">
        <v>23</v>
      </c>
      <c r="C89" s="217"/>
      <c r="D89" s="217"/>
      <c r="E89" s="217"/>
      <c r="F89" s="217"/>
      <c r="G89" s="217"/>
      <c r="H89" s="217"/>
      <c r="I89" s="217"/>
      <c r="J89" s="106">
        <f>SUM(J41:J88)</f>
        <v>2644905.5</v>
      </c>
      <c r="K89" s="14"/>
      <c r="M89" s="14"/>
      <c r="N89" s="14"/>
    </row>
    <row r="90" spans="2:14" s="3" customFormat="1" ht="18">
      <c r="B90" s="27"/>
      <c r="C90" s="27"/>
      <c r="D90" s="27"/>
      <c r="E90" s="27"/>
      <c r="F90" s="27"/>
      <c r="G90" s="28"/>
      <c r="H90" s="27"/>
      <c r="I90" s="27"/>
      <c r="J90" s="29"/>
      <c r="K90" s="14"/>
      <c r="M90" s="14"/>
      <c r="N90" s="14"/>
    </row>
    <row r="91" spans="2:16" ht="18">
      <c r="B91" s="210" t="s">
        <v>24</v>
      </c>
      <c r="C91" s="211"/>
      <c r="D91" s="211"/>
      <c r="E91" s="211"/>
      <c r="F91" s="211"/>
      <c r="G91" s="211"/>
      <c r="H91" s="211"/>
      <c r="I91" s="211"/>
      <c r="J91" s="81">
        <f>total_mano_obra+total_maquinaria+total_insumos</f>
        <v>7395305.5</v>
      </c>
      <c r="K91" s="14"/>
      <c r="M91" s="14"/>
      <c r="N91" s="14"/>
      <c r="O91" s="8"/>
      <c r="P91" s="8"/>
    </row>
    <row r="92" spans="2:14" s="3" customFormat="1" ht="18">
      <c r="B92" s="75"/>
      <c r="C92" s="75"/>
      <c r="D92" s="75"/>
      <c r="E92" s="75"/>
      <c r="F92" s="75"/>
      <c r="G92" s="30"/>
      <c r="H92" s="75"/>
      <c r="I92" s="75"/>
      <c r="J92" s="25"/>
      <c r="K92" s="14"/>
      <c r="M92" s="14"/>
      <c r="N92" s="14"/>
    </row>
    <row r="93" spans="2:14" s="3" customFormat="1" ht="18">
      <c r="B93" s="131" t="s">
        <v>54</v>
      </c>
      <c r="C93" s="132"/>
      <c r="D93" s="133"/>
      <c r="E93" s="212" t="s">
        <v>63</v>
      </c>
      <c r="F93" s="212"/>
      <c r="G93" s="134">
        <v>0.05</v>
      </c>
      <c r="H93" s="135" t="s">
        <v>1</v>
      </c>
      <c r="I93" s="136"/>
      <c r="J93" s="136">
        <f>total_costos_directos*G93</f>
        <v>369765.275</v>
      </c>
      <c r="K93" s="14"/>
      <c r="M93" s="14"/>
      <c r="N93" s="14"/>
    </row>
    <row r="94" spans="2:14" s="3" customFormat="1" ht="18">
      <c r="B94" s="108"/>
      <c r="C94" s="108"/>
      <c r="D94" s="108"/>
      <c r="E94" s="108"/>
      <c r="F94" s="108"/>
      <c r="G94" s="30"/>
      <c r="H94" s="108"/>
      <c r="I94" s="108"/>
      <c r="J94" s="25"/>
      <c r="K94" s="14"/>
      <c r="M94" s="14"/>
      <c r="N94" s="14"/>
    </row>
    <row r="95" spans="2:14" s="3" customFormat="1" ht="20.25">
      <c r="B95" s="102" t="s">
        <v>53</v>
      </c>
      <c r="C95" s="101"/>
      <c r="D95" s="101"/>
      <c r="E95" s="18"/>
      <c r="F95" s="18"/>
      <c r="G95" s="19"/>
      <c r="H95" s="20"/>
      <c r="I95" s="21"/>
      <c r="J95" s="21"/>
      <c r="K95" s="14"/>
      <c r="M95" s="14"/>
      <c r="N95" s="14"/>
    </row>
    <row r="96" spans="2:14" s="3" customFormat="1" ht="18">
      <c r="B96" s="232" t="s">
        <v>52</v>
      </c>
      <c r="C96" s="218"/>
      <c r="D96" s="218"/>
      <c r="E96" s="218" t="s">
        <v>15</v>
      </c>
      <c r="F96" s="218"/>
      <c r="G96" s="93" t="s">
        <v>16</v>
      </c>
      <c r="H96" s="94" t="s">
        <v>17</v>
      </c>
      <c r="I96" s="95" t="s">
        <v>18</v>
      </c>
      <c r="J96" s="96" t="s">
        <v>3</v>
      </c>
      <c r="K96" s="14"/>
      <c r="M96" s="14"/>
      <c r="N96" s="14"/>
    </row>
    <row r="97" spans="2:15" s="3" customFormat="1" ht="21">
      <c r="B97" s="239" t="s">
        <v>67</v>
      </c>
      <c r="C97" s="240"/>
      <c r="D97" s="241"/>
      <c r="E97" s="248" t="s">
        <v>63</v>
      </c>
      <c r="F97" s="249"/>
      <c r="G97" s="104">
        <f>E16</f>
        <v>0.015</v>
      </c>
      <c r="H97" s="7" t="s">
        <v>1</v>
      </c>
      <c r="I97" s="105"/>
      <c r="J97" s="9">
        <f>total_costos_directos*tasa_interes_mensual*meses_financiamiento*0.5</f>
        <v>665577.4949999999</v>
      </c>
      <c r="K97" s="14"/>
      <c r="L97" s="240"/>
      <c r="M97" s="240"/>
      <c r="N97" s="240"/>
      <c r="O97" s="240"/>
    </row>
    <row r="98" spans="2:14" s="3" customFormat="1" ht="18">
      <c r="B98" s="239" t="s">
        <v>26</v>
      </c>
      <c r="C98" s="240"/>
      <c r="D98" s="241"/>
      <c r="E98" s="219"/>
      <c r="F98" s="220"/>
      <c r="G98" s="82"/>
      <c r="H98" s="82"/>
      <c r="I98" s="82"/>
      <c r="J98" s="84"/>
      <c r="K98" s="14"/>
      <c r="M98" s="14"/>
      <c r="N98" s="14"/>
    </row>
    <row r="99" spans="2:14" s="3" customFormat="1" ht="18">
      <c r="B99" s="239" t="s">
        <v>2</v>
      </c>
      <c r="C99" s="240"/>
      <c r="D99" s="241"/>
      <c r="E99" s="219"/>
      <c r="F99" s="220"/>
      <c r="G99" s="82"/>
      <c r="H99" s="82"/>
      <c r="I99" s="82"/>
      <c r="J99" s="84"/>
      <c r="K99" s="14"/>
      <c r="M99" s="14"/>
      <c r="N99" s="14"/>
    </row>
    <row r="100" spans="2:14" s="3" customFormat="1" ht="18">
      <c r="B100" s="245" t="s">
        <v>27</v>
      </c>
      <c r="C100" s="246"/>
      <c r="D100" s="247"/>
      <c r="E100" s="273"/>
      <c r="F100" s="274"/>
      <c r="G100" s="83"/>
      <c r="H100" s="83"/>
      <c r="I100" s="83"/>
      <c r="J100" s="85"/>
      <c r="K100" s="14"/>
      <c r="M100" s="14"/>
      <c r="N100" s="14"/>
    </row>
    <row r="101" spans="2:14" ht="18">
      <c r="B101" s="235" t="s">
        <v>49</v>
      </c>
      <c r="C101" s="236"/>
      <c r="D101" s="236"/>
      <c r="E101" s="236"/>
      <c r="F101" s="236"/>
      <c r="G101" s="236"/>
      <c r="H101" s="236"/>
      <c r="I101" s="236"/>
      <c r="J101" s="103">
        <f>SUM(J97:J100)</f>
        <v>665577.4949999999</v>
      </c>
      <c r="K101" s="14"/>
      <c r="M101" s="14"/>
      <c r="N101" s="14"/>
    </row>
    <row r="102" spans="2:12" s="3" customFormat="1" ht="18" customHeight="1">
      <c r="B102" s="74"/>
      <c r="C102" s="74"/>
      <c r="D102" s="74"/>
      <c r="E102" s="74"/>
      <c r="F102" s="74"/>
      <c r="G102" s="23"/>
      <c r="H102" s="74"/>
      <c r="I102" s="74"/>
      <c r="J102" s="25"/>
      <c r="K102" s="14"/>
      <c r="L102" s="14"/>
    </row>
    <row r="103" spans="2:12" ht="18" customHeight="1">
      <c r="B103" s="233" t="s">
        <v>28</v>
      </c>
      <c r="C103" s="234"/>
      <c r="D103" s="234"/>
      <c r="E103" s="234"/>
      <c r="F103" s="234"/>
      <c r="G103" s="234"/>
      <c r="H103" s="234"/>
      <c r="I103" s="234"/>
      <c r="J103" s="261">
        <f>total_costos_directos+imprevistos+total_costos_indirectos</f>
        <v>8430648.27</v>
      </c>
      <c r="K103" s="14"/>
      <c r="L103" s="14"/>
    </row>
    <row r="104" spans="2:12" s="3" customFormat="1" ht="18" customHeight="1">
      <c r="B104" s="235"/>
      <c r="C104" s="236"/>
      <c r="D104" s="236"/>
      <c r="E104" s="236"/>
      <c r="F104" s="236"/>
      <c r="G104" s="236"/>
      <c r="H104" s="236"/>
      <c r="I104" s="236"/>
      <c r="J104" s="262"/>
      <c r="K104" s="14"/>
      <c r="L104" s="14"/>
    </row>
    <row r="105" spans="2:12" s="3" customFormat="1" ht="18" customHeight="1">
      <c r="B105" s="27"/>
      <c r="C105" s="27"/>
      <c r="D105" s="27"/>
      <c r="E105" s="27"/>
      <c r="F105" s="27"/>
      <c r="G105" s="28"/>
      <c r="H105" s="27"/>
      <c r="I105" s="27"/>
      <c r="J105" s="29"/>
      <c r="K105" s="14"/>
      <c r="L105" s="14"/>
    </row>
    <row r="106" spans="2:12" s="3" customFormat="1" ht="18" customHeight="1">
      <c r="B106" s="74"/>
      <c r="C106" s="74"/>
      <c r="D106" s="74"/>
      <c r="E106" s="74"/>
      <c r="F106" s="74"/>
      <c r="G106" s="23"/>
      <c r="H106" s="74"/>
      <c r="I106" s="74"/>
      <c r="J106" s="25"/>
      <c r="K106" s="14"/>
      <c r="L106" s="14"/>
    </row>
    <row r="107" spans="2:12" s="3" customFormat="1" ht="18" customHeight="1">
      <c r="B107" s="74"/>
      <c r="C107" s="74"/>
      <c r="D107" s="74"/>
      <c r="E107" s="74"/>
      <c r="F107" s="74"/>
      <c r="G107" s="23"/>
      <c r="H107" s="74"/>
      <c r="I107" s="74"/>
      <c r="J107" s="25"/>
      <c r="K107" s="14"/>
      <c r="L107" s="14"/>
    </row>
    <row r="108" spans="2:12" ht="18" customHeight="1">
      <c r="B108" s="263" t="s">
        <v>68</v>
      </c>
      <c r="C108" s="264"/>
      <c r="D108" s="264"/>
      <c r="E108" s="264"/>
      <c r="F108" s="264"/>
      <c r="G108" s="264"/>
      <c r="H108" s="264"/>
      <c r="I108" s="264"/>
      <c r="J108" s="265"/>
      <c r="K108" s="14"/>
      <c r="L108" s="22"/>
    </row>
    <row r="109" spans="2:12" ht="18" customHeight="1">
      <c r="B109" s="266" t="s">
        <v>34</v>
      </c>
      <c r="C109" s="267"/>
      <c r="D109" s="267"/>
      <c r="E109" s="267"/>
      <c r="F109" s="267"/>
      <c r="G109" s="267"/>
      <c r="H109" s="267"/>
      <c r="I109" s="267"/>
      <c r="J109" s="268"/>
      <c r="K109" s="14"/>
      <c r="L109" s="22"/>
    </row>
    <row r="110" spans="2:12" s="3" customFormat="1" ht="18" customHeight="1">
      <c r="B110" s="237" t="s">
        <v>60</v>
      </c>
      <c r="C110" s="237"/>
      <c r="D110" s="237"/>
      <c r="E110" s="275" t="s">
        <v>59</v>
      </c>
      <c r="F110" s="276"/>
      <c r="G110" s="276"/>
      <c r="H110" s="276"/>
      <c r="I110" s="276"/>
      <c r="J110" s="277"/>
      <c r="K110" s="14"/>
      <c r="L110" s="22"/>
    </row>
    <row r="111" spans="2:12" s="3" customFormat="1" ht="18" customHeight="1">
      <c r="B111" s="237"/>
      <c r="C111" s="237"/>
      <c r="D111" s="237"/>
      <c r="E111" s="242">
        <f>G111*0.9</f>
        <v>2070</v>
      </c>
      <c r="F111" s="242"/>
      <c r="G111" s="226">
        <f>precio_de_venta</f>
        <v>2300</v>
      </c>
      <c r="H111" s="226"/>
      <c r="I111" s="242">
        <f>G111*1.1</f>
        <v>2530</v>
      </c>
      <c r="J111" s="242"/>
      <c r="K111" s="14"/>
      <c r="L111" s="22"/>
    </row>
    <row r="112" spans="2:12" s="3" customFormat="1" ht="18" customHeight="1">
      <c r="B112" s="242">
        <f>rendimiento*0.9</f>
        <v>4950</v>
      </c>
      <c r="C112" s="242"/>
      <c r="D112" s="242"/>
      <c r="E112" s="213">
        <f>E$111*$B$112-rdto_variable!$C$44</f>
        <v>2116811.7299999995</v>
      </c>
      <c r="F112" s="213"/>
      <c r="G112" s="213">
        <f>G$111*$B$112-rdto_variable!$C$44</f>
        <v>3255311.7299999995</v>
      </c>
      <c r="H112" s="213"/>
      <c r="I112" s="213">
        <f>I$111*$B$112-rdto_variable!$C$44</f>
        <v>4393811.7299999995</v>
      </c>
      <c r="J112" s="213"/>
      <c r="K112" s="14"/>
      <c r="L112" s="22"/>
    </row>
    <row r="113" spans="2:12" s="3" customFormat="1" ht="18" customHeight="1">
      <c r="B113" s="242">
        <f>rendimiento</f>
        <v>5500</v>
      </c>
      <c r="C113" s="242"/>
      <c r="D113" s="242"/>
      <c r="E113" s="213">
        <f>E$111*$B$113-total_costos</f>
        <v>2954351.7300000004</v>
      </c>
      <c r="F113" s="213"/>
      <c r="G113" s="213">
        <f>G$111*$B$113-total_costos</f>
        <v>4219351.73</v>
      </c>
      <c r="H113" s="213"/>
      <c r="I113" s="213">
        <f>I$111*$B$113-total_costos</f>
        <v>5484351.73</v>
      </c>
      <c r="J113" s="213"/>
      <c r="K113" s="14"/>
      <c r="L113" s="22"/>
    </row>
    <row r="114" spans="2:12" s="3" customFormat="1" ht="18" customHeight="1">
      <c r="B114" s="242">
        <f>rendimiento*1.1</f>
        <v>6050.000000000001</v>
      </c>
      <c r="C114" s="242"/>
      <c r="D114" s="242"/>
      <c r="E114" s="213">
        <f>E$111*$B$114-rdto_variable!$D$44</f>
        <v>3791891.7300000023</v>
      </c>
      <c r="F114" s="213"/>
      <c r="G114" s="213">
        <f>G$111*$B$114-rdto_variable!$D$44</f>
        <v>5183391.730000002</v>
      </c>
      <c r="H114" s="213"/>
      <c r="I114" s="213">
        <f>I$111*$B$114-rdto_variable!$D$44</f>
        <v>6574891.730000002</v>
      </c>
      <c r="J114" s="213"/>
      <c r="K114" s="14"/>
      <c r="L114" s="22"/>
    </row>
    <row r="115" spans="2:12" s="3" customFormat="1" ht="18" customHeight="1">
      <c r="B115" s="31"/>
      <c r="C115" s="31"/>
      <c r="D115" s="32"/>
      <c r="E115" s="32"/>
      <c r="F115" s="32"/>
      <c r="G115" s="33"/>
      <c r="H115" s="10"/>
      <c r="I115" s="13"/>
      <c r="J115" s="13"/>
      <c r="K115" s="14"/>
      <c r="L115" s="22"/>
    </row>
    <row r="116" spans="2:12" s="3" customFormat="1" ht="18" customHeight="1">
      <c r="B116" s="255" t="s">
        <v>69</v>
      </c>
      <c r="C116" s="256"/>
      <c r="D116" s="256"/>
      <c r="E116" s="256"/>
      <c r="F116" s="256"/>
      <c r="G116" s="256"/>
      <c r="H116" s="256"/>
      <c r="I116" s="256"/>
      <c r="J116" s="257"/>
      <c r="K116" s="14"/>
      <c r="L116" s="22"/>
    </row>
    <row r="117" spans="2:12" s="3" customFormat="1" ht="18" customHeight="1">
      <c r="B117" s="258"/>
      <c r="C117" s="259"/>
      <c r="D117" s="259"/>
      <c r="E117" s="259"/>
      <c r="F117" s="259"/>
      <c r="G117" s="259"/>
      <c r="H117" s="259"/>
      <c r="I117" s="259"/>
      <c r="J117" s="260"/>
      <c r="K117" s="14"/>
      <c r="L117" s="22"/>
    </row>
    <row r="118" spans="2:12" s="3" customFormat="1" ht="18" customHeight="1">
      <c r="B118" s="227" t="s">
        <v>60</v>
      </c>
      <c r="C118" s="214"/>
      <c r="D118" s="214"/>
      <c r="E118" s="214">
        <f>B112</f>
        <v>4950</v>
      </c>
      <c r="F118" s="214"/>
      <c r="G118" s="214">
        <f>B113</f>
        <v>5500</v>
      </c>
      <c r="H118" s="214"/>
      <c r="I118" s="214">
        <f>B114</f>
        <v>6050.000000000001</v>
      </c>
      <c r="J118" s="224"/>
      <c r="K118" s="14"/>
      <c r="L118" s="22"/>
    </row>
    <row r="119" spans="2:12" ht="18" customHeight="1">
      <c r="B119" s="228"/>
      <c r="C119" s="215"/>
      <c r="D119" s="215"/>
      <c r="E119" s="215"/>
      <c r="F119" s="215"/>
      <c r="G119" s="215"/>
      <c r="H119" s="215"/>
      <c r="I119" s="215"/>
      <c r="J119" s="225"/>
      <c r="K119" s="14"/>
      <c r="L119" s="22"/>
    </row>
    <row r="120" spans="2:12" ht="18" customHeight="1">
      <c r="B120" s="269" t="s">
        <v>61</v>
      </c>
      <c r="C120" s="270"/>
      <c r="D120" s="270"/>
      <c r="E120" s="243">
        <f>rdto_variable!C44/especie!E118</f>
        <v>1642.3612666666668</v>
      </c>
      <c r="F120" s="243"/>
      <c r="G120" s="244">
        <f>total_costos/$G$118</f>
        <v>1532.84514</v>
      </c>
      <c r="H120" s="244"/>
      <c r="I120" s="243">
        <f>rdto_variable!D44/especie!I118</f>
        <v>1443.241036363636</v>
      </c>
      <c r="J120" s="253"/>
      <c r="K120" s="14"/>
      <c r="L120" s="22"/>
    </row>
    <row r="121" spans="2:12" ht="18" customHeight="1">
      <c r="B121" s="271"/>
      <c r="C121" s="272"/>
      <c r="D121" s="272"/>
      <c r="E121" s="244"/>
      <c r="F121" s="244"/>
      <c r="G121" s="244"/>
      <c r="H121" s="244"/>
      <c r="I121" s="244"/>
      <c r="J121" s="254"/>
      <c r="K121" s="14"/>
      <c r="L121" s="22"/>
    </row>
    <row r="122" spans="2:12" ht="18" customHeight="1">
      <c r="B122" s="39"/>
      <c r="C122" s="1"/>
      <c r="D122" s="3"/>
      <c r="E122" s="3"/>
      <c r="F122" s="87"/>
      <c r="G122" s="87"/>
      <c r="H122" s="87"/>
      <c r="I122" s="13"/>
      <c r="J122" s="13"/>
      <c r="K122" s="14"/>
      <c r="L122" s="22"/>
    </row>
    <row r="123" spans="2:11" s="3" customFormat="1" ht="18">
      <c r="B123" s="250" t="s">
        <v>30</v>
      </c>
      <c r="C123" s="251"/>
      <c r="D123" s="251"/>
      <c r="E123" s="251"/>
      <c r="F123" s="251"/>
      <c r="G123" s="251"/>
      <c r="H123" s="251"/>
      <c r="I123" s="251"/>
      <c r="J123" s="252"/>
      <c r="K123" s="72"/>
    </row>
    <row r="124" spans="2:14" s="3" customFormat="1" ht="18">
      <c r="B124" s="229" t="s">
        <v>130</v>
      </c>
      <c r="C124" s="230"/>
      <c r="D124" s="230"/>
      <c r="E124" s="230"/>
      <c r="F124" s="230"/>
      <c r="G124" s="230"/>
      <c r="H124" s="230"/>
      <c r="I124" s="230"/>
      <c r="J124" s="231"/>
      <c r="K124" s="72"/>
      <c r="N124" s="88"/>
    </row>
    <row r="125" spans="2:11" s="3" customFormat="1" ht="45" customHeight="1">
      <c r="B125" s="229" t="s">
        <v>165</v>
      </c>
      <c r="C125" s="230"/>
      <c r="D125" s="230"/>
      <c r="E125" s="230"/>
      <c r="F125" s="230"/>
      <c r="G125" s="230"/>
      <c r="H125" s="230"/>
      <c r="I125" s="230"/>
      <c r="J125" s="231"/>
      <c r="K125" s="73"/>
    </row>
    <row r="126" spans="2:11" s="3" customFormat="1" ht="18">
      <c r="B126" s="229" t="s">
        <v>87</v>
      </c>
      <c r="C126" s="230"/>
      <c r="D126" s="230"/>
      <c r="E126" s="230"/>
      <c r="F126" s="230"/>
      <c r="G126" s="230"/>
      <c r="H126" s="230"/>
      <c r="I126" s="230"/>
      <c r="J126" s="231"/>
      <c r="K126" s="72"/>
    </row>
    <row r="127" spans="2:11" s="3" customFormat="1" ht="18">
      <c r="B127" s="229" t="s">
        <v>88</v>
      </c>
      <c r="C127" s="230"/>
      <c r="D127" s="230"/>
      <c r="E127" s="230"/>
      <c r="F127" s="230"/>
      <c r="G127" s="230"/>
      <c r="H127" s="230"/>
      <c r="I127" s="230"/>
      <c r="J127" s="231"/>
      <c r="K127" s="72"/>
    </row>
    <row r="128" spans="2:11" s="3" customFormat="1" ht="18">
      <c r="B128" s="304" t="s">
        <v>166</v>
      </c>
      <c r="C128" s="305"/>
      <c r="D128" s="305"/>
      <c r="E128" s="305"/>
      <c r="F128" s="305"/>
      <c r="G128" s="305"/>
      <c r="H128" s="305"/>
      <c r="I128" s="305"/>
      <c r="J128" s="306"/>
      <c r="K128" s="72"/>
    </row>
    <row r="129" spans="2:11" s="3" customFormat="1" ht="18">
      <c r="B129" s="221" t="s">
        <v>167</v>
      </c>
      <c r="C129" s="222"/>
      <c r="D129" s="222"/>
      <c r="E129" s="222"/>
      <c r="F129" s="222"/>
      <c r="G129" s="222"/>
      <c r="H129" s="222"/>
      <c r="I129" s="222"/>
      <c r="J129" s="223"/>
      <c r="K129" s="72"/>
    </row>
    <row r="130" spans="2:11" s="3" customFormat="1" ht="15">
      <c r="B130" s="4"/>
      <c r="C130" s="4"/>
      <c r="D130" s="4"/>
      <c r="E130" s="4"/>
      <c r="F130" s="4"/>
      <c r="G130" s="5"/>
      <c r="H130" s="4"/>
      <c r="I130" s="4"/>
      <c r="J130" s="4"/>
      <c r="K130" s="8"/>
    </row>
    <row r="131" spans="2:11" s="3" customFormat="1" ht="15">
      <c r="B131" s="4"/>
      <c r="C131" s="4"/>
      <c r="D131" s="4"/>
      <c r="E131" s="4"/>
      <c r="F131" s="4"/>
      <c r="G131" s="5"/>
      <c r="H131" s="4"/>
      <c r="I131" s="4"/>
      <c r="J131" s="4"/>
      <c r="K131" s="8"/>
    </row>
    <row r="132" spans="2:12" s="3" customFormat="1" ht="15">
      <c r="B132" s="59"/>
      <c r="C132" s="59"/>
      <c r="D132" s="59"/>
      <c r="E132" s="59"/>
      <c r="F132" s="59"/>
      <c r="G132" s="60"/>
      <c r="H132" s="59"/>
      <c r="I132" s="59"/>
      <c r="J132" s="59"/>
      <c r="K132" s="61"/>
      <c r="L132" s="59"/>
    </row>
    <row r="133" spans="2:12" s="3" customFormat="1" ht="15">
      <c r="B133" s="59"/>
      <c r="C133" s="59"/>
      <c r="D133" s="59"/>
      <c r="E133" s="59"/>
      <c r="F133" s="59"/>
      <c r="G133" s="60"/>
      <c r="H133" s="59"/>
      <c r="I133" s="59"/>
      <c r="J133" s="59"/>
      <c r="K133" s="61"/>
      <c r="L133" s="59"/>
    </row>
    <row r="134" spans="2:12" s="3" customFormat="1" ht="15">
      <c r="B134" s="59"/>
      <c r="C134" s="59"/>
      <c r="D134" s="59"/>
      <c r="E134" s="59"/>
      <c r="F134" s="59"/>
      <c r="G134" s="60"/>
      <c r="H134" s="59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ht="18">
      <c r="B136" s="48"/>
      <c r="C136" s="48"/>
      <c r="D136" s="49"/>
      <c r="E136" s="49"/>
      <c r="F136" s="50"/>
      <c r="G136" s="50"/>
      <c r="H136" s="50"/>
      <c r="I136" s="59"/>
      <c r="J136" s="59"/>
      <c r="K136" s="61"/>
      <c r="L136" s="59"/>
    </row>
    <row r="137" spans="2:12" ht="18">
      <c r="B137" s="48"/>
      <c r="C137" s="51"/>
      <c r="D137" s="51"/>
      <c r="E137" s="52"/>
      <c r="F137" s="51"/>
      <c r="G137" s="53"/>
      <c r="H137" s="54"/>
      <c r="I137" s="59"/>
      <c r="J137" s="59"/>
      <c r="K137" s="61"/>
      <c r="L137" s="59"/>
    </row>
    <row r="138" spans="2:12" ht="18">
      <c r="B138" s="49"/>
      <c r="C138" s="49"/>
      <c r="D138" s="49"/>
      <c r="E138" s="49"/>
      <c r="F138" s="49"/>
      <c r="G138" s="49"/>
      <c r="H138" s="49"/>
      <c r="I138" s="59"/>
      <c r="J138" s="59"/>
      <c r="K138" s="61"/>
      <c r="L138" s="59"/>
    </row>
    <row r="139" spans="2:12" ht="18">
      <c r="B139" s="48"/>
      <c r="C139" s="49"/>
      <c r="D139" s="49"/>
      <c r="E139" s="49"/>
      <c r="F139" s="49"/>
      <c r="G139" s="49"/>
      <c r="H139" s="49"/>
      <c r="I139" s="59"/>
      <c r="J139" s="59"/>
      <c r="K139" s="61"/>
      <c r="L139" s="59"/>
    </row>
    <row r="140" spans="2:12" ht="18">
      <c r="B140" s="62"/>
      <c r="C140" s="63"/>
      <c r="D140" s="63"/>
      <c r="E140" s="55"/>
      <c r="F140" s="55"/>
      <c r="G140" s="55"/>
      <c r="H140" s="55"/>
      <c r="I140" s="59"/>
      <c r="J140" s="61"/>
      <c r="K140" s="61"/>
      <c r="L140" s="59"/>
    </row>
    <row r="141" spans="2:12" ht="18">
      <c r="B141" s="62"/>
      <c r="C141" s="63"/>
      <c r="D141" s="63"/>
      <c r="E141" s="55"/>
      <c r="F141" s="55"/>
      <c r="G141" s="55"/>
      <c r="H141" s="55"/>
      <c r="I141" s="59"/>
      <c r="J141" s="61"/>
      <c r="K141" s="61"/>
      <c r="L141" s="59"/>
    </row>
    <row r="142" spans="2:12" ht="18">
      <c r="B142" s="56"/>
      <c r="C142" s="57"/>
      <c r="D142" s="57"/>
      <c r="E142" s="56"/>
      <c r="F142" s="56"/>
      <c r="G142" s="56"/>
      <c r="H142" s="58"/>
      <c r="I142" s="59"/>
      <c r="J142" s="59"/>
      <c r="K142" s="61"/>
      <c r="L142" s="59"/>
    </row>
    <row r="143" spans="2:12" ht="18">
      <c r="B143" s="49"/>
      <c r="C143" s="49"/>
      <c r="D143" s="49"/>
      <c r="E143" s="49"/>
      <c r="F143" s="49"/>
      <c r="G143" s="49"/>
      <c r="H143" s="49"/>
      <c r="I143" s="59"/>
      <c r="J143" s="59"/>
      <c r="K143" s="61"/>
      <c r="L143" s="59"/>
    </row>
    <row r="144" spans="2:12" ht="18">
      <c r="B144" s="48"/>
      <c r="C144" s="49"/>
      <c r="D144" s="49"/>
      <c r="E144" s="49"/>
      <c r="F144" s="49"/>
      <c r="G144" s="49"/>
      <c r="H144" s="49"/>
      <c r="I144" s="59"/>
      <c r="J144" s="59"/>
      <c r="K144" s="61"/>
      <c r="L144" s="59"/>
    </row>
    <row r="145" spans="2:12" ht="18">
      <c r="B145" s="64"/>
      <c r="C145" s="65"/>
      <c r="D145" s="66"/>
      <c r="E145" s="67"/>
      <c r="F145" s="66"/>
      <c r="G145" s="68"/>
      <c r="H145" s="68"/>
      <c r="I145" s="59"/>
      <c r="J145" s="59"/>
      <c r="K145" s="61"/>
      <c r="L145" s="59"/>
    </row>
    <row r="146" spans="2:12" ht="18">
      <c r="B146" s="64"/>
      <c r="C146" s="65"/>
      <c r="D146" s="66"/>
      <c r="E146" s="67"/>
      <c r="F146" s="66"/>
      <c r="G146" s="68"/>
      <c r="H146" s="68"/>
      <c r="I146" s="59"/>
      <c r="J146" s="59"/>
      <c r="K146" s="61"/>
      <c r="L146" s="59"/>
    </row>
    <row r="147" spans="2:12" ht="18">
      <c r="B147" s="238"/>
      <c r="C147" s="238"/>
      <c r="D147" s="66"/>
      <c r="E147" s="67"/>
      <c r="F147" s="66"/>
      <c r="G147" s="68"/>
      <c r="H147" s="68"/>
      <c r="I147" s="59"/>
      <c r="J147" s="59"/>
      <c r="K147" s="61"/>
      <c r="L147" s="59"/>
    </row>
    <row r="148" spans="2:12" ht="18">
      <c r="B148" s="64"/>
      <c r="C148" s="65"/>
      <c r="D148" s="66"/>
      <c r="E148" s="67"/>
      <c r="F148" s="66"/>
      <c r="G148" s="68"/>
      <c r="H148" s="68"/>
      <c r="I148" s="59"/>
      <c r="J148" s="59"/>
      <c r="K148" s="61"/>
      <c r="L148" s="59"/>
    </row>
    <row r="149" spans="2:12" ht="18">
      <c r="B149" s="64"/>
      <c r="C149" s="65"/>
      <c r="D149" s="66"/>
      <c r="E149" s="67"/>
      <c r="F149" s="66"/>
      <c r="G149" s="68"/>
      <c r="H149" s="68"/>
      <c r="I149" s="59"/>
      <c r="J149" s="59"/>
      <c r="K149" s="61"/>
      <c r="L149" s="59"/>
    </row>
    <row r="150" spans="2:12" ht="18">
      <c r="B150" s="64"/>
      <c r="C150" s="65"/>
      <c r="D150" s="66"/>
      <c r="E150" s="67"/>
      <c r="F150" s="66"/>
      <c r="G150" s="68"/>
      <c r="H150" s="68"/>
      <c r="I150" s="59"/>
      <c r="J150" s="59"/>
      <c r="K150" s="61"/>
      <c r="L150" s="59"/>
    </row>
    <row r="151" spans="2:12" ht="18">
      <c r="B151" s="64"/>
      <c r="C151" s="65"/>
      <c r="D151" s="66"/>
      <c r="E151" s="67"/>
      <c r="F151" s="66"/>
      <c r="G151" s="68"/>
      <c r="H151" s="68"/>
      <c r="I151" s="59"/>
      <c r="J151" s="59"/>
      <c r="K151" s="61"/>
      <c r="L151" s="59"/>
    </row>
    <row r="152" spans="2:12" ht="18">
      <c r="B152" s="64"/>
      <c r="C152" s="65"/>
      <c r="D152" s="66"/>
      <c r="E152" s="67"/>
      <c r="F152" s="66"/>
      <c r="G152" s="68"/>
      <c r="H152" s="68"/>
      <c r="I152" s="59"/>
      <c r="J152" s="59"/>
      <c r="K152" s="61"/>
      <c r="L152" s="59"/>
    </row>
    <row r="153" spans="2:12" ht="18">
      <c r="B153" s="64"/>
      <c r="C153" s="65"/>
      <c r="D153" s="66"/>
      <c r="E153" s="67"/>
      <c r="F153" s="66"/>
      <c r="G153" s="68"/>
      <c r="H153" s="68"/>
      <c r="I153" s="59"/>
      <c r="J153" s="59"/>
      <c r="K153" s="61"/>
      <c r="L153" s="59"/>
    </row>
    <row r="154" spans="2:12" ht="18">
      <c r="B154" s="64"/>
      <c r="C154" s="65"/>
      <c r="D154" s="66"/>
      <c r="E154" s="67"/>
      <c r="F154" s="66"/>
      <c r="G154" s="68"/>
      <c r="H154" s="68"/>
      <c r="I154" s="59"/>
      <c r="J154" s="59"/>
      <c r="K154" s="61"/>
      <c r="L154" s="59"/>
    </row>
    <row r="155" spans="2:12" ht="18">
      <c r="B155" s="64"/>
      <c r="C155" s="65"/>
      <c r="D155" s="66"/>
      <c r="E155" s="67"/>
      <c r="F155" s="66"/>
      <c r="G155" s="68"/>
      <c r="H155" s="68"/>
      <c r="I155" s="59"/>
      <c r="J155" s="59"/>
      <c r="K155" s="61"/>
      <c r="L155" s="59"/>
    </row>
    <row r="156" spans="2:12" ht="18">
      <c r="B156" s="64"/>
      <c r="C156" s="65"/>
      <c r="D156" s="66"/>
      <c r="E156" s="67"/>
      <c r="F156" s="66"/>
      <c r="G156" s="68"/>
      <c r="H156" s="68"/>
      <c r="I156" s="59"/>
      <c r="J156" s="59"/>
      <c r="K156" s="61"/>
      <c r="L156" s="59"/>
    </row>
    <row r="157" spans="2:12" ht="18">
      <c r="B157" s="64"/>
      <c r="C157" s="65"/>
      <c r="D157" s="66"/>
      <c r="E157" s="67"/>
      <c r="F157" s="66"/>
      <c r="G157" s="68"/>
      <c r="H157" s="68"/>
      <c r="I157" s="59"/>
      <c r="J157" s="59"/>
      <c r="K157" s="61"/>
      <c r="L157" s="59"/>
    </row>
    <row r="158" spans="2:12" ht="18">
      <c r="B158" s="56"/>
      <c r="C158" s="57"/>
      <c r="D158" s="57"/>
      <c r="E158" s="56"/>
      <c r="F158" s="56"/>
      <c r="G158" s="56"/>
      <c r="H158" s="58"/>
      <c r="I158" s="59"/>
      <c r="J158" s="59"/>
      <c r="K158" s="61"/>
      <c r="L158" s="59"/>
    </row>
    <row r="159" spans="2:12" ht="18">
      <c r="B159" s="49"/>
      <c r="C159" s="49"/>
      <c r="D159" s="49"/>
      <c r="E159" s="49"/>
      <c r="F159" s="49"/>
      <c r="G159" s="49"/>
      <c r="H159" s="49"/>
      <c r="I159" s="59"/>
      <c r="J159" s="59"/>
      <c r="K159" s="61"/>
      <c r="L159" s="59"/>
    </row>
    <row r="160" spans="2:12" ht="18">
      <c r="B160" s="56"/>
      <c r="C160" s="57"/>
      <c r="D160" s="57"/>
      <c r="E160" s="56"/>
      <c r="F160" s="56"/>
      <c r="G160" s="56"/>
      <c r="H160" s="58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69"/>
      <c r="C171" s="69"/>
      <c r="D171" s="69"/>
      <c r="E171" s="69"/>
      <c r="F171" s="6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61"/>
      <c r="D174" s="61"/>
      <c r="E174" s="61"/>
      <c r="F174" s="61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61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61"/>
      <c r="D181" s="61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60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61"/>
      <c r="C194" s="61"/>
      <c r="D194" s="61"/>
      <c r="E194" s="61"/>
      <c r="F194" s="61"/>
      <c r="G194" s="61"/>
      <c r="H194" s="61"/>
      <c r="I194" s="61"/>
      <c r="J194" s="59"/>
      <c r="K194" s="61"/>
      <c r="L194" s="59"/>
    </row>
    <row r="195" spans="2:12" s="3" customFormat="1" ht="15">
      <c r="B195" s="61"/>
      <c r="C195" s="61"/>
      <c r="D195" s="61"/>
      <c r="E195" s="61"/>
      <c r="F195" s="61"/>
      <c r="G195" s="70"/>
      <c r="H195" s="61"/>
      <c r="I195" s="61"/>
      <c r="J195" s="59"/>
      <c r="K195" s="61"/>
      <c r="L195" s="70"/>
    </row>
    <row r="196" spans="2:12" s="3" customFormat="1" ht="15">
      <c r="B196" s="61"/>
      <c r="C196" s="61"/>
      <c r="D196" s="61"/>
      <c r="E196" s="61"/>
      <c r="F196" s="61"/>
      <c r="G196" s="61"/>
      <c r="H196" s="61"/>
      <c r="I196" s="71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61"/>
      <c r="I203" s="61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61"/>
      <c r="I204" s="61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61"/>
      <c r="I205" s="61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61"/>
      <c r="I212" s="61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61"/>
      <c r="I213" s="61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61"/>
      <c r="I214" s="61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s="3" customFormat="1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s="3" customFormat="1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s="3" customFormat="1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s="3" customFormat="1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s="3" customFormat="1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s="3" customFormat="1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s="3" customFormat="1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s="3" customFormat="1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s="3" customFormat="1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s="3" customFormat="1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s="3" customFormat="1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s="3" customFormat="1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s="3" customFormat="1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s="3" customFormat="1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s="3" customFormat="1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  <row r="322" spans="2:12" s="3" customFormat="1" ht="15">
      <c r="B322" s="59"/>
      <c r="C322" s="59"/>
      <c r="D322" s="59"/>
      <c r="E322" s="59"/>
      <c r="F322" s="59"/>
      <c r="G322" s="60"/>
      <c r="H322" s="59"/>
      <c r="I322" s="59"/>
      <c r="J322" s="59"/>
      <c r="K322" s="61"/>
      <c r="L322" s="59"/>
    </row>
    <row r="323" spans="2:12" s="3" customFormat="1" ht="15">
      <c r="B323" s="59"/>
      <c r="C323" s="59"/>
      <c r="D323" s="59"/>
      <c r="E323" s="59"/>
      <c r="F323" s="59"/>
      <c r="G323" s="60"/>
      <c r="H323" s="59"/>
      <c r="I323" s="59"/>
      <c r="J323" s="59"/>
      <c r="K323" s="61"/>
      <c r="L323" s="59"/>
    </row>
    <row r="324" spans="2:12" s="3" customFormat="1" ht="15">
      <c r="B324" s="59"/>
      <c r="C324" s="59"/>
      <c r="D324" s="59"/>
      <c r="E324" s="59"/>
      <c r="F324" s="59"/>
      <c r="G324" s="60"/>
      <c r="H324" s="59"/>
      <c r="I324" s="59"/>
      <c r="J324" s="59"/>
      <c r="K324" s="61"/>
      <c r="L324" s="59"/>
    </row>
    <row r="325" spans="2:12" ht="15">
      <c r="B325" s="59"/>
      <c r="C325" s="59"/>
      <c r="D325" s="59"/>
      <c r="E325" s="59"/>
      <c r="F325" s="59"/>
      <c r="G325" s="60"/>
      <c r="H325" s="59"/>
      <c r="I325" s="59"/>
      <c r="J325" s="59"/>
      <c r="K325" s="61"/>
      <c r="L325" s="59"/>
    </row>
    <row r="326" spans="2:12" ht="15">
      <c r="B326" s="59"/>
      <c r="C326" s="59"/>
      <c r="D326" s="59"/>
      <c r="E326" s="59"/>
      <c r="F326" s="59"/>
      <c r="G326" s="60"/>
      <c r="H326" s="59"/>
      <c r="I326" s="59"/>
      <c r="J326" s="59"/>
      <c r="K326" s="61"/>
      <c r="L326" s="59"/>
    </row>
    <row r="327" spans="2:12" ht="15">
      <c r="B327" s="59"/>
      <c r="C327" s="59"/>
      <c r="D327" s="59"/>
      <c r="E327" s="59"/>
      <c r="F327" s="59"/>
      <c r="G327" s="60"/>
      <c r="H327" s="59"/>
      <c r="I327" s="59"/>
      <c r="J327" s="59"/>
      <c r="K327" s="61"/>
      <c r="L327" s="59"/>
    </row>
    <row r="328" spans="2:12" ht="15">
      <c r="B328" s="59"/>
      <c r="C328" s="59"/>
      <c r="D328" s="59"/>
      <c r="E328" s="59"/>
      <c r="F328" s="59"/>
      <c r="G328" s="60"/>
      <c r="H328" s="59"/>
      <c r="I328" s="59"/>
      <c r="J328" s="59"/>
      <c r="K328" s="61"/>
      <c r="L328" s="59"/>
    </row>
    <row r="329" spans="2:12" ht="15">
      <c r="B329" s="59"/>
      <c r="C329" s="59"/>
      <c r="D329" s="59"/>
      <c r="E329" s="59"/>
      <c r="F329" s="59"/>
      <c r="G329" s="60"/>
      <c r="H329" s="59"/>
      <c r="I329" s="59"/>
      <c r="J329" s="59"/>
      <c r="K329" s="61"/>
      <c r="L329" s="59"/>
    </row>
    <row r="330" spans="2:12" ht="15">
      <c r="B330" s="59"/>
      <c r="C330" s="59"/>
      <c r="D330" s="59"/>
      <c r="E330" s="59"/>
      <c r="F330" s="59"/>
      <c r="G330" s="60"/>
      <c r="H330" s="59"/>
      <c r="I330" s="59"/>
      <c r="J330" s="59"/>
      <c r="K330" s="61"/>
      <c r="L330" s="59"/>
    </row>
    <row r="331" spans="2:12" ht="15">
      <c r="B331" s="59"/>
      <c r="C331" s="59"/>
      <c r="D331" s="59"/>
      <c r="E331" s="59"/>
      <c r="F331" s="59"/>
      <c r="G331" s="60"/>
      <c r="H331" s="59"/>
      <c r="I331" s="59"/>
      <c r="J331" s="59"/>
      <c r="K331" s="61"/>
      <c r="L331" s="59"/>
    </row>
    <row r="332" spans="2:12" ht="15">
      <c r="B332" s="59"/>
      <c r="C332" s="59"/>
      <c r="D332" s="59"/>
      <c r="E332" s="59"/>
      <c r="F332" s="59"/>
      <c r="G332" s="60"/>
      <c r="H332" s="59"/>
      <c r="I332" s="59"/>
      <c r="J332" s="59"/>
      <c r="K332" s="61"/>
      <c r="L332" s="59"/>
    </row>
    <row r="333" spans="2:12" ht="15">
      <c r="B333" s="59"/>
      <c r="C333" s="59"/>
      <c r="D333" s="59"/>
      <c r="E333" s="59"/>
      <c r="F333" s="59"/>
      <c r="G333" s="60"/>
      <c r="H333" s="59"/>
      <c r="I333" s="59"/>
      <c r="J333" s="59"/>
      <c r="K333" s="61"/>
      <c r="L333" s="59"/>
    </row>
    <row r="334" spans="2:12" ht="15">
      <c r="B334" s="59"/>
      <c r="C334" s="59"/>
      <c r="D334" s="59"/>
      <c r="E334" s="59"/>
      <c r="F334" s="59"/>
      <c r="G334" s="60"/>
      <c r="H334" s="59"/>
      <c r="I334" s="59"/>
      <c r="J334" s="59"/>
      <c r="K334" s="61"/>
      <c r="L334" s="59"/>
    </row>
    <row r="335" spans="2:12" ht="15">
      <c r="B335" s="59"/>
      <c r="C335" s="59"/>
      <c r="D335" s="59"/>
      <c r="E335" s="59"/>
      <c r="F335" s="59"/>
      <c r="G335" s="60"/>
      <c r="H335" s="59"/>
      <c r="I335" s="59"/>
      <c r="J335" s="59"/>
      <c r="K335" s="61"/>
      <c r="L335" s="59"/>
    </row>
    <row r="336" spans="2:12" ht="15">
      <c r="B336" s="59"/>
      <c r="C336" s="59"/>
      <c r="D336" s="59"/>
      <c r="E336" s="59"/>
      <c r="F336" s="59"/>
      <c r="G336" s="60"/>
      <c r="H336" s="59"/>
      <c r="I336" s="59"/>
      <c r="J336" s="59"/>
      <c r="K336" s="61"/>
      <c r="L336" s="59"/>
    </row>
    <row r="337" spans="2:12" ht="15">
      <c r="B337" s="59"/>
      <c r="C337" s="59"/>
      <c r="D337" s="59"/>
      <c r="E337" s="59"/>
      <c r="F337" s="59"/>
      <c r="G337" s="60"/>
      <c r="H337" s="59"/>
      <c r="I337" s="59"/>
      <c r="J337" s="59"/>
      <c r="K337" s="61"/>
      <c r="L337" s="59"/>
    </row>
    <row r="338" spans="2:12" ht="15">
      <c r="B338" s="59"/>
      <c r="C338" s="59"/>
      <c r="D338" s="59"/>
      <c r="E338" s="59"/>
      <c r="F338" s="59"/>
      <c r="G338" s="60"/>
      <c r="H338" s="59"/>
      <c r="I338" s="59"/>
      <c r="J338" s="59"/>
      <c r="K338" s="61"/>
      <c r="L338" s="59"/>
    </row>
    <row r="339" spans="2:12" ht="15">
      <c r="B339" s="59"/>
      <c r="C339" s="59"/>
      <c r="D339" s="59"/>
      <c r="E339" s="59"/>
      <c r="F339" s="59"/>
      <c r="G339" s="60"/>
      <c r="H339" s="59"/>
      <c r="I339" s="59"/>
      <c r="J339" s="59"/>
      <c r="K339" s="61"/>
      <c r="L339" s="59"/>
    </row>
  </sheetData>
  <sheetProtection/>
  <mergeCells count="136">
    <mergeCell ref="B125:J125"/>
    <mergeCell ref="E53:F53"/>
    <mergeCell ref="B28:D28"/>
    <mergeCell ref="E46:F46"/>
    <mergeCell ref="E47:F47"/>
    <mergeCell ref="E54:F54"/>
    <mergeCell ref="E58:F58"/>
    <mergeCell ref="E63:F63"/>
    <mergeCell ref="E64:F64"/>
    <mergeCell ref="E69:F69"/>
    <mergeCell ref="E79:F79"/>
    <mergeCell ref="E35:F35"/>
    <mergeCell ref="E36:F36"/>
    <mergeCell ref="E37:F37"/>
    <mergeCell ref="B38:I38"/>
    <mergeCell ref="E60:F60"/>
    <mergeCell ref="E77:F77"/>
    <mergeCell ref="E26:F26"/>
    <mergeCell ref="B29:D29"/>
    <mergeCell ref="B33:D33"/>
    <mergeCell ref="E33:F33"/>
    <mergeCell ref="B40:D40"/>
    <mergeCell ref="E40:F40"/>
    <mergeCell ref="E34:F34"/>
    <mergeCell ref="B32:D32"/>
    <mergeCell ref="B30:I30"/>
    <mergeCell ref="E32:F32"/>
    <mergeCell ref="E27:F27"/>
    <mergeCell ref="E80:F80"/>
    <mergeCell ref="B128:J128"/>
    <mergeCell ref="E68:F68"/>
    <mergeCell ref="E73:F73"/>
    <mergeCell ref="E74:F74"/>
    <mergeCell ref="E78:F78"/>
    <mergeCell ref="E21:F21"/>
    <mergeCell ref="B23:D23"/>
    <mergeCell ref="B27:D27"/>
    <mergeCell ref="B25:D25"/>
    <mergeCell ref="E28:F28"/>
    <mergeCell ref="E29:F29"/>
    <mergeCell ref="E22:F22"/>
    <mergeCell ref="E23:F23"/>
    <mergeCell ref="E24:F24"/>
    <mergeCell ref="E25:F25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D3:H3"/>
    <mergeCell ref="L97:O97"/>
    <mergeCell ref="E72:F72"/>
    <mergeCell ref="E70:F70"/>
    <mergeCell ref="E71:F71"/>
    <mergeCell ref="G112:H112"/>
    <mergeCell ref="E61:F61"/>
    <mergeCell ref="E65:F65"/>
    <mergeCell ref="E66:F66"/>
    <mergeCell ref="E67:F67"/>
    <mergeCell ref="E76:F76"/>
    <mergeCell ref="B120:D121"/>
    <mergeCell ref="B124:J124"/>
    <mergeCell ref="G113:H113"/>
    <mergeCell ref="B99:D99"/>
    <mergeCell ref="B98:D98"/>
    <mergeCell ref="B101:I101"/>
    <mergeCell ref="E100:F100"/>
    <mergeCell ref="B112:D112"/>
    <mergeCell ref="E110:J110"/>
    <mergeCell ref="E112:F112"/>
    <mergeCell ref="B116:J117"/>
    <mergeCell ref="J103:J104"/>
    <mergeCell ref="B127:J127"/>
    <mergeCell ref="B108:J108"/>
    <mergeCell ref="I112:J112"/>
    <mergeCell ref="B109:J109"/>
    <mergeCell ref="B113:D113"/>
    <mergeCell ref="I113:J113"/>
    <mergeCell ref="E114:F114"/>
    <mergeCell ref="I111:J111"/>
    <mergeCell ref="B147:C147"/>
    <mergeCell ref="B97:D97"/>
    <mergeCell ref="B114:D114"/>
    <mergeCell ref="E111:F111"/>
    <mergeCell ref="E120:F121"/>
    <mergeCell ref="B100:D100"/>
    <mergeCell ref="E97:F97"/>
    <mergeCell ref="B123:J123"/>
    <mergeCell ref="I120:J121"/>
    <mergeCell ref="G120:H121"/>
    <mergeCell ref="E55:F55"/>
    <mergeCell ref="E56:F56"/>
    <mergeCell ref="E57:F57"/>
    <mergeCell ref="E59:F59"/>
    <mergeCell ref="E62:F62"/>
    <mergeCell ref="E75:F75"/>
    <mergeCell ref="E51:F51"/>
    <mergeCell ref="E52:F52"/>
    <mergeCell ref="E42:F42"/>
    <mergeCell ref="E43:F43"/>
    <mergeCell ref="E44:F44"/>
    <mergeCell ref="E45:F45"/>
    <mergeCell ref="I114:J114"/>
    <mergeCell ref="G114:H114"/>
    <mergeCell ref="E81:F81"/>
    <mergeCell ref="E82:F82"/>
    <mergeCell ref="E83:F83"/>
    <mergeCell ref="E48:F48"/>
    <mergeCell ref="E49:F49"/>
    <mergeCell ref="E87:F87"/>
    <mergeCell ref="E85:F85"/>
    <mergeCell ref="E50:F50"/>
    <mergeCell ref="B129:J129"/>
    <mergeCell ref="E84:F84"/>
    <mergeCell ref="I118:J119"/>
    <mergeCell ref="G111:H111"/>
    <mergeCell ref="B118:D119"/>
    <mergeCell ref="B126:J126"/>
    <mergeCell ref="B96:D96"/>
    <mergeCell ref="E99:F99"/>
    <mergeCell ref="B103:I104"/>
    <mergeCell ref="B110:D111"/>
    <mergeCell ref="E88:F88"/>
    <mergeCell ref="E86:F86"/>
    <mergeCell ref="B91:I91"/>
    <mergeCell ref="E93:F93"/>
    <mergeCell ref="E113:F113"/>
    <mergeCell ref="E118:F119"/>
    <mergeCell ref="G118:H119"/>
    <mergeCell ref="B89:I89"/>
    <mergeCell ref="E96:F96"/>
    <mergeCell ref="E98:F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9" max="10" man="1"/>
  </rowBreaks>
  <ignoredErrors>
    <ignoredError sqref="I22:I26 B27:I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74</v>
      </c>
      <c r="C1" s="43">
        <v>5500</v>
      </c>
    </row>
    <row r="2" spans="2:3" ht="15">
      <c r="B2" s="40" t="s">
        <v>75</v>
      </c>
      <c r="C2" s="138">
        <f>((rendimiento-$C$1)/$C$1)+1</f>
        <v>1</v>
      </c>
    </row>
    <row r="3" ht="18">
      <c r="B3" s="11"/>
    </row>
    <row r="4" spans="2:12" ht="18">
      <c r="B4" s="313" t="s">
        <v>33</v>
      </c>
      <c r="C4" s="313"/>
      <c r="E4" s="3" t="s">
        <v>79</v>
      </c>
      <c r="K4" s="140"/>
      <c r="L4" s="8"/>
    </row>
    <row r="5" spans="1:5" ht="18">
      <c r="A5" s="141" t="s">
        <v>76</v>
      </c>
      <c r="B5" s="142" t="s">
        <v>99</v>
      </c>
      <c r="C5" s="143"/>
      <c r="D5" s="143"/>
      <c r="E5" s="144">
        <v>5500</v>
      </c>
    </row>
    <row r="6" spans="1:5" ht="18">
      <c r="A6" s="141" t="s">
        <v>76</v>
      </c>
      <c r="B6" s="142" t="s">
        <v>136</v>
      </c>
      <c r="C6" s="145"/>
      <c r="D6" s="145"/>
      <c r="E6" s="144">
        <v>5500</v>
      </c>
    </row>
    <row r="7" spans="1:5" ht="18">
      <c r="A7" s="141" t="s">
        <v>76</v>
      </c>
      <c r="B7" s="142" t="s">
        <v>140</v>
      </c>
      <c r="C7" s="145"/>
      <c r="D7" s="145"/>
      <c r="E7" s="144">
        <v>5500</v>
      </c>
    </row>
    <row r="8" spans="1:5" ht="18">
      <c r="A8" s="146" t="s">
        <v>77</v>
      </c>
      <c r="B8" s="147" t="s">
        <v>139</v>
      </c>
      <c r="C8" s="150"/>
      <c r="D8" s="150"/>
      <c r="E8" s="149">
        <v>5500</v>
      </c>
    </row>
    <row r="9" spans="1:5" ht="18">
      <c r="A9" s="146" t="s">
        <v>77</v>
      </c>
      <c r="B9" s="147" t="s">
        <v>138</v>
      </c>
      <c r="C9" s="150"/>
      <c r="D9" s="150"/>
      <c r="E9" s="149">
        <v>5500</v>
      </c>
    </row>
    <row r="10" spans="1:5" ht="18">
      <c r="A10" s="146" t="s">
        <v>77</v>
      </c>
      <c r="B10" s="147"/>
      <c r="C10" s="148"/>
      <c r="D10" s="148"/>
      <c r="E10" s="149"/>
    </row>
    <row r="11" spans="1:5" ht="18">
      <c r="A11" s="141" t="s">
        <v>78</v>
      </c>
      <c r="B11" s="142"/>
      <c r="C11" s="143"/>
      <c r="D11" s="143"/>
      <c r="E11" s="144"/>
    </row>
    <row r="12" spans="1:5" ht="18">
      <c r="A12" s="141" t="s">
        <v>78</v>
      </c>
      <c r="B12" s="142"/>
      <c r="C12" s="143"/>
      <c r="D12" s="143"/>
      <c r="E12" s="144"/>
    </row>
    <row r="13" spans="1:5" ht="18">
      <c r="A13" s="141" t="s">
        <v>78</v>
      </c>
      <c r="B13" s="142"/>
      <c r="C13" s="151"/>
      <c r="D13" s="151"/>
      <c r="E13" s="144"/>
    </row>
    <row r="18" spans="2:4" ht="15">
      <c r="B18" s="314" t="s">
        <v>29</v>
      </c>
      <c r="C18" s="314"/>
      <c r="D18" s="314"/>
    </row>
    <row r="20" spans="2:4" ht="18">
      <c r="B20" s="42" t="s">
        <v>31</v>
      </c>
      <c r="C20" s="41">
        <f>especie!B112</f>
        <v>4950</v>
      </c>
      <c r="D20" s="41">
        <f>especie!B114</f>
        <v>6050.000000000001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SUM(especie!J22:J29)-_xlfn.IFERROR(INDEX(especie!$J$22:$J$29,MATCH(B5,especie!$B$22:$B$29,0)),"0")-_xlfn.IFERROR(INDEX(especie!$J$22:$J$29,MATCH(B6,especie!$B$22:$B$29,0)),"0")-_xlfn.IFERROR(INDEX(especie!$J$22:$J$29,MATCH(B7,especie!$B$22:$B$29,0)),"0")</f>
        <v>1740400</v>
      </c>
      <c r="D25" s="8">
        <f>SUM(especie!J22:J29)-_xlfn.IFERROR(INDEX(especie!$J$22:$J$29,MATCH(B5,especie!$B$22:$B$29,0)),"0")-_xlfn.IFERROR(INDEX(especie!$J$22:$J$29,MATCH(B6,especie!$B$22:$B$29,0)),"0")-_xlfn.IFERROR(INDEX(especie!$J$22:$J$29,MATCH(B7,especie!$B$22:$B$29,0)),"0")</f>
        <v>1740400</v>
      </c>
      <c r="E25" s="8"/>
    </row>
    <row r="26" spans="2:4" ht="18">
      <c r="B26" s="44" t="s">
        <v>36</v>
      </c>
      <c r="C26" s="139">
        <f>C22*(_xlfn.IFERROR(INDEX(especie!$J$22:$J$29,MATCH(B5,especie!$B$22:$B$29,0)),"0")+_xlfn.IFERROR(INDEX(especie!$J$22:$J$29,MATCH(B6,especie!$B$22:$B$29,0)),"0")+_xlfn.IFERROR(INDEX(especie!$J$22:$J$29,MATCH(B7,especie!$B$22:$B$29,0)),"0"))</f>
        <v>1980000</v>
      </c>
      <c r="D26" s="139">
        <f>D22*(_xlfn.IFERROR(INDEX(especie!$J$22:$J$29,MATCH(B5,especie!$B$22:$B$29,0)),"0")+_xlfn.IFERROR(INDEX(especie!$J$22:$J$29,MATCH(B6,especie!$B$22:$B$29,0)),"0")+_xlfn.IFERROR(INDEX(especie!$J$22:$J$29,MATCH(B7,especie!$B$22:$B$29,0)),"0"))</f>
        <v>2420000</v>
      </c>
    </row>
    <row r="27" spans="2:4" ht="18">
      <c r="B27" s="15" t="s">
        <v>37</v>
      </c>
      <c r="C27" s="8">
        <f>SUM(C25:C26)</f>
        <v>3720400</v>
      </c>
      <c r="D27" s="8">
        <f>SUM(D25:D26)</f>
        <v>4160400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SUM(especie!J33:J37)-_xlfn.IFERROR(INDEX(especie!$J$33:$J$37,MATCH(B8,especie!$B$33:$B$37,0)),"0")-_xlfn.IFERROR(INDEX(especie!$J$33:$J$37,MATCH(B9,especie!$B$33:$B$37,0)),"0")-_xlfn.IFERROR(INDEX(especie!$J$33:$J$37,MATCH(B10,especie!$B$33:$B$37,0)),"0")</f>
        <v>370000</v>
      </c>
      <c r="D30" s="8">
        <f>SUM(especie!J33:J37)-_xlfn.IFERROR(INDEX(especie!$J$33:$J$37,MATCH(B8,especie!$B$33:$B$37,0)),"0")-_xlfn.IFERROR(INDEX(especie!$J$33:$J$37,MATCH(B9,especie!$B$33:$B$37,0)),"0")-_xlfn.IFERROR(INDEX(especie!$J$33:$J$37,MATCH(B10,especie!$B$33:$B$37,0)),"0")</f>
        <v>370000</v>
      </c>
    </row>
    <row r="31" spans="2:4" ht="18">
      <c r="B31" s="44" t="s">
        <v>36</v>
      </c>
      <c r="C31" s="139">
        <f>C22*(_xlfn.IFERROR(INDEX(especie!$J$33:$J$37,MATCH(B8,especie!$B$33:$B$37,0)),"0")+_xlfn.IFERROR(INDEX(especie!$J$33:$J$37,MATCH(B9,especie!$B$33:$B$37,0)),"0")+_xlfn.IFERROR(INDEX(especie!$J$33:$J$37,MATCH(B10,especie!$B$33:$B$37,0)),"0"))</f>
        <v>396000</v>
      </c>
      <c r="D31" s="139">
        <f>D22*(_xlfn.IFERROR(INDEX(especie!$J$33:$J$37,MATCH(B8,especie!$B$33:$B$37,0)),"0")+_xlfn.IFERROR(INDEX(especie!$J$33:$J$37,MATCH(B9,especie!$B$33:$B$37,0)),"0")+_xlfn.IFERROR(INDEX(especie!$J$33:$J$37,MATCH(B10,especie!$B$33:$B$37,0)),"0"))</f>
        <v>484000.00000000006</v>
      </c>
    </row>
    <row r="32" spans="2:4" ht="18">
      <c r="B32" s="15" t="s">
        <v>37</v>
      </c>
      <c r="C32" s="8">
        <f>SUM(C30:C31)</f>
        <v>766000</v>
      </c>
      <c r="D32" s="8">
        <f>SUM(D30:D31)</f>
        <v>854000</v>
      </c>
    </row>
    <row r="34" ht="18">
      <c r="B34" s="42" t="s">
        <v>38</v>
      </c>
    </row>
    <row r="35" spans="2:4" ht="18">
      <c r="B35" s="15" t="s">
        <v>35</v>
      </c>
      <c r="C35" s="8">
        <f>SUM(especie!J41:J88)-_xlfn.IFERROR(INDEX(especie!$J$41:$J$88,MATCH(B11,especie!$B$41:$B$88,0)),"0")-_xlfn.IFERROR(INDEX(especie!$J$41:$J$88,MATCH(B12,especie!$B$41:$B$88,0)),"0")-_xlfn.IFERROR(INDEX(especie!$J$41:$J$88,MATCH(B13,especie!$B$41:$B$88,0)),"0")</f>
        <v>2644905.5</v>
      </c>
      <c r="D35" s="8">
        <f>SUM(especie!J41:J88)-_xlfn.IFERROR(INDEX(especie!$J$41:$J$88,MATCH(B11,especie!$B$41:$B$88,0)),"0")-_xlfn.IFERROR(INDEX(especie!$J$41:$J$88,MATCH(B12,especie!$B$41:$B$88,0)),"0")-_xlfn.IFERROR(INDEX(especie!$J$41:$J$88,MATCH(B13,especie!$B$41:$B$88,0)),"0")</f>
        <v>2644905.5</v>
      </c>
    </row>
    <row r="36" spans="2:4" ht="18">
      <c r="B36" s="44" t="s">
        <v>36</v>
      </c>
      <c r="C36" s="139">
        <f>C22*(_xlfn.IFERROR(INDEX(especie!$J$41:$J$88,MATCH(B11,especie!$B$41:$B$88,0)),"0")+_xlfn.IFERROR(INDEX(especie!$J$41:$J$88,MATCH(B12,especie!$B$41:$B$88,0)),"0")+_xlfn.IFERROR(INDEX(especie!$J$41:$J$88,MATCH(B13,especie!$B$41:$B$88,0)),"0"))</f>
        <v>0</v>
      </c>
      <c r="D36" s="139">
        <f>D22*(_xlfn.IFERROR(INDEX(especie!$J$41:$J$88,MATCH(B11,especie!$B$41:$B$88,0)),"0")+_xlfn.IFERROR(INDEX(especie!$J$41:$J$88,MATCH(B12,especie!$B$41:$B$88,0)),"0")+_xlfn.IFERROR(INDEX(especie!$J$41:$J$88,MATCH(B13,especie!$B$41:$B$88,0)),"0"))</f>
        <v>0</v>
      </c>
    </row>
    <row r="37" spans="2:4" ht="18">
      <c r="B37" s="15" t="s">
        <v>37</v>
      </c>
      <c r="C37" s="8">
        <f>SUM(C35:C36)</f>
        <v>2644905.5</v>
      </c>
      <c r="D37" s="8">
        <f>SUM(D35:D36)</f>
        <v>2644905.5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7131305.5</v>
      </c>
      <c r="D39" s="47">
        <f>D27+D32+D37</f>
        <v>7659305.5</v>
      </c>
    </row>
    <row r="40" ht="15">
      <c r="B40" s="22"/>
    </row>
    <row r="41" spans="2:4" ht="18">
      <c r="B41" s="45" t="s">
        <v>0</v>
      </c>
      <c r="C41" s="8">
        <f>C39*especie!$G$93</f>
        <v>356565.275</v>
      </c>
      <c r="D41" s="8">
        <f>D39*especie!$G$93</f>
        <v>382965.275</v>
      </c>
    </row>
    <row r="42" spans="2:4" ht="18">
      <c r="B42" s="45" t="s">
        <v>25</v>
      </c>
      <c r="C42" s="8">
        <f>C39*tasa_interes_mensual*meses_financiamiento*0.5</f>
        <v>641817.4949999999</v>
      </c>
      <c r="D42" s="8">
        <f>D39*tasa_interes_mensual*meses_financiamiento*0.5</f>
        <v>689337.4949999999</v>
      </c>
    </row>
    <row r="43" ht="15">
      <c r="B43" s="22"/>
    </row>
    <row r="44" spans="2:4" ht="18">
      <c r="B44" s="46" t="s">
        <v>28</v>
      </c>
      <c r="C44" s="47">
        <f>C39+C41+C42</f>
        <v>8129688.2700000005</v>
      </c>
      <c r="D44" s="47">
        <f>D39+D41+D42</f>
        <v>8731608.27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339ef537-c460-4008-81c6-3e5c8e37952e</vt:lpwstr>
  </property>
</Properties>
</file>