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110" windowWidth="12855" windowHeight="6450" activeTab="0"/>
  </bookViews>
  <sheets>
    <sheet name="Ficha" sheetId="1" r:id="rId1"/>
    <sheet name="Hoja1" sheetId="2" r:id="rId2"/>
  </sheets>
  <definedNames>
    <definedName name="_xlnm.Print_Area" localSheetId="0">'Ficha'!$A$1:$K$117</definedName>
  </definedNames>
  <calcPr fullCalcOnLoad="1"/>
</workbook>
</file>

<file path=xl/sharedStrings.xml><?xml version="1.0" encoding="utf-8"?>
<sst xmlns="http://schemas.openxmlformats.org/spreadsheetml/2006/main" count="219" uniqueCount="147">
  <si>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</si>
  <si>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</si>
  <si>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</si>
  <si>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</si>
  <si>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</si>
  <si>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</si>
  <si>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</si>
  <si>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</si>
  <si>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</si>
  <si>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</si>
  <si>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</si>
  <si>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</si>
  <si>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</si>
  <si>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</si>
  <si>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</si>
  <si>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</si>
  <si>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</si>
  <si>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</si>
  <si>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</si>
  <si>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</si>
  <si>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</si>
  <si>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</si>
  <si>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</si>
  <si>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</si>
  <si>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</si>
  <si>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</si>
  <si>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</si>
  <si>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</si>
  <si>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</si>
  <si>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</si>
  <si>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</si>
  <si>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</si>
  <si>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</si>
  <si>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</si>
  <si>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</si>
  <si>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</si>
  <si>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</si>
  <si>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</si>
  <si>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</si>
  <si>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</si>
  <si>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</si>
  <si>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</si>
  <si>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</si>
  <si>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</si>
  <si>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</si>
  <si>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</si>
  <si>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</si>
  <si>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</si>
  <si>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</si>
  <si>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</si>
  <si>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</si>
  <si>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Cosecha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</si>
  <si>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</si>
  <si>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</si>
  <si>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</si>
  <si>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</si>
  <si>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Flete</t>
  </si>
  <si>
    <t>Julio</t>
  </si>
  <si>
    <t>L</t>
  </si>
  <si>
    <t>Precio de venta por contrato ($/Kg): (1)</t>
  </si>
  <si>
    <t>Octubre-noviembre</t>
  </si>
  <si>
    <t>Octubre-marzo</t>
  </si>
  <si>
    <t>Control de malezas</t>
  </si>
  <si>
    <t>Fertilizantes(3):</t>
  </si>
  <si>
    <t>Fungicidas:</t>
  </si>
  <si>
    <t>Herbicidas:</t>
  </si>
  <si>
    <t>Insecticidas:</t>
  </si>
  <si>
    <t>Otros:</t>
  </si>
  <si>
    <t>Mayo-junio</t>
  </si>
  <si>
    <t>Octubre-diciembre</t>
  </si>
  <si>
    <t>Septiembre-octubre</t>
  </si>
  <si>
    <t>Junio-Julio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</si>
  <si>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</si>
  <si>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</si>
  <si>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</si>
  <si>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</si>
  <si>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</si>
  <si>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</si>
  <si>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</si>
  <si>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</si>
  <si>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(3) Las dosis de fertilización promedio podrían variar de acuerdo a los resultados de los distintos análisis( foliar, suelo, etc.)</t>
  </si>
  <si>
    <t>Región de O'Higgins</t>
  </si>
  <si>
    <t>Margen neto ($/ha) (4)</t>
  </si>
  <si>
    <t>Punto de equilibrio (5)</t>
  </si>
  <si>
    <t>Cerezo</t>
  </si>
  <si>
    <t>Mayo-enero</t>
  </si>
  <si>
    <t>Riegos y fertiriego</t>
  </si>
  <si>
    <t>Planta</t>
  </si>
  <si>
    <t>Julio-agosto</t>
  </si>
  <si>
    <t>Superfosfato triple</t>
  </si>
  <si>
    <t>Sulpomag</t>
  </si>
  <si>
    <t>Rovral</t>
  </si>
  <si>
    <t>Mayo-julio</t>
  </si>
  <si>
    <t>Oxicloruro de cobre</t>
  </si>
  <si>
    <t>Podexal</t>
  </si>
  <si>
    <t>Galant</t>
  </si>
  <si>
    <t>Farmon</t>
  </si>
  <si>
    <t>Baños químicos</t>
  </si>
  <si>
    <t>Análisis suelo</t>
  </si>
  <si>
    <t>Agosto</t>
  </si>
  <si>
    <t>Noviembre-diciembre</t>
  </si>
  <si>
    <t>Agosto-septiembre</t>
  </si>
  <si>
    <t>Agosto-octubre</t>
  </si>
  <si>
    <t>Acaricida:</t>
  </si>
  <si>
    <t>Vertimec 018 EC</t>
  </si>
  <si>
    <t>Octubre</t>
  </si>
  <si>
    <t>Urea</t>
  </si>
  <si>
    <t>Captan 80WP</t>
  </si>
  <si>
    <t>Año producción: 6 años</t>
  </si>
  <si>
    <t>Poda de vigor</t>
  </si>
  <si>
    <t>Enero</t>
  </si>
  <si>
    <t>Diciembre</t>
  </si>
  <si>
    <t>Octubre y enero</t>
  </si>
  <si>
    <t>Raleo</t>
  </si>
  <si>
    <t>Solubor</t>
  </si>
  <si>
    <t xml:space="preserve">Nitrofoska </t>
  </si>
  <si>
    <t>Certificación</t>
  </si>
  <si>
    <t>Marzo- noviembre</t>
  </si>
  <si>
    <t>Arriendo colmenas</t>
  </si>
  <si>
    <t xml:space="preserve">Bravo 720 </t>
  </si>
  <si>
    <t xml:space="preserve"> Foliares</t>
  </si>
  <si>
    <t>Frutaliv</t>
  </si>
  <si>
    <t>1 ha marzo 2013</t>
  </si>
  <si>
    <t>Tipo de producción: Consumo fresco</t>
  </si>
  <si>
    <t>Tecnología: Media</t>
  </si>
  <si>
    <t xml:space="preserve">Fecha cosecha: Diciembre </t>
  </si>
  <si>
    <t>Régimen hídrico: Riego por surco</t>
  </si>
  <si>
    <t>Materiales: Capachos, escaleras.</t>
  </si>
  <si>
    <t>Lorsban 4E</t>
  </si>
  <si>
    <t>Karate Zeon</t>
  </si>
  <si>
    <t>Punto 70 WP</t>
  </si>
  <si>
    <t>Aceite sunspray</t>
  </si>
  <si>
    <t>Analisis foliar</t>
  </si>
  <si>
    <t>Enero-febrero</t>
  </si>
  <si>
    <t>Poda desbrote</t>
  </si>
  <si>
    <t>Traslado,seleccionado y embalaje en packing</t>
  </si>
  <si>
    <t>Cosecha: sacar cajas</t>
  </si>
  <si>
    <t>Fosfimat 40 20</t>
  </si>
  <si>
    <t>BC-1000 (fungicida-bactericida)</t>
  </si>
  <si>
    <t>Roundup</t>
  </si>
  <si>
    <t xml:space="preserve">Variedad: Lapins </t>
  </si>
  <si>
    <t>Destino Mercado: Interno (30%) - exportación (70%)</t>
  </si>
  <si>
    <t>Triturar despunte (producto de la poda)</t>
  </si>
  <si>
    <t xml:space="preserve"> (1) El precio del  kilo de cereza  utilizado en el análisis de sensibilidad, corresponde al promedio de la región durante el periodo de cosecha en la temporada 2012/13, considerando precio mercado exportación 70% y mercado interno 30%.</t>
  </si>
  <si>
    <t>Traslado, seleccionado y embalaje en packing</t>
  </si>
  <si>
    <t>Densidad (plantas/ha): 1.111 (2m x 4,5m)</t>
  </si>
  <si>
    <t>Plena producción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</si>
</sst>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3" tint="-0.24997000396251678"/>
      <name val="Arial"/>
      <family val="2"/>
    </font>
    <font>
      <sz val="14"/>
      <color theme="3" tint="-0.24997000396251678"/>
      <name val="Arial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  <xf numFmtId="0" fontId="4" fillId="0" borderId="10" applyNumberFormat="0" applyFill="0" applyAlignment="0" applyProtection="0"/>
  </cellStyleXfs>
  <cellXfs count="233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8" fillId="0" borderId="0" xfId="0" applyFont="1" applyAlignment="1">
      <alignment/>
    </xf>
    <xf numFmtId="0" fontId="9" fillId="0" borderId="0" xfId="56" applyFont="1" applyFill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172" fontId="9" fillId="0" borderId="0" xfId="67" applyFont="1" applyFill="1" applyAlignment="1" applyProtection="1">
      <alignment horizontal="right"/>
      <protection/>
    </xf>
    <xf numFmtId="172" fontId="7" fillId="0" borderId="0" xfId="67" applyFont="1" applyFill="1" applyAlignment="1" applyProtection="1">
      <alignment horizontal="right"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7" fillId="34" borderId="11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3" fontId="9" fillId="35" borderId="12" xfId="56" applyNumberFormat="1" applyFont="1" applyFill="1" applyBorder="1" applyAlignment="1" applyProtection="1">
      <alignment horizontal="right"/>
      <protection/>
    </xf>
    <xf numFmtId="3" fontId="9" fillId="35" borderId="13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5" borderId="14" xfId="69" applyFont="1" applyFill="1" applyBorder="1" applyAlignment="1">
      <alignment vertical="center"/>
    </xf>
    <xf numFmtId="3" fontId="7" fillId="35" borderId="14" xfId="56" applyNumberFormat="1" applyFont="1" applyFill="1" applyBorder="1" applyAlignment="1" applyProtection="1">
      <alignment horizontal="right"/>
      <protection/>
    </xf>
    <xf numFmtId="10" fontId="7" fillId="35" borderId="14" xfId="56" applyNumberFormat="1" applyFont="1" applyFill="1" applyBorder="1" applyAlignment="1">
      <alignment horizontal="right"/>
      <protection/>
    </xf>
    <xf numFmtId="3" fontId="7" fillId="35" borderId="14" xfId="56" applyNumberFormat="1" applyFont="1" applyFill="1" applyBorder="1" applyAlignment="1">
      <alignment horizontal="right"/>
      <protection/>
    </xf>
    <xf numFmtId="3" fontId="49" fillId="36" borderId="11" xfId="56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5" borderId="14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5" borderId="13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7" fillId="34" borderId="15" xfId="0" applyNumberFormat="1" applyFont="1" applyFill="1" applyBorder="1" applyAlignment="1" applyProtection="1">
      <alignment horizontal="right"/>
      <protection/>
    </xf>
    <xf numFmtId="3" fontId="9" fillId="35" borderId="16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0" xfId="67" applyNumberFormat="1" applyFont="1" applyFill="1" applyAlignment="1">
      <alignment horizontal="center"/>
      <protection/>
    </xf>
    <xf numFmtId="173" fontId="9" fillId="35" borderId="12" xfId="67" applyNumberFormat="1" applyFont="1" applyFill="1" applyBorder="1" applyAlignment="1" applyProtection="1">
      <alignment horizontal="right"/>
      <protection/>
    </xf>
    <xf numFmtId="173" fontId="9" fillId="35" borderId="13" xfId="67" applyNumberFormat="1" applyFont="1" applyFill="1" applyBorder="1" applyAlignment="1" applyProtection="1">
      <alignment horizontal="right" vertical="center"/>
      <protection/>
    </xf>
    <xf numFmtId="172" fontId="9" fillId="35" borderId="17" xfId="67" applyFont="1" applyFill="1" applyBorder="1" applyAlignment="1">
      <alignment horizontal="right"/>
      <protection/>
    </xf>
    <xf numFmtId="0" fontId="9" fillId="35" borderId="18" xfId="56" applyFont="1" applyFill="1" applyBorder="1" applyAlignment="1" applyProtection="1">
      <alignment horizontal="right"/>
      <protection/>
    </xf>
    <xf numFmtId="172" fontId="9" fillId="35" borderId="18" xfId="67" applyFont="1" applyFill="1" applyBorder="1" applyAlignment="1">
      <alignment horizontal="right" vertical="center"/>
      <protection/>
    </xf>
    <xf numFmtId="3" fontId="9" fillId="35" borderId="17" xfId="56" applyNumberFormat="1" applyFont="1" applyFill="1" applyBorder="1" applyAlignment="1" applyProtection="1">
      <alignment horizontal="right"/>
      <protection/>
    </xf>
    <xf numFmtId="3" fontId="9" fillId="35" borderId="18" xfId="56" applyNumberFormat="1" applyFont="1" applyFill="1" applyBorder="1" applyAlignment="1" applyProtection="1">
      <alignment horizontal="right"/>
      <protection/>
    </xf>
    <xf numFmtId="3" fontId="9" fillId="35" borderId="18" xfId="56" applyNumberFormat="1" applyFont="1" applyFill="1" applyBorder="1" applyAlignment="1" applyProtection="1">
      <alignment horizontal="right" vertical="center"/>
      <protection/>
    </xf>
    <xf numFmtId="3" fontId="7" fillId="34" borderId="15" xfId="56" applyNumberFormat="1" applyFont="1" applyFill="1" applyBorder="1" applyAlignment="1" applyProtection="1">
      <alignment horizontal="right"/>
      <protection/>
    </xf>
    <xf numFmtId="3" fontId="9" fillId="0" borderId="14" xfId="0" applyNumberFormat="1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2" fillId="37" borderId="14" xfId="0" applyFont="1" applyFill="1" applyBorder="1" applyAlignment="1">
      <alignment horizontal="center"/>
    </xf>
    <xf numFmtId="0" fontId="46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46" fillId="0" borderId="0" xfId="0" applyNumberFormat="1" applyFont="1" applyAlignment="1">
      <alignment/>
    </xf>
    <xf numFmtId="0" fontId="9" fillId="35" borderId="18" xfId="56" applyFont="1" applyFill="1" applyBorder="1" applyAlignment="1" applyProtection="1">
      <alignment horizontal="left"/>
      <protection/>
    </xf>
    <xf numFmtId="0" fontId="9" fillId="35" borderId="20" xfId="56" applyFont="1" applyFill="1" applyBorder="1" applyAlignment="1">
      <alignment horizontal="center"/>
      <protection/>
    </xf>
    <xf numFmtId="0" fontId="9" fillId="35" borderId="0" xfId="56" applyFont="1" applyFill="1" applyBorder="1" applyAlignment="1">
      <alignment horizontal="center"/>
      <protection/>
    </xf>
    <xf numFmtId="0" fontId="9" fillId="35" borderId="20" xfId="67" applyNumberFormat="1" applyFont="1" applyFill="1" applyBorder="1" applyAlignment="1" applyProtection="1">
      <alignment horizontal="left"/>
      <protection/>
    </xf>
    <xf numFmtId="0" fontId="9" fillId="35" borderId="0" xfId="67" applyNumberFormat="1" applyFont="1" applyFill="1" applyBorder="1" applyAlignment="1" applyProtection="1">
      <alignment horizontal="left"/>
      <protection/>
    </xf>
    <xf numFmtId="0" fontId="7" fillId="35" borderId="20" xfId="56" applyFont="1" applyFill="1" applyBorder="1" applyAlignment="1" applyProtection="1">
      <alignment horizontal="left"/>
      <protection/>
    </xf>
    <xf numFmtId="0" fontId="7" fillId="35" borderId="0" xfId="56" applyFont="1" applyFill="1" applyBorder="1" applyAlignment="1" applyProtection="1">
      <alignment horizontal="left"/>
      <protection/>
    </xf>
    <xf numFmtId="0" fontId="7" fillId="35" borderId="18" xfId="56" applyFont="1" applyFill="1" applyBorder="1" applyAlignment="1" applyProtection="1">
      <alignment horizontal="left"/>
      <protection/>
    </xf>
    <xf numFmtId="0" fontId="9" fillId="35" borderId="20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47" fillId="0" borderId="0" xfId="0" applyFont="1" applyFill="1" applyAlignment="1">
      <alignment/>
    </xf>
    <xf numFmtId="3" fontId="9" fillId="0" borderId="0" xfId="67" applyNumberFormat="1" applyFont="1" applyFill="1" applyAlignment="1">
      <alignment/>
      <protection/>
    </xf>
    <xf numFmtId="172" fontId="9" fillId="0" borderId="0" xfId="67" applyFont="1" applyFill="1" applyAlignment="1" applyProtection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left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0" fontId="47" fillId="0" borderId="0" xfId="0" applyFont="1" applyFill="1" applyBorder="1" applyAlignment="1">
      <alignment/>
    </xf>
    <xf numFmtId="0" fontId="9" fillId="0" borderId="0" xfId="56" applyFont="1" applyFill="1" applyAlignment="1">
      <alignment/>
      <protection/>
    </xf>
    <xf numFmtId="175" fontId="7" fillId="35" borderId="21" xfId="67" applyNumberFormat="1" applyFont="1" applyFill="1" applyBorder="1" applyAlignment="1">
      <alignment horizontal="left" vertical="center"/>
      <protection/>
    </xf>
    <xf numFmtId="0" fontId="9" fillId="35" borderId="22" xfId="55" applyFont="1" applyFill="1" applyBorder="1">
      <alignment/>
      <protection/>
    </xf>
    <xf numFmtId="0" fontId="47" fillId="35" borderId="22" xfId="0" applyFont="1" applyFill="1" applyBorder="1" applyAlignment="1">
      <alignment/>
    </xf>
    <xf numFmtId="3" fontId="7" fillId="35" borderId="23" xfId="55" applyNumberFormat="1" applyFont="1" applyFill="1" applyBorder="1" applyAlignment="1">
      <alignment horizontal="right"/>
      <protection/>
    </xf>
    <xf numFmtId="0" fontId="7" fillId="35" borderId="24" xfId="55" applyFont="1" applyFill="1" applyBorder="1" applyAlignment="1">
      <alignment horizontal="left"/>
      <protection/>
    </xf>
    <xf numFmtId="0" fontId="9" fillId="35" borderId="0" xfId="55" applyFont="1" applyFill="1" applyBorder="1">
      <alignment/>
      <protection/>
    </xf>
    <xf numFmtId="0" fontId="47" fillId="35" borderId="0" xfId="0" applyFont="1" applyFill="1" applyBorder="1" applyAlignment="1">
      <alignment/>
    </xf>
    <xf numFmtId="3" fontId="7" fillId="35" borderId="25" xfId="55" applyNumberFormat="1" applyFont="1" applyFill="1" applyBorder="1" applyAlignment="1">
      <alignment horizontal="right"/>
      <protection/>
    </xf>
    <xf numFmtId="173" fontId="9" fillId="35" borderId="0" xfId="67" applyNumberFormat="1" applyFont="1" applyFill="1" applyBorder="1" applyAlignment="1">
      <alignment horizontal="center"/>
      <protection/>
    </xf>
    <xf numFmtId="10" fontId="7" fillId="35" borderId="25" xfId="69" applyNumberFormat="1" applyFont="1" applyFill="1" applyBorder="1" applyAlignment="1">
      <alignment horizontal="right"/>
    </xf>
    <xf numFmtId="9" fontId="7" fillId="35" borderId="25" xfId="69" applyFont="1" applyFill="1" applyBorder="1" applyAlignment="1">
      <alignment horizontal="right"/>
    </xf>
    <xf numFmtId="0" fontId="7" fillId="35" borderId="26" xfId="55" applyFont="1" applyFill="1" applyBorder="1" applyAlignment="1">
      <alignment horizontal="left"/>
      <protection/>
    </xf>
    <xf numFmtId="173" fontId="9" fillId="35" borderId="27" xfId="67" applyNumberFormat="1" applyFont="1" applyFill="1" applyBorder="1" applyAlignment="1">
      <alignment horizontal="center"/>
      <protection/>
    </xf>
    <xf numFmtId="0" fontId="47" fillId="35" borderId="27" xfId="0" applyFont="1" applyFill="1" applyBorder="1" applyAlignment="1">
      <alignment/>
    </xf>
    <xf numFmtId="0" fontId="7" fillId="35" borderId="28" xfId="55" applyFont="1" applyFill="1" applyBorder="1">
      <alignment/>
      <protection/>
    </xf>
    <xf numFmtId="0" fontId="7" fillId="35" borderId="21" xfId="0" applyFont="1" applyFill="1" applyBorder="1" applyAlignment="1">
      <alignment/>
    </xf>
    <xf numFmtId="3" fontId="7" fillId="35" borderId="23" xfId="56" applyNumberFormat="1" applyFont="1" applyFill="1" applyBorder="1" applyAlignment="1">
      <alignment/>
      <protection/>
    </xf>
    <xf numFmtId="0" fontId="7" fillId="35" borderId="24" xfId="0" applyFont="1" applyFill="1" applyBorder="1" applyAlignment="1">
      <alignment/>
    </xf>
    <xf numFmtId="3" fontId="9" fillId="35" borderId="0" xfId="67" applyNumberFormat="1" applyFont="1" applyFill="1" applyBorder="1" applyAlignment="1">
      <alignment/>
      <protection/>
    </xf>
    <xf numFmtId="3" fontId="7" fillId="35" borderId="25" xfId="56" applyNumberFormat="1" applyFont="1" applyFill="1" applyBorder="1" applyAlignment="1">
      <alignment/>
      <protection/>
    </xf>
    <xf numFmtId="0" fontId="47" fillId="35" borderId="26" xfId="0" applyFont="1" applyFill="1" applyBorder="1" applyAlignment="1">
      <alignment/>
    </xf>
    <xf numFmtId="3" fontId="9" fillId="35" borderId="27" xfId="56" applyNumberFormat="1" applyFont="1" applyFill="1" applyBorder="1" applyAlignment="1">
      <alignment/>
      <protection/>
    </xf>
    <xf numFmtId="0" fontId="9" fillId="35" borderId="28" xfId="56" applyFont="1" applyFill="1" applyBorder="1" applyAlignment="1">
      <alignment/>
      <protection/>
    </xf>
    <xf numFmtId="0" fontId="50" fillId="34" borderId="24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3" fontId="50" fillId="34" borderId="25" xfId="56" applyNumberFormat="1" applyFont="1" applyFill="1" applyBorder="1" applyAlignment="1">
      <alignment/>
      <protection/>
    </xf>
    <xf numFmtId="173" fontId="9" fillId="35" borderId="17" xfId="56" applyNumberFormat="1" applyFont="1" applyFill="1" applyBorder="1" applyAlignment="1" applyProtection="1">
      <alignment horizontal="right"/>
      <protection/>
    </xf>
    <xf numFmtId="3" fontId="9" fillId="35" borderId="29" xfId="67" applyNumberFormat="1" applyFont="1" applyFill="1" applyBorder="1" applyAlignment="1" applyProtection="1">
      <alignment horizontal="right"/>
      <protection/>
    </xf>
    <xf numFmtId="3" fontId="9" fillId="35" borderId="12" xfId="67" applyNumberFormat="1" applyFont="1" applyFill="1" applyBorder="1" applyAlignment="1" applyProtection="1">
      <alignment horizontal="right"/>
      <protection/>
    </xf>
    <xf numFmtId="3" fontId="9" fillId="35" borderId="20" xfId="67" applyNumberFormat="1" applyFont="1" applyFill="1" applyBorder="1" applyAlignment="1" applyProtection="1">
      <alignment horizontal="right"/>
      <protection/>
    </xf>
    <xf numFmtId="3" fontId="9" fillId="35" borderId="13" xfId="67" applyNumberFormat="1" applyFont="1" applyFill="1" applyBorder="1" applyAlignment="1" applyProtection="1">
      <alignment horizontal="right"/>
      <protection/>
    </xf>
    <xf numFmtId="173" fontId="9" fillId="35" borderId="18" xfId="56" applyNumberFormat="1" applyFont="1" applyFill="1" applyBorder="1" applyAlignment="1" applyProtection="1">
      <alignment horizontal="right"/>
      <protection/>
    </xf>
    <xf numFmtId="3" fontId="9" fillId="35" borderId="16" xfId="67" applyNumberFormat="1" applyFont="1" applyFill="1" applyBorder="1" applyAlignment="1" applyProtection="1">
      <alignment horizontal="right"/>
      <protection/>
    </xf>
    <xf numFmtId="0" fontId="9" fillId="35" borderId="29" xfId="56" applyFont="1" applyFill="1" applyBorder="1" applyAlignment="1" applyProtection="1">
      <alignment horizontal="left"/>
      <protection/>
    </xf>
    <xf numFmtId="0" fontId="9" fillId="35" borderId="30" xfId="56" applyFont="1" applyFill="1" applyBorder="1" applyAlignment="1" applyProtection="1">
      <alignment horizontal="left"/>
      <protection/>
    </xf>
    <xf numFmtId="173" fontId="9" fillId="35" borderId="12" xfId="56" applyNumberFormat="1" applyFont="1" applyFill="1" applyBorder="1" applyAlignment="1" applyProtection="1">
      <alignment horizontal="right"/>
      <protection/>
    </xf>
    <xf numFmtId="173" fontId="9" fillId="35" borderId="16" xfId="56" applyNumberFormat="1" applyFont="1" applyFill="1" applyBorder="1" applyAlignment="1" applyProtection="1">
      <alignment horizontal="right"/>
      <protection/>
    </xf>
    <xf numFmtId="3" fontId="9" fillId="35" borderId="31" xfId="67" applyNumberFormat="1" applyFont="1" applyFill="1" applyBorder="1" applyAlignment="1" applyProtection="1">
      <alignment horizontal="right"/>
      <protection/>
    </xf>
    <xf numFmtId="0" fontId="7" fillId="35" borderId="0" xfId="67" applyNumberFormat="1" applyFont="1" applyFill="1" applyBorder="1" applyAlignment="1" applyProtection="1">
      <alignment horizontal="left"/>
      <protection/>
    </xf>
    <xf numFmtId="173" fontId="9" fillId="35" borderId="13" xfId="67" applyNumberFormat="1" applyFont="1" applyFill="1" applyBorder="1" applyAlignment="1" applyProtection="1">
      <alignment horizontal="right"/>
      <protection/>
    </xf>
    <xf numFmtId="172" fontId="9" fillId="35" borderId="18" xfId="67" applyFont="1" applyFill="1" applyBorder="1" applyAlignment="1">
      <alignment horizontal="right"/>
      <protection/>
    </xf>
    <xf numFmtId="0" fontId="52" fillId="35" borderId="13" xfId="0" applyFont="1" applyFill="1" applyBorder="1" applyAlignment="1">
      <alignment/>
    </xf>
    <xf numFmtId="0" fontId="52" fillId="35" borderId="18" xfId="0" applyFont="1" applyFill="1" applyBorder="1" applyAlignment="1">
      <alignment horizontal="right"/>
    </xf>
    <xf numFmtId="3" fontId="52" fillId="35" borderId="18" xfId="0" applyNumberFormat="1" applyFont="1" applyFill="1" applyBorder="1" applyAlignment="1">
      <alignment/>
    </xf>
    <xf numFmtId="0" fontId="52" fillId="35" borderId="18" xfId="0" applyFont="1" applyFill="1" applyBorder="1" applyAlignment="1">
      <alignment/>
    </xf>
    <xf numFmtId="0" fontId="9" fillId="35" borderId="18" xfId="56" applyFont="1" applyFill="1" applyBorder="1" applyAlignment="1">
      <alignment/>
      <protection/>
    </xf>
    <xf numFmtId="3" fontId="47" fillId="0" borderId="0" xfId="67" applyNumberFormat="1" applyFont="1" applyFill="1" applyAlignment="1">
      <alignment/>
      <protection/>
    </xf>
    <xf numFmtId="2" fontId="47" fillId="0" borderId="0" xfId="67" applyNumberFormat="1" applyFont="1" applyFill="1" applyAlignment="1">
      <alignment/>
      <protection/>
    </xf>
    <xf numFmtId="0" fontId="48" fillId="0" borderId="0" xfId="0" applyFont="1" applyFill="1" applyAlignment="1">
      <alignment/>
    </xf>
    <xf numFmtId="0" fontId="52" fillId="35" borderId="20" xfId="0" applyFont="1" applyFill="1" applyBorder="1" applyAlignment="1">
      <alignment horizontal="center"/>
    </xf>
    <xf numFmtId="0" fontId="52" fillId="35" borderId="18" xfId="0" applyFont="1" applyFill="1" applyBorder="1" applyAlignment="1">
      <alignment horizontal="center"/>
    </xf>
    <xf numFmtId="0" fontId="9" fillId="35" borderId="20" xfId="56" applyFont="1" applyFill="1" applyBorder="1" applyAlignment="1">
      <alignment horizontal="center"/>
      <protection/>
    </xf>
    <xf numFmtId="0" fontId="9" fillId="35" borderId="18" xfId="56" applyFont="1" applyFill="1" applyBorder="1" applyAlignment="1">
      <alignment horizontal="center"/>
      <protection/>
    </xf>
    <xf numFmtId="0" fontId="9" fillId="35" borderId="0" xfId="56" applyFont="1" applyFill="1" applyBorder="1" applyAlignment="1">
      <alignment horizontal="center"/>
      <protection/>
    </xf>
    <xf numFmtId="0" fontId="9" fillId="0" borderId="2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8" xfId="56" applyFont="1" applyFill="1" applyBorder="1" applyAlignment="1">
      <alignment horizontal="left" vertical="top" wrapText="1"/>
      <protection/>
    </xf>
    <xf numFmtId="3" fontId="9" fillId="0" borderId="29" xfId="53" applyNumberFormat="1" applyFont="1" applyFill="1" applyBorder="1" applyAlignment="1">
      <alignment horizontal="left" vertical="top" wrapText="1"/>
      <protection/>
    </xf>
    <xf numFmtId="3" fontId="9" fillId="0" borderId="30" xfId="53" applyNumberFormat="1" applyFont="1" applyFill="1" applyBorder="1" applyAlignment="1">
      <alignment horizontal="left" vertical="top" wrapText="1"/>
      <protection/>
    </xf>
    <xf numFmtId="3" fontId="9" fillId="0" borderId="17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18" xfId="53" applyNumberFormat="1" applyFont="1" applyFill="1" applyBorder="1" applyAlignment="1">
      <alignment horizontal="left" vertical="top" wrapText="1"/>
      <protection/>
    </xf>
    <xf numFmtId="0" fontId="7" fillId="34" borderId="32" xfId="56" applyFont="1" applyFill="1" applyBorder="1" applyAlignment="1" applyProtection="1">
      <alignment horizontal="left" vertical="center"/>
      <protection/>
    </xf>
    <xf numFmtId="0" fontId="7" fillId="34" borderId="33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9" fillId="35" borderId="14" xfId="56" applyFont="1" applyFill="1" applyBorder="1" applyAlignment="1" applyProtection="1">
      <alignment horizontal="left"/>
      <protection/>
    </xf>
    <xf numFmtId="0" fontId="7" fillId="34" borderId="32" xfId="56" applyFont="1" applyFill="1" applyBorder="1" applyAlignment="1" applyProtection="1">
      <alignment horizontal="left"/>
      <protection/>
    </xf>
    <xf numFmtId="0" fontId="7" fillId="34" borderId="33" xfId="56" applyFont="1" applyFill="1" applyBorder="1" applyAlignment="1" applyProtection="1">
      <alignment horizontal="left"/>
      <protection/>
    </xf>
    <xf numFmtId="3" fontId="7" fillId="0" borderId="2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49" fillId="36" borderId="32" xfId="56" applyFont="1" applyFill="1" applyBorder="1" applyAlignment="1" applyProtection="1">
      <alignment horizontal="left" vertical="center"/>
      <protection/>
    </xf>
    <xf numFmtId="0" fontId="49" fillId="36" borderId="33" xfId="56" applyFont="1" applyFill="1" applyBorder="1" applyAlignment="1" applyProtection="1">
      <alignment horizontal="left" vertical="center"/>
      <protection/>
    </xf>
    <xf numFmtId="0" fontId="9" fillId="35" borderId="14" xfId="56" applyFont="1" applyFill="1" applyBorder="1" applyAlignment="1" applyProtection="1">
      <alignment horizontal="left" vertical="center"/>
      <protection/>
    </xf>
    <xf numFmtId="0" fontId="9" fillId="35" borderId="20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9" fillId="35" borderId="18" xfId="56" applyFont="1" applyFill="1" applyBorder="1" applyAlignment="1" applyProtection="1">
      <alignment horizontal="left"/>
      <protection/>
    </xf>
    <xf numFmtId="0" fontId="9" fillId="35" borderId="31" xfId="56" applyFont="1" applyFill="1" applyBorder="1" applyAlignment="1">
      <alignment horizontal="center"/>
      <protection/>
    </xf>
    <xf numFmtId="0" fontId="9" fillId="35" borderId="15" xfId="56" applyFont="1" applyFill="1" applyBorder="1" applyAlignment="1">
      <alignment horizontal="center"/>
      <protection/>
    </xf>
    <xf numFmtId="0" fontId="7" fillId="35" borderId="29" xfId="67" applyNumberFormat="1" applyFont="1" applyFill="1" applyBorder="1" applyAlignment="1" applyProtection="1">
      <alignment horizontal="left"/>
      <protection/>
    </xf>
    <xf numFmtId="0" fontId="7" fillId="35" borderId="30" xfId="67" applyNumberFormat="1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5" borderId="29" xfId="56" applyFont="1" applyFill="1" applyBorder="1" applyAlignment="1" applyProtection="1">
      <alignment horizontal="left"/>
      <protection/>
    </xf>
    <xf numFmtId="0" fontId="9" fillId="35" borderId="30" xfId="56" applyFont="1" applyFill="1" applyBorder="1" applyAlignment="1" applyProtection="1">
      <alignment horizontal="left"/>
      <protection/>
    </xf>
    <xf numFmtId="0" fontId="9" fillId="35" borderId="29" xfId="56" applyFont="1" applyFill="1" applyBorder="1" applyAlignment="1">
      <alignment horizontal="center"/>
      <protection/>
    </xf>
    <xf numFmtId="0" fontId="9" fillId="35" borderId="17" xfId="56" applyFont="1" applyFill="1" applyBorder="1" applyAlignment="1">
      <alignment horizontal="center"/>
      <protection/>
    </xf>
    <xf numFmtId="0" fontId="49" fillId="36" borderId="21" xfId="56" applyFont="1" applyFill="1" applyBorder="1" applyAlignment="1" applyProtection="1">
      <alignment horizontal="center" vertical="center"/>
      <protection/>
    </xf>
    <xf numFmtId="0" fontId="49" fillId="36" borderId="22" xfId="56" applyFont="1" applyFill="1" applyBorder="1" applyAlignment="1" applyProtection="1">
      <alignment horizontal="center" vertical="center"/>
      <protection/>
    </xf>
    <xf numFmtId="0" fontId="49" fillId="36" borderId="26" xfId="56" applyFont="1" applyFill="1" applyBorder="1" applyAlignment="1" applyProtection="1">
      <alignment horizontal="center" vertical="center"/>
      <protection/>
    </xf>
    <xf numFmtId="0" fontId="49" fillId="36" borderId="27" xfId="56" applyFont="1" applyFill="1" applyBorder="1" applyAlignment="1" applyProtection="1">
      <alignment horizontal="center" vertical="center"/>
      <protection/>
    </xf>
    <xf numFmtId="0" fontId="49" fillId="36" borderId="34" xfId="55" applyFont="1" applyFill="1" applyBorder="1" applyAlignment="1">
      <alignment horizontal="center"/>
      <protection/>
    </xf>
    <xf numFmtId="0" fontId="49" fillId="36" borderId="35" xfId="55" applyFont="1" applyFill="1" applyBorder="1" applyAlignment="1">
      <alignment horizontal="center"/>
      <protection/>
    </xf>
    <xf numFmtId="0" fontId="49" fillId="36" borderId="36" xfId="55" applyFont="1" applyFill="1" applyBorder="1" applyAlignment="1">
      <alignment horizontal="center"/>
      <protection/>
    </xf>
    <xf numFmtId="4" fontId="49" fillId="36" borderId="22" xfId="56" applyNumberFormat="1" applyFont="1" applyFill="1" applyBorder="1" applyAlignment="1" applyProtection="1">
      <alignment horizontal="center" vertical="center" wrapText="1"/>
      <protection/>
    </xf>
    <xf numFmtId="4" fontId="49" fillId="36" borderId="27" xfId="56" applyNumberFormat="1" applyFont="1" applyFill="1" applyBorder="1" applyAlignment="1" applyProtection="1">
      <alignment horizontal="center" vertical="center" wrapText="1"/>
      <protection/>
    </xf>
    <xf numFmtId="0" fontId="49" fillId="36" borderId="22" xfId="56" applyFont="1" applyFill="1" applyBorder="1" applyAlignment="1" applyProtection="1">
      <alignment horizontal="center" vertical="center" wrapText="1"/>
      <protection/>
    </xf>
    <xf numFmtId="0" fontId="49" fillId="36" borderId="27" xfId="56" applyFont="1" applyFill="1" applyBorder="1" applyAlignment="1" applyProtection="1">
      <alignment horizontal="center" vertical="center" wrapText="1"/>
      <protection/>
    </xf>
    <xf numFmtId="3" fontId="49" fillId="36" borderId="22" xfId="56" applyNumberFormat="1" applyFont="1" applyFill="1" applyBorder="1" applyAlignment="1" applyProtection="1">
      <alignment horizontal="center" vertical="center" wrapText="1"/>
      <protection/>
    </xf>
    <xf numFmtId="3" fontId="49" fillId="36" borderId="27" xfId="56" applyNumberFormat="1" applyFont="1" applyFill="1" applyBorder="1" applyAlignment="1" applyProtection="1">
      <alignment horizontal="center" vertical="center" wrapText="1"/>
      <protection/>
    </xf>
    <xf numFmtId="3" fontId="49" fillId="36" borderId="23" xfId="56" applyNumberFormat="1" applyFont="1" applyFill="1" applyBorder="1" applyAlignment="1" applyProtection="1">
      <alignment horizontal="center" vertical="center"/>
      <protection/>
    </xf>
    <xf numFmtId="3" fontId="49" fillId="36" borderId="28" xfId="56" applyNumberFormat="1" applyFont="1" applyFill="1" applyBorder="1" applyAlignment="1" applyProtection="1">
      <alignment horizontal="center" vertical="center"/>
      <protection/>
    </xf>
    <xf numFmtId="0" fontId="9" fillId="0" borderId="31" xfId="56" applyFont="1" applyFill="1" applyBorder="1" applyAlignment="1">
      <alignment horizontal="left" vertical="top" wrapText="1"/>
      <protection/>
    </xf>
    <xf numFmtId="0" fontId="9" fillId="0" borderId="19" xfId="56" applyFont="1" applyFill="1" applyBorder="1" applyAlignment="1">
      <alignment horizontal="left" vertical="top" wrapText="1"/>
      <protection/>
    </xf>
    <xf numFmtId="0" fontId="9" fillId="0" borderId="15" xfId="56" applyFont="1" applyFill="1" applyBorder="1" applyAlignment="1">
      <alignment horizontal="left" vertical="top" wrapText="1"/>
      <protection/>
    </xf>
    <xf numFmtId="0" fontId="7" fillId="35" borderId="20" xfId="56" applyFont="1" applyFill="1" applyBorder="1" applyAlignment="1" applyProtection="1">
      <alignment horizontal="left"/>
      <protection/>
    </xf>
    <xf numFmtId="0" fontId="7" fillId="35" borderId="0" xfId="56" applyFont="1" applyFill="1" applyBorder="1" applyAlignment="1" applyProtection="1">
      <alignment horizontal="left"/>
      <protection/>
    </xf>
    <xf numFmtId="0" fontId="7" fillId="35" borderId="18" xfId="56" applyFont="1" applyFill="1" applyBorder="1" applyAlignment="1" applyProtection="1">
      <alignment horizontal="left"/>
      <protection/>
    </xf>
    <xf numFmtId="0" fontId="7" fillId="34" borderId="32" xfId="0" applyFont="1" applyFill="1" applyBorder="1" applyAlignment="1" applyProtection="1">
      <alignment horizontal="left"/>
      <protection/>
    </xf>
    <xf numFmtId="0" fontId="7" fillId="34" borderId="33" xfId="0" applyFont="1" applyFill="1" applyBorder="1" applyAlignment="1" applyProtection="1">
      <alignment horizontal="left"/>
      <protection/>
    </xf>
    <xf numFmtId="0" fontId="9" fillId="35" borderId="31" xfId="56" applyFont="1" applyFill="1" applyBorder="1" applyAlignment="1" applyProtection="1">
      <alignment horizontal="left"/>
      <protection/>
    </xf>
    <xf numFmtId="0" fontId="9" fillId="35" borderId="19" xfId="56" applyFont="1" applyFill="1" applyBorder="1" applyAlignment="1" applyProtection="1">
      <alignment horizontal="left"/>
      <protection/>
    </xf>
    <xf numFmtId="0" fontId="9" fillId="35" borderId="20" xfId="67" applyNumberFormat="1" applyFont="1" applyFill="1" applyBorder="1" applyAlignment="1" applyProtection="1">
      <alignment horizontal="left"/>
      <protection/>
    </xf>
    <xf numFmtId="0" fontId="9" fillId="35" borderId="0" xfId="67" applyNumberFormat="1" applyFont="1" applyFill="1" applyBorder="1" applyAlignment="1" applyProtection="1">
      <alignment horizontal="left"/>
      <protection/>
    </xf>
    <xf numFmtId="0" fontId="9" fillId="35" borderId="18" xfId="67" applyNumberFormat="1" applyFont="1" applyFill="1" applyBorder="1" applyAlignment="1" applyProtection="1">
      <alignment horizontal="left"/>
      <protection/>
    </xf>
    <xf numFmtId="0" fontId="9" fillId="35" borderId="30" xfId="56" applyFont="1" applyFill="1" applyBorder="1" applyAlignment="1">
      <alignment horizontal="center"/>
      <protection/>
    </xf>
    <xf numFmtId="0" fontId="7" fillId="35" borderId="20" xfId="67" applyNumberFormat="1" applyFont="1" applyFill="1" applyBorder="1" applyAlignment="1" applyProtection="1">
      <alignment horizontal="left" vertical="center" wrapText="1"/>
      <protection/>
    </xf>
    <xf numFmtId="0" fontId="7" fillId="35" borderId="0" xfId="67" applyNumberFormat="1" applyFont="1" applyFill="1" applyBorder="1" applyAlignment="1" applyProtection="1">
      <alignment horizontal="left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2</xdr:col>
      <xdr:colOff>704850</xdr:colOff>
      <xdr:row>7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200"/>
          <a:ext cx="1895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115</xdr:row>
      <xdr:rowOff>180975</xdr:rowOff>
    </xdr:from>
    <xdr:to>
      <xdr:col>2</xdr:col>
      <xdr:colOff>628650</xdr:colOff>
      <xdr:row>116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8130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2.28125" style="2" customWidth="1"/>
    <col min="2" max="4" width="18.7109375" style="0" customWidth="1"/>
    <col min="5" max="5" width="16.7109375" style="0" customWidth="1"/>
    <col min="6" max="6" width="13.8515625" style="0" customWidth="1"/>
    <col min="7" max="7" width="16.00390625" style="0" customWidth="1"/>
    <col min="8" max="8" width="20.8515625" style="0" customWidth="1"/>
    <col min="9" max="10" width="18.7109375" style="0" customWidth="1"/>
    <col min="11" max="11" width="10.140625" style="0" customWidth="1"/>
  </cols>
  <sheetData>
    <row r="1" spans="2:10" ht="23.25">
      <c r="B1" s="195" t="s">
        <v>18</v>
      </c>
      <c r="C1" s="195"/>
      <c r="D1" s="195"/>
      <c r="E1" s="195"/>
      <c r="F1" s="195"/>
      <c r="G1" s="195"/>
      <c r="H1" s="195"/>
      <c r="I1" s="195"/>
      <c r="J1" s="195"/>
    </row>
    <row r="2" spans="1:12" ht="19.5">
      <c r="A2" s="23"/>
      <c r="B2" s="7"/>
      <c r="C2" s="4"/>
      <c r="D2" s="4"/>
      <c r="E2" s="197" t="s">
        <v>84</v>
      </c>
      <c r="F2" s="197"/>
      <c r="G2" s="197"/>
      <c r="H2" s="4"/>
      <c r="I2" s="4"/>
      <c r="J2" s="4"/>
      <c r="K2" s="4"/>
      <c r="L2" s="4"/>
    </row>
    <row r="3" spans="1:11" ht="18.75">
      <c r="A3" s="23"/>
      <c r="B3" s="5"/>
      <c r="C3" s="6"/>
      <c r="D3" s="23"/>
      <c r="E3" s="196" t="s">
        <v>81</v>
      </c>
      <c r="F3" s="196"/>
      <c r="G3" s="196"/>
      <c r="H3" s="6"/>
      <c r="I3" s="6"/>
      <c r="J3" s="5"/>
      <c r="K3" s="8"/>
    </row>
    <row r="4" spans="1:11" ht="18.75">
      <c r="A4" s="23"/>
      <c r="B4" s="5"/>
      <c r="C4" s="6"/>
      <c r="D4" s="23"/>
      <c r="E4" s="48"/>
      <c r="F4" s="48"/>
      <c r="G4" s="48"/>
      <c r="H4" s="6"/>
      <c r="I4" s="6"/>
      <c r="J4" s="5"/>
      <c r="K4" s="8"/>
    </row>
    <row r="5" spans="1:11" ht="18.75">
      <c r="A5" s="23"/>
      <c r="B5" s="79"/>
      <c r="C5" s="79"/>
      <c r="D5" s="81" t="s">
        <v>122</v>
      </c>
      <c r="E5" s="80"/>
      <c r="F5" s="80"/>
      <c r="G5" s="134" t="s">
        <v>141</v>
      </c>
      <c r="H5" s="134"/>
      <c r="I5" s="79"/>
      <c r="J5" s="9"/>
      <c r="K5" s="10"/>
    </row>
    <row r="6" spans="1:11" ht="18.75">
      <c r="A6" s="23"/>
      <c r="B6" s="79"/>
      <c r="C6" s="79"/>
      <c r="D6" s="81" t="s">
        <v>126</v>
      </c>
      <c r="E6" s="79"/>
      <c r="F6" s="79"/>
      <c r="G6" s="135" t="s">
        <v>140</v>
      </c>
      <c r="H6" s="23"/>
      <c r="I6" s="134"/>
      <c r="J6" s="11"/>
      <c r="K6" s="10"/>
    </row>
    <row r="7" spans="1:11" ht="18.75">
      <c r="A7" s="23"/>
      <c r="B7" s="79"/>
      <c r="C7" s="79"/>
      <c r="D7" s="81" t="s">
        <v>146</v>
      </c>
      <c r="E7" s="81"/>
      <c r="F7" s="81"/>
      <c r="G7" s="81" t="s">
        <v>123</v>
      </c>
      <c r="H7" s="23"/>
      <c r="I7" s="12"/>
      <c r="J7" s="12"/>
      <c r="K7" s="10"/>
    </row>
    <row r="8" spans="1:11" ht="18.75">
      <c r="A8" s="23"/>
      <c r="B8" s="79"/>
      <c r="C8" s="79"/>
      <c r="D8" s="81" t="s">
        <v>108</v>
      </c>
      <c r="E8" s="81"/>
      <c r="F8" s="81"/>
      <c r="G8" s="81" t="s">
        <v>124</v>
      </c>
      <c r="H8" s="23"/>
      <c r="I8" s="12"/>
      <c r="J8" s="12"/>
      <c r="K8" s="13"/>
    </row>
    <row r="9" spans="1:13" ht="18.75">
      <c r="A9" s="23"/>
      <c r="B9" s="14"/>
      <c r="C9" s="15"/>
      <c r="D9" s="79" t="s">
        <v>125</v>
      </c>
      <c r="E9" s="82"/>
      <c r="F9" s="82"/>
      <c r="G9" s="83" t="s">
        <v>145</v>
      </c>
      <c r="H9" s="79"/>
      <c r="I9" s="84"/>
      <c r="J9" s="46"/>
      <c r="K9" s="16"/>
      <c r="M9" t="s">
        <v>46</v>
      </c>
    </row>
    <row r="10" spans="1:11" ht="19.5" thickBot="1">
      <c r="A10" s="23"/>
      <c r="B10" s="14"/>
      <c r="C10" s="15"/>
      <c r="D10" s="79"/>
      <c r="E10" s="82"/>
      <c r="F10" s="82"/>
      <c r="G10" s="85"/>
      <c r="H10" s="79"/>
      <c r="I10" s="84"/>
      <c r="J10" s="46"/>
      <c r="K10" s="16"/>
    </row>
    <row r="11" spans="1:11" ht="19.5" thickBot="1">
      <c r="A11" s="23"/>
      <c r="B11" s="206" t="s">
        <v>48</v>
      </c>
      <c r="C11" s="207"/>
      <c r="D11" s="207"/>
      <c r="E11" s="208"/>
      <c r="F11" s="82"/>
      <c r="G11" s="206" t="s">
        <v>24</v>
      </c>
      <c r="H11" s="207"/>
      <c r="I11" s="207"/>
      <c r="J11" s="208"/>
      <c r="K11" s="16"/>
    </row>
    <row r="12" spans="1:11" ht="18.75">
      <c r="A12" s="23"/>
      <c r="B12" s="88" t="s">
        <v>8</v>
      </c>
      <c r="C12" s="89"/>
      <c r="D12" s="90"/>
      <c r="E12" s="91">
        <v>9000</v>
      </c>
      <c r="F12" s="86"/>
      <c r="G12" s="103" t="s">
        <v>20</v>
      </c>
      <c r="H12" s="90"/>
      <c r="I12" s="90"/>
      <c r="J12" s="104">
        <f>J31+J38+J81</f>
        <v>5413804.5</v>
      </c>
      <c r="K12" s="17"/>
    </row>
    <row r="13" spans="1:11" ht="18.75">
      <c r="A13" s="23"/>
      <c r="B13" s="92" t="s">
        <v>59</v>
      </c>
      <c r="C13" s="93"/>
      <c r="D13" s="94"/>
      <c r="E13" s="95">
        <v>1200</v>
      </c>
      <c r="F13" s="86"/>
      <c r="G13" s="105" t="s">
        <v>21</v>
      </c>
      <c r="H13" s="106"/>
      <c r="I13" s="94"/>
      <c r="J13" s="107">
        <f>J31+J38+J81+J91</f>
        <v>6090530.0625</v>
      </c>
      <c r="K13" s="17"/>
    </row>
    <row r="14" spans="1:11" ht="18.75">
      <c r="A14" s="23"/>
      <c r="B14" s="92" t="s">
        <v>19</v>
      </c>
      <c r="C14" s="93"/>
      <c r="D14" s="94"/>
      <c r="E14" s="95">
        <v>12000</v>
      </c>
      <c r="F14" s="86"/>
      <c r="G14" s="111" t="s">
        <v>13</v>
      </c>
      <c r="H14" s="112"/>
      <c r="I14" s="112"/>
      <c r="J14" s="113">
        <f>E12*E13</f>
        <v>10800000</v>
      </c>
      <c r="K14" s="17"/>
    </row>
    <row r="15" spans="1:11" ht="18.75">
      <c r="A15" s="23"/>
      <c r="B15" s="92" t="s">
        <v>9</v>
      </c>
      <c r="C15" s="96"/>
      <c r="D15" s="94"/>
      <c r="E15" s="97">
        <v>0.0125</v>
      </c>
      <c r="F15" s="86"/>
      <c r="G15" s="105" t="s">
        <v>22</v>
      </c>
      <c r="H15" s="94"/>
      <c r="I15" s="94"/>
      <c r="J15" s="107">
        <f>J14-J12</f>
        <v>5386195.5</v>
      </c>
      <c r="K15" s="17"/>
    </row>
    <row r="16" spans="1:11" ht="18.75">
      <c r="A16" s="23"/>
      <c r="B16" s="92" t="s">
        <v>17</v>
      </c>
      <c r="C16" s="96"/>
      <c r="D16" s="94"/>
      <c r="E16" s="98">
        <v>0.5</v>
      </c>
      <c r="F16" s="86"/>
      <c r="G16" s="105" t="s">
        <v>23</v>
      </c>
      <c r="H16" s="94"/>
      <c r="I16" s="94"/>
      <c r="J16" s="107">
        <f>J14-J13</f>
        <v>4709469.9375</v>
      </c>
      <c r="K16" s="17"/>
    </row>
    <row r="17" spans="1:11" ht="19.5" thickBot="1">
      <c r="A17" s="23"/>
      <c r="B17" s="99" t="s">
        <v>10</v>
      </c>
      <c r="C17" s="100"/>
      <c r="D17" s="101"/>
      <c r="E17" s="102">
        <v>12</v>
      </c>
      <c r="F17" s="79"/>
      <c r="G17" s="108"/>
      <c r="H17" s="101"/>
      <c r="I17" s="109"/>
      <c r="J17" s="110"/>
      <c r="K17" s="17"/>
    </row>
    <row r="18" spans="1:11" ht="19.5" thickBot="1">
      <c r="A18" s="23"/>
      <c r="B18" s="14"/>
      <c r="C18" s="15"/>
      <c r="D18" s="15"/>
      <c r="E18" s="82"/>
      <c r="F18" s="82"/>
      <c r="G18" s="85"/>
      <c r="H18" s="80"/>
      <c r="I18" s="84"/>
      <c r="J18" s="87"/>
      <c r="K18" s="17"/>
    </row>
    <row r="19" spans="1:12" ht="18.75">
      <c r="A19" s="23"/>
      <c r="B19" s="202" t="s">
        <v>34</v>
      </c>
      <c r="C19" s="203"/>
      <c r="D19" s="203"/>
      <c r="E19" s="203" t="s">
        <v>25</v>
      </c>
      <c r="F19" s="203"/>
      <c r="G19" s="209" t="s">
        <v>26</v>
      </c>
      <c r="H19" s="211" t="s">
        <v>27</v>
      </c>
      <c r="I19" s="213" t="s">
        <v>28</v>
      </c>
      <c r="J19" s="215" t="s">
        <v>6</v>
      </c>
      <c r="K19" s="17"/>
      <c r="L19" s="1"/>
    </row>
    <row r="20" spans="1:12" ht="19.5" thickBot="1">
      <c r="A20" s="23"/>
      <c r="B20" s="204"/>
      <c r="C20" s="205"/>
      <c r="D20" s="205"/>
      <c r="E20" s="205"/>
      <c r="F20" s="205"/>
      <c r="G20" s="210"/>
      <c r="H20" s="212"/>
      <c r="I20" s="214"/>
      <c r="J20" s="216"/>
      <c r="K20" s="17"/>
      <c r="L20" s="1"/>
    </row>
    <row r="21" spans="1:12" ht="18.75">
      <c r="A21" s="23"/>
      <c r="B21" s="18"/>
      <c r="C21" s="18"/>
      <c r="D21" s="18"/>
      <c r="E21" s="18"/>
      <c r="F21" s="18"/>
      <c r="G21" s="19"/>
      <c r="H21" s="20"/>
      <c r="I21" s="21"/>
      <c r="J21" s="21"/>
      <c r="K21" s="17"/>
      <c r="L21" s="1"/>
    </row>
    <row r="22" spans="1:12" ht="18.75">
      <c r="A22" s="23"/>
      <c r="B22" s="18" t="s">
        <v>29</v>
      </c>
      <c r="C22" s="18"/>
      <c r="D22" s="18"/>
      <c r="E22" s="18"/>
      <c r="F22" s="18"/>
      <c r="G22" s="19"/>
      <c r="H22" s="20"/>
      <c r="I22" s="21"/>
      <c r="J22" s="21"/>
      <c r="K22" s="17"/>
      <c r="L22" s="1"/>
    </row>
    <row r="23" spans="1:13" ht="18.75">
      <c r="A23" s="23"/>
      <c r="B23" s="198" t="s">
        <v>86</v>
      </c>
      <c r="C23" s="199"/>
      <c r="D23" s="199"/>
      <c r="E23" s="200" t="s">
        <v>61</v>
      </c>
      <c r="F23" s="201"/>
      <c r="G23" s="114">
        <v>12</v>
      </c>
      <c r="H23" s="114" t="s">
        <v>11</v>
      </c>
      <c r="I23" s="115">
        <v>12000</v>
      </c>
      <c r="J23" s="116">
        <f>G23*I23</f>
        <v>144000</v>
      </c>
      <c r="K23" s="17"/>
      <c r="L23" s="1"/>
      <c r="M23" s="39"/>
    </row>
    <row r="24" spans="1:13" ht="18.75">
      <c r="A24" s="23"/>
      <c r="B24" s="188" t="s">
        <v>50</v>
      </c>
      <c r="C24" s="189"/>
      <c r="D24" s="190"/>
      <c r="E24" s="139" t="s">
        <v>85</v>
      </c>
      <c r="F24" s="140"/>
      <c r="G24" s="40">
        <v>7</v>
      </c>
      <c r="H24" s="40" t="s">
        <v>11</v>
      </c>
      <c r="I24" s="117">
        <v>12000</v>
      </c>
      <c r="J24" s="118">
        <f aca="true" t="shared" si="0" ref="J24:J30">G24*I24</f>
        <v>84000</v>
      </c>
      <c r="K24" s="17"/>
      <c r="L24" s="1"/>
      <c r="M24" s="39"/>
    </row>
    <row r="25" spans="1:13" ht="18.75">
      <c r="A25" s="23"/>
      <c r="B25" s="77" t="s">
        <v>109</v>
      </c>
      <c r="C25" s="78"/>
      <c r="D25" s="78"/>
      <c r="E25" s="139" t="s">
        <v>99</v>
      </c>
      <c r="F25" s="140"/>
      <c r="G25" s="119">
        <v>1111</v>
      </c>
      <c r="H25" s="119" t="s">
        <v>87</v>
      </c>
      <c r="I25" s="117">
        <v>400</v>
      </c>
      <c r="J25" s="118">
        <f t="shared" si="0"/>
        <v>444400</v>
      </c>
      <c r="K25" s="17"/>
      <c r="L25" s="1"/>
      <c r="M25" s="39"/>
    </row>
    <row r="26" spans="1:12" ht="18.75">
      <c r="A26" s="23"/>
      <c r="B26" s="77" t="s">
        <v>134</v>
      </c>
      <c r="C26" s="78"/>
      <c r="D26" s="78"/>
      <c r="E26" s="139" t="s">
        <v>110</v>
      </c>
      <c r="F26" s="140"/>
      <c r="G26" s="119">
        <v>1111</v>
      </c>
      <c r="H26" s="119" t="s">
        <v>87</v>
      </c>
      <c r="I26" s="117">
        <v>250</v>
      </c>
      <c r="J26" s="118">
        <f t="shared" si="0"/>
        <v>277750</v>
      </c>
      <c r="K26" s="17"/>
      <c r="L26" s="1"/>
    </row>
    <row r="27" spans="1:12" ht="18.75">
      <c r="A27" s="23"/>
      <c r="B27" s="77" t="s">
        <v>113</v>
      </c>
      <c r="C27" s="78"/>
      <c r="D27" s="78"/>
      <c r="E27" s="139" t="s">
        <v>60</v>
      </c>
      <c r="F27" s="140"/>
      <c r="G27" s="119">
        <v>1111</v>
      </c>
      <c r="H27" s="119" t="s">
        <v>87</v>
      </c>
      <c r="I27" s="117">
        <v>200</v>
      </c>
      <c r="J27" s="118">
        <f t="shared" si="0"/>
        <v>222200</v>
      </c>
      <c r="K27" s="17"/>
      <c r="L27" s="1"/>
    </row>
    <row r="28" spans="1:12" ht="18.75">
      <c r="A28" s="23"/>
      <c r="B28" s="77" t="s">
        <v>62</v>
      </c>
      <c r="C28" s="78"/>
      <c r="D28" s="78"/>
      <c r="E28" s="139" t="s">
        <v>61</v>
      </c>
      <c r="F28" s="140"/>
      <c r="G28" s="119">
        <v>3</v>
      </c>
      <c r="H28" s="119" t="s">
        <v>11</v>
      </c>
      <c r="I28" s="117">
        <v>12000</v>
      </c>
      <c r="J28" s="118">
        <f t="shared" si="0"/>
        <v>36000</v>
      </c>
      <c r="K28" s="17"/>
      <c r="L28" s="1"/>
    </row>
    <row r="29" spans="1:12" ht="18.75">
      <c r="A29" s="23"/>
      <c r="B29" s="77" t="s">
        <v>51</v>
      </c>
      <c r="C29" s="78"/>
      <c r="D29" s="78"/>
      <c r="E29" s="139" t="s">
        <v>111</v>
      </c>
      <c r="F29" s="140"/>
      <c r="G29" s="119">
        <f>Hoja1!D5*Hoja1!C2</f>
        <v>9000</v>
      </c>
      <c r="H29" s="119" t="s">
        <v>12</v>
      </c>
      <c r="I29" s="117">
        <v>200</v>
      </c>
      <c r="J29" s="118">
        <f t="shared" si="0"/>
        <v>1800000</v>
      </c>
      <c r="K29" s="17"/>
      <c r="L29" s="1"/>
    </row>
    <row r="30" spans="1:12" ht="18.75">
      <c r="A30" s="23"/>
      <c r="B30" s="77" t="s">
        <v>144</v>
      </c>
      <c r="C30" s="78"/>
      <c r="D30" s="78"/>
      <c r="E30" s="139" t="s">
        <v>111</v>
      </c>
      <c r="F30" s="140"/>
      <c r="G30" s="119">
        <f>Hoja1!D6*Hoja1!C2</f>
        <v>9000</v>
      </c>
      <c r="H30" s="119" t="s">
        <v>12</v>
      </c>
      <c r="I30" s="117">
        <v>50</v>
      </c>
      <c r="J30" s="120">
        <f t="shared" si="0"/>
        <v>450000</v>
      </c>
      <c r="K30" s="17"/>
      <c r="L30" s="1"/>
    </row>
    <row r="31" spans="1:12" ht="18.75">
      <c r="A31" s="23"/>
      <c r="B31" s="151" t="s">
        <v>30</v>
      </c>
      <c r="C31" s="152"/>
      <c r="D31" s="152"/>
      <c r="E31" s="152"/>
      <c r="F31" s="152"/>
      <c r="G31" s="152"/>
      <c r="H31" s="152"/>
      <c r="I31" s="152"/>
      <c r="J31" s="57">
        <f>SUM(J23:J30)</f>
        <v>3458350</v>
      </c>
      <c r="K31" s="17"/>
      <c r="L31" s="1"/>
    </row>
    <row r="32" spans="1:12" s="2" customFormat="1" ht="18.75">
      <c r="A32" s="23"/>
      <c r="B32" s="18"/>
      <c r="C32" s="18"/>
      <c r="D32" s="18"/>
      <c r="E32" s="18"/>
      <c r="F32" s="18"/>
      <c r="G32" s="19"/>
      <c r="H32" s="20"/>
      <c r="I32" s="21"/>
      <c r="J32" s="21"/>
      <c r="K32" s="17"/>
      <c r="L32" s="1"/>
    </row>
    <row r="33" spans="1:12" s="3" customFormat="1" ht="18.75">
      <c r="A33" s="136"/>
      <c r="B33" s="18" t="s">
        <v>31</v>
      </c>
      <c r="C33" s="18"/>
      <c r="D33" s="18"/>
      <c r="E33" s="18"/>
      <c r="F33" s="18"/>
      <c r="G33" s="19"/>
      <c r="H33" s="20"/>
      <c r="I33" s="21"/>
      <c r="J33" s="21"/>
      <c r="K33" s="17"/>
      <c r="L33" s="1"/>
    </row>
    <row r="34" spans="1:12" ht="18.75">
      <c r="A34" s="23"/>
      <c r="B34" s="121" t="s">
        <v>142</v>
      </c>
      <c r="C34" s="122"/>
      <c r="D34" s="122"/>
      <c r="E34" s="200" t="s">
        <v>99</v>
      </c>
      <c r="F34" s="201"/>
      <c r="G34" s="123">
        <v>1</v>
      </c>
      <c r="H34" s="123" t="s">
        <v>49</v>
      </c>
      <c r="I34" s="115">
        <v>45000</v>
      </c>
      <c r="J34" s="116">
        <f>G34*I34</f>
        <v>45000</v>
      </c>
      <c r="K34" s="17"/>
      <c r="L34" s="1"/>
    </row>
    <row r="35" spans="1:12" ht="18.75">
      <c r="A35" s="23"/>
      <c r="B35" s="188" t="s">
        <v>53</v>
      </c>
      <c r="C35" s="189"/>
      <c r="D35" s="190"/>
      <c r="E35" s="139" t="s">
        <v>85</v>
      </c>
      <c r="F35" s="140"/>
      <c r="G35" s="40">
        <v>3</v>
      </c>
      <c r="H35" s="40" t="s">
        <v>49</v>
      </c>
      <c r="I35" s="117">
        <v>30000</v>
      </c>
      <c r="J35" s="118">
        <f>G35*I35</f>
        <v>90000</v>
      </c>
      <c r="K35" s="17"/>
      <c r="L35" s="1"/>
    </row>
    <row r="36" spans="1:12" ht="18.75">
      <c r="A36" s="23"/>
      <c r="B36" s="188" t="s">
        <v>136</v>
      </c>
      <c r="C36" s="189"/>
      <c r="D36" s="190"/>
      <c r="E36" s="139" t="s">
        <v>111</v>
      </c>
      <c r="F36" s="140"/>
      <c r="G36" s="40">
        <f>Hoja1!D7*Hoja1!C2</f>
        <v>9000</v>
      </c>
      <c r="H36" s="40" t="s">
        <v>12</v>
      </c>
      <c r="I36" s="117">
        <v>20</v>
      </c>
      <c r="J36" s="118">
        <f>G36*I36</f>
        <v>180000</v>
      </c>
      <c r="K36" s="17"/>
      <c r="L36" s="1"/>
    </row>
    <row r="37" spans="1:12" ht="18.75">
      <c r="A37" s="23"/>
      <c r="B37" s="225" t="s">
        <v>56</v>
      </c>
      <c r="C37" s="226"/>
      <c r="D37" s="226"/>
      <c r="E37" s="191" t="s">
        <v>111</v>
      </c>
      <c r="F37" s="192"/>
      <c r="G37" s="124">
        <f>Hoja1!D8*Hoja1!C2</f>
        <v>9000</v>
      </c>
      <c r="H37" s="124" t="s">
        <v>12</v>
      </c>
      <c r="I37" s="125">
        <v>15</v>
      </c>
      <c r="J37" s="120">
        <f>G37*I37</f>
        <v>135000</v>
      </c>
      <c r="K37" s="17"/>
      <c r="L37" s="1"/>
    </row>
    <row r="38" spans="1:12" ht="18.75">
      <c r="A38" s="23"/>
      <c r="B38" s="151" t="s">
        <v>32</v>
      </c>
      <c r="C38" s="152"/>
      <c r="D38" s="152"/>
      <c r="E38" s="152"/>
      <c r="F38" s="152"/>
      <c r="G38" s="152"/>
      <c r="H38" s="152"/>
      <c r="I38" s="152"/>
      <c r="J38" s="57">
        <f>SUM(J34:J37)</f>
        <v>450000</v>
      </c>
      <c r="K38" s="17"/>
      <c r="L38" s="1"/>
    </row>
    <row r="39" spans="1:12" s="2" customFormat="1" ht="18.75">
      <c r="A39" s="23"/>
      <c r="B39" s="18"/>
      <c r="C39" s="18"/>
      <c r="D39" s="18"/>
      <c r="E39" s="18"/>
      <c r="F39" s="18"/>
      <c r="G39" s="19"/>
      <c r="H39" s="20"/>
      <c r="I39" s="21"/>
      <c r="J39" s="21"/>
      <c r="K39" s="17"/>
      <c r="L39" s="1"/>
    </row>
    <row r="40" spans="1:12" ht="18.75">
      <c r="A40" s="23"/>
      <c r="B40" s="18" t="s">
        <v>33</v>
      </c>
      <c r="C40" s="18"/>
      <c r="D40" s="18"/>
      <c r="E40" s="18"/>
      <c r="F40" s="18"/>
      <c r="G40" s="19"/>
      <c r="H40" s="20"/>
      <c r="I40" s="21"/>
      <c r="J40" s="21"/>
      <c r="K40" s="17"/>
      <c r="L40" s="1"/>
    </row>
    <row r="41" spans="1:12" ht="18.75">
      <c r="A41" s="23"/>
      <c r="B41" s="193" t="s">
        <v>63</v>
      </c>
      <c r="C41" s="194" t="s">
        <v>15</v>
      </c>
      <c r="D41" s="194" t="s">
        <v>15</v>
      </c>
      <c r="E41" s="200"/>
      <c r="F41" s="230"/>
      <c r="G41" s="49"/>
      <c r="H41" s="51"/>
      <c r="I41" s="54"/>
      <c r="J41" s="25"/>
      <c r="K41" s="17"/>
      <c r="L41" s="1"/>
    </row>
    <row r="42" spans="1:12" ht="18.75">
      <c r="A42" s="23"/>
      <c r="B42" s="72" t="s">
        <v>106</v>
      </c>
      <c r="C42" s="126"/>
      <c r="D42" s="126"/>
      <c r="E42" s="139" t="s">
        <v>112</v>
      </c>
      <c r="F42" s="140"/>
      <c r="G42" s="127">
        <v>350</v>
      </c>
      <c r="H42" s="128" t="s">
        <v>12</v>
      </c>
      <c r="I42" s="55">
        <v>314</v>
      </c>
      <c r="J42" s="26">
        <f>G42*I42</f>
        <v>109900</v>
      </c>
      <c r="K42" s="17"/>
      <c r="L42" s="1"/>
    </row>
    <row r="43" spans="1:12" ht="18.75">
      <c r="A43" s="23"/>
      <c r="B43" s="72" t="s">
        <v>89</v>
      </c>
      <c r="C43" s="73"/>
      <c r="D43" s="73"/>
      <c r="E43" s="139" t="s">
        <v>68</v>
      </c>
      <c r="F43" s="140"/>
      <c r="G43" s="40">
        <v>100</v>
      </c>
      <c r="H43" s="52" t="s">
        <v>12</v>
      </c>
      <c r="I43" s="55">
        <v>333</v>
      </c>
      <c r="J43" s="26">
        <f aca="true" t="shared" si="1" ref="J43:J80">G43*I43</f>
        <v>33300</v>
      </c>
      <c r="K43" s="17"/>
      <c r="L43" s="1"/>
    </row>
    <row r="44" spans="1:12" ht="18.75">
      <c r="A44" s="23"/>
      <c r="B44" s="72" t="s">
        <v>90</v>
      </c>
      <c r="C44" s="73"/>
      <c r="D44" s="73"/>
      <c r="E44" s="139" t="s">
        <v>88</v>
      </c>
      <c r="F44" s="140"/>
      <c r="G44" s="40">
        <v>100</v>
      </c>
      <c r="H44" s="52" t="s">
        <v>12</v>
      </c>
      <c r="I44" s="55">
        <v>288</v>
      </c>
      <c r="J44" s="26">
        <f t="shared" si="1"/>
        <v>28800</v>
      </c>
      <c r="K44" s="17"/>
      <c r="L44" s="1"/>
    </row>
    <row r="45" spans="1:12" ht="18.75">
      <c r="A45" s="23"/>
      <c r="B45" s="72"/>
      <c r="C45" s="73"/>
      <c r="D45" s="73"/>
      <c r="E45" s="70"/>
      <c r="F45" s="71"/>
      <c r="G45" s="40"/>
      <c r="H45" s="52"/>
      <c r="I45" s="55"/>
      <c r="J45" s="26"/>
      <c r="K45" s="17"/>
      <c r="L45" s="1"/>
    </row>
    <row r="46" spans="1:12" ht="18.75">
      <c r="A46" s="23"/>
      <c r="B46" s="74" t="s">
        <v>120</v>
      </c>
      <c r="C46" s="78"/>
      <c r="D46" s="78"/>
      <c r="E46" s="70"/>
      <c r="F46" s="71"/>
      <c r="G46" s="40"/>
      <c r="H46" s="52"/>
      <c r="I46" s="55"/>
      <c r="J46" s="26"/>
      <c r="K46" s="17"/>
      <c r="L46" s="1"/>
    </row>
    <row r="47" spans="1:12" ht="18.75">
      <c r="A47" s="23"/>
      <c r="B47" s="227" t="s">
        <v>121</v>
      </c>
      <c r="C47" s="228"/>
      <c r="D47" s="229"/>
      <c r="E47" s="139" t="s">
        <v>70</v>
      </c>
      <c r="F47" s="140"/>
      <c r="G47" s="40">
        <v>4</v>
      </c>
      <c r="H47" s="52" t="s">
        <v>58</v>
      </c>
      <c r="I47" s="55">
        <v>7876</v>
      </c>
      <c r="J47" s="26">
        <f t="shared" si="1"/>
        <v>31504</v>
      </c>
      <c r="K47" s="17"/>
      <c r="L47" s="1"/>
    </row>
    <row r="48" spans="1:12" ht="18.75">
      <c r="A48" s="23"/>
      <c r="B48" s="72" t="s">
        <v>137</v>
      </c>
      <c r="C48" s="73"/>
      <c r="D48" s="73"/>
      <c r="E48" s="139" t="s">
        <v>60</v>
      </c>
      <c r="F48" s="140"/>
      <c r="G48" s="40">
        <v>3</v>
      </c>
      <c r="H48" s="52" t="s">
        <v>58</v>
      </c>
      <c r="I48" s="55">
        <v>6870</v>
      </c>
      <c r="J48" s="26">
        <f t="shared" si="1"/>
        <v>20610</v>
      </c>
      <c r="K48" s="17"/>
      <c r="L48" s="1"/>
    </row>
    <row r="49" spans="1:12" ht="18.75">
      <c r="A49" s="23"/>
      <c r="B49" s="72" t="s">
        <v>114</v>
      </c>
      <c r="C49" s="73"/>
      <c r="D49" s="73"/>
      <c r="E49" s="139" t="s">
        <v>105</v>
      </c>
      <c r="F49" s="140"/>
      <c r="G49" s="40">
        <v>5</v>
      </c>
      <c r="H49" s="52" t="s">
        <v>12</v>
      </c>
      <c r="I49" s="55">
        <v>2439</v>
      </c>
      <c r="J49" s="26">
        <f t="shared" si="1"/>
        <v>12195</v>
      </c>
      <c r="K49" s="17"/>
      <c r="L49" s="1"/>
    </row>
    <row r="50" spans="1:12" ht="18.75">
      <c r="A50" s="23"/>
      <c r="B50" s="72" t="s">
        <v>115</v>
      </c>
      <c r="C50" s="73"/>
      <c r="D50" s="133"/>
      <c r="E50" s="141" t="s">
        <v>60</v>
      </c>
      <c r="F50" s="140"/>
      <c r="G50" s="40">
        <v>4</v>
      </c>
      <c r="H50" s="52" t="s">
        <v>12</v>
      </c>
      <c r="I50" s="55">
        <v>1528</v>
      </c>
      <c r="J50" s="26">
        <f t="shared" si="1"/>
        <v>6112</v>
      </c>
      <c r="K50" s="17"/>
      <c r="L50" s="1"/>
    </row>
    <row r="51" spans="1:12" ht="18.75">
      <c r="A51" s="23"/>
      <c r="B51" s="72"/>
      <c r="C51" s="73"/>
      <c r="D51" s="73"/>
      <c r="E51" s="70"/>
      <c r="F51" s="71"/>
      <c r="G51" s="40"/>
      <c r="H51" s="52"/>
      <c r="I51" s="55"/>
      <c r="J51" s="26"/>
      <c r="K51" s="17"/>
      <c r="L51" s="1"/>
    </row>
    <row r="52" spans="1:12" ht="18.75">
      <c r="A52" s="23"/>
      <c r="B52" s="231" t="s">
        <v>64</v>
      </c>
      <c r="C52" s="232" t="s">
        <v>16</v>
      </c>
      <c r="D52" s="232" t="s">
        <v>16</v>
      </c>
      <c r="E52" s="139"/>
      <c r="F52" s="141"/>
      <c r="G52" s="50"/>
      <c r="H52" s="53"/>
      <c r="I52" s="56"/>
      <c r="J52" s="26"/>
      <c r="K52" s="17"/>
      <c r="L52" s="1"/>
    </row>
    <row r="53" spans="1:12" ht="18.75">
      <c r="A53" s="23"/>
      <c r="B53" s="77" t="s">
        <v>93</v>
      </c>
      <c r="C53" s="78"/>
      <c r="D53" s="78"/>
      <c r="E53" s="139" t="s">
        <v>92</v>
      </c>
      <c r="F53" s="140"/>
      <c r="G53" s="40">
        <v>8</v>
      </c>
      <c r="H53" s="52" t="s">
        <v>12</v>
      </c>
      <c r="I53" s="55">
        <v>5500</v>
      </c>
      <c r="J53" s="26">
        <f t="shared" si="1"/>
        <v>44000</v>
      </c>
      <c r="K53" s="17"/>
      <c r="L53" s="1"/>
    </row>
    <row r="54" spans="1:12" ht="18.75">
      <c r="A54" s="23"/>
      <c r="B54" s="77" t="s">
        <v>94</v>
      </c>
      <c r="C54" s="78"/>
      <c r="D54" s="78"/>
      <c r="E54" s="139" t="s">
        <v>92</v>
      </c>
      <c r="F54" s="140"/>
      <c r="G54" s="40">
        <v>3</v>
      </c>
      <c r="H54" s="52" t="s">
        <v>58</v>
      </c>
      <c r="I54" s="55">
        <v>1800</v>
      </c>
      <c r="J54" s="26">
        <f t="shared" si="1"/>
        <v>5400</v>
      </c>
      <c r="K54" s="17"/>
      <c r="L54" s="1"/>
    </row>
    <row r="55" spans="1:12" ht="18.75">
      <c r="A55" s="23"/>
      <c r="B55" s="77" t="s">
        <v>119</v>
      </c>
      <c r="C55" s="78"/>
      <c r="D55" s="78"/>
      <c r="E55" s="139" t="s">
        <v>69</v>
      </c>
      <c r="F55" s="140"/>
      <c r="G55" s="40">
        <v>6</v>
      </c>
      <c r="H55" s="52" t="s">
        <v>58</v>
      </c>
      <c r="I55" s="55">
        <v>8939</v>
      </c>
      <c r="J55" s="26">
        <f t="shared" si="1"/>
        <v>53634</v>
      </c>
      <c r="K55" s="17"/>
      <c r="L55" s="1"/>
    </row>
    <row r="56" spans="1:12" ht="18.75">
      <c r="A56" s="23"/>
      <c r="B56" s="77" t="s">
        <v>107</v>
      </c>
      <c r="C56" s="78"/>
      <c r="D56" s="78"/>
      <c r="E56" s="139" t="s">
        <v>69</v>
      </c>
      <c r="F56" s="140"/>
      <c r="G56" s="40">
        <v>6</v>
      </c>
      <c r="H56" s="52" t="s">
        <v>12</v>
      </c>
      <c r="I56" s="55">
        <v>9027</v>
      </c>
      <c r="J56" s="26">
        <f t="shared" si="1"/>
        <v>54162</v>
      </c>
      <c r="K56" s="17"/>
      <c r="L56" s="1"/>
    </row>
    <row r="57" spans="1:12" ht="18.75">
      <c r="A57" s="23"/>
      <c r="B57" s="77" t="s">
        <v>91</v>
      </c>
      <c r="C57" s="78"/>
      <c r="D57" s="78"/>
      <c r="E57" s="139" t="s">
        <v>69</v>
      </c>
      <c r="F57" s="140"/>
      <c r="G57" s="40">
        <v>2</v>
      </c>
      <c r="H57" s="52" t="s">
        <v>12</v>
      </c>
      <c r="I57" s="55">
        <v>48807</v>
      </c>
      <c r="J57" s="26">
        <f t="shared" si="1"/>
        <v>97614</v>
      </c>
      <c r="K57" s="17"/>
      <c r="L57" s="1"/>
    </row>
    <row r="58" spans="1:12" ht="18.75">
      <c r="A58" s="23"/>
      <c r="B58" s="77" t="s">
        <v>138</v>
      </c>
      <c r="C58" s="78"/>
      <c r="D58" s="78"/>
      <c r="E58" s="139" t="s">
        <v>100</v>
      </c>
      <c r="F58" s="140"/>
      <c r="G58" s="40">
        <v>1</v>
      </c>
      <c r="H58" s="52" t="s">
        <v>58</v>
      </c>
      <c r="I58" s="55">
        <v>52200</v>
      </c>
      <c r="J58" s="26">
        <f t="shared" si="1"/>
        <v>52200</v>
      </c>
      <c r="K58" s="17"/>
      <c r="L58" s="1"/>
    </row>
    <row r="59" spans="1:12" ht="18.75">
      <c r="A59" s="23"/>
      <c r="B59" s="77"/>
      <c r="C59" s="78"/>
      <c r="D59" s="78"/>
      <c r="E59" s="70"/>
      <c r="F59" s="71"/>
      <c r="G59" s="40"/>
      <c r="H59" s="52"/>
      <c r="I59" s="55"/>
      <c r="J59" s="26"/>
      <c r="K59" s="17"/>
      <c r="L59" s="1"/>
    </row>
    <row r="60" spans="1:12" ht="18.75">
      <c r="A60" s="23"/>
      <c r="B60" s="74" t="s">
        <v>65</v>
      </c>
      <c r="C60" s="78"/>
      <c r="D60" s="78"/>
      <c r="E60" s="139"/>
      <c r="F60" s="140"/>
      <c r="G60" s="40"/>
      <c r="H60" s="52"/>
      <c r="I60" s="55"/>
      <c r="J60" s="26"/>
      <c r="K60" s="17"/>
      <c r="L60" s="1"/>
    </row>
    <row r="61" spans="1:12" ht="18.75">
      <c r="A61" s="23"/>
      <c r="B61" s="77" t="s">
        <v>139</v>
      </c>
      <c r="C61" s="78"/>
      <c r="D61" s="78"/>
      <c r="E61" s="139" t="s">
        <v>101</v>
      </c>
      <c r="F61" s="140"/>
      <c r="G61" s="40">
        <v>3</v>
      </c>
      <c r="H61" s="52" t="s">
        <v>58</v>
      </c>
      <c r="I61" s="55">
        <v>5348</v>
      </c>
      <c r="J61" s="26">
        <f t="shared" si="1"/>
        <v>16044</v>
      </c>
      <c r="K61" s="17"/>
      <c r="L61" s="1"/>
    </row>
    <row r="62" spans="1:12" ht="18.75">
      <c r="A62" s="23"/>
      <c r="B62" s="77" t="s">
        <v>95</v>
      </c>
      <c r="C62" s="78"/>
      <c r="D62" s="78"/>
      <c r="E62" s="139" t="s">
        <v>70</v>
      </c>
      <c r="F62" s="140"/>
      <c r="G62" s="40">
        <v>3</v>
      </c>
      <c r="H62" s="52" t="s">
        <v>58</v>
      </c>
      <c r="I62" s="55">
        <v>15340</v>
      </c>
      <c r="J62" s="26">
        <f t="shared" si="1"/>
        <v>46020</v>
      </c>
      <c r="K62" s="17"/>
      <c r="L62" s="1"/>
    </row>
    <row r="63" spans="1:12" ht="18.75">
      <c r="A63" s="23"/>
      <c r="B63" s="77" t="s">
        <v>96</v>
      </c>
      <c r="C63" s="78"/>
      <c r="D63" s="78"/>
      <c r="E63" s="139" t="s">
        <v>102</v>
      </c>
      <c r="F63" s="140"/>
      <c r="G63" s="40">
        <v>2</v>
      </c>
      <c r="H63" s="52" t="s">
        <v>58</v>
      </c>
      <c r="I63" s="55">
        <v>10450</v>
      </c>
      <c r="J63" s="26">
        <f t="shared" si="1"/>
        <v>20900</v>
      </c>
      <c r="K63" s="17"/>
      <c r="L63" s="1"/>
    </row>
    <row r="64" spans="1:12" ht="18.75">
      <c r="A64" s="23"/>
      <c r="B64" s="77"/>
      <c r="C64" s="78"/>
      <c r="D64" s="78"/>
      <c r="E64" s="70"/>
      <c r="F64" s="71"/>
      <c r="G64" s="40"/>
      <c r="H64" s="52"/>
      <c r="I64" s="55"/>
      <c r="J64" s="26"/>
      <c r="K64" s="17"/>
      <c r="L64" s="1"/>
    </row>
    <row r="65" spans="1:12" ht="18.75">
      <c r="A65" s="23"/>
      <c r="B65" s="74" t="s">
        <v>66</v>
      </c>
      <c r="C65" s="78"/>
      <c r="D65" s="78"/>
      <c r="E65" s="139"/>
      <c r="F65" s="141"/>
      <c r="G65" s="40"/>
      <c r="H65" s="52"/>
      <c r="I65" s="55"/>
      <c r="J65" s="26"/>
      <c r="K65" s="17"/>
      <c r="L65" s="1"/>
    </row>
    <row r="66" spans="1:12" ht="18.75">
      <c r="A66" s="23"/>
      <c r="B66" s="188" t="s">
        <v>128</v>
      </c>
      <c r="C66" s="189"/>
      <c r="D66" s="189"/>
      <c r="E66" s="139" t="s">
        <v>57</v>
      </c>
      <c r="F66" s="141"/>
      <c r="G66" s="40">
        <v>2</v>
      </c>
      <c r="H66" s="52" t="s">
        <v>58</v>
      </c>
      <c r="I66" s="55">
        <v>5348</v>
      </c>
      <c r="J66" s="26">
        <f t="shared" si="1"/>
        <v>10696</v>
      </c>
      <c r="K66" s="17"/>
      <c r="L66" s="1"/>
    </row>
    <row r="67" spans="1:12" ht="18.75">
      <c r="A67" s="23"/>
      <c r="B67" s="188" t="s">
        <v>129</v>
      </c>
      <c r="C67" s="189"/>
      <c r="D67" s="189"/>
      <c r="E67" s="139" t="s">
        <v>60</v>
      </c>
      <c r="F67" s="141"/>
      <c r="G67" s="40">
        <v>0.5</v>
      </c>
      <c r="H67" s="52" t="s">
        <v>58</v>
      </c>
      <c r="I67" s="55">
        <v>33151</v>
      </c>
      <c r="J67" s="26">
        <f t="shared" si="1"/>
        <v>16575.5</v>
      </c>
      <c r="K67" s="17"/>
      <c r="L67" s="1"/>
    </row>
    <row r="68" spans="1:12" ht="18.75">
      <c r="A68" s="23"/>
      <c r="B68" s="77" t="s">
        <v>130</v>
      </c>
      <c r="C68" s="78"/>
      <c r="D68" s="78"/>
      <c r="E68" s="139" t="s">
        <v>60</v>
      </c>
      <c r="F68" s="141"/>
      <c r="G68" s="40">
        <v>0.5</v>
      </c>
      <c r="H68" s="52" t="s">
        <v>12</v>
      </c>
      <c r="I68" s="55">
        <v>76440</v>
      </c>
      <c r="J68" s="26">
        <f t="shared" si="1"/>
        <v>38220</v>
      </c>
      <c r="K68" s="17"/>
      <c r="L68" s="1"/>
    </row>
    <row r="69" spans="1:12" ht="18.75">
      <c r="A69" s="23"/>
      <c r="B69" s="77" t="s">
        <v>131</v>
      </c>
      <c r="C69" s="75"/>
      <c r="D69" s="76"/>
      <c r="E69" s="139" t="s">
        <v>71</v>
      </c>
      <c r="F69" s="141"/>
      <c r="G69" s="40">
        <v>30</v>
      </c>
      <c r="H69" s="52" t="s">
        <v>58</v>
      </c>
      <c r="I69" s="55">
        <v>1450</v>
      </c>
      <c r="J69" s="26">
        <f t="shared" si="1"/>
        <v>43500</v>
      </c>
      <c r="K69" s="17"/>
      <c r="L69" s="1"/>
    </row>
    <row r="70" spans="1:12" ht="18.75">
      <c r="A70" s="23"/>
      <c r="B70" s="77"/>
      <c r="C70" s="75"/>
      <c r="D70" s="76"/>
      <c r="E70" s="70"/>
      <c r="F70" s="71"/>
      <c r="G70" s="40"/>
      <c r="H70" s="52"/>
      <c r="I70" s="55"/>
      <c r="J70" s="26"/>
      <c r="K70" s="17"/>
      <c r="L70" s="1"/>
    </row>
    <row r="71" spans="1:12" ht="18.75">
      <c r="A71" s="23"/>
      <c r="B71" s="74" t="s">
        <v>103</v>
      </c>
      <c r="C71" s="75"/>
      <c r="D71" s="76"/>
      <c r="E71" s="70"/>
      <c r="F71" s="71"/>
      <c r="G71" s="40"/>
      <c r="H71" s="52"/>
      <c r="I71" s="55"/>
      <c r="J71" s="26"/>
      <c r="K71" s="17"/>
      <c r="L71" s="1"/>
    </row>
    <row r="72" spans="1:12" ht="18.75">
      <c r="A72" s="23"/>
      <c r="B72" s="77" t="s">
        <v>104</v>
      </c>
      <c r="C72" s="75"/>
      <c r="D72" s="76"/>
      <c r="E72" s="139" t="s">
        <v>105</v>
      </c>
      <c r="F72" s="140"/>
      <c r="G72" s="40">
        <v>2</v>
      </c>
      <c r="H72" s="52" t="s">
        <v>58</v>
      </c>
      <c r="I72" s="55">
        <v>15534</v>
      </c>
      <c r="J72" s="26">
        <f t="shared" si="1"/>
        <v>31068</v>
      </c>
      <c r="K72" s="17"/>
      <c r="L72" s="1"/>
    </row>
    <row r="73" spans="1:12" ht="18.75">
      <c r="A73" s="23"/>
      <c r="B73" s="77"/>
      <c r="C73" s="75"/>
      <c r="D73" s="76"/>
      <c r="E73" s="70"/>
      <c r="F73" s="71"/>
      <c r="G73" s="40"/>
      <c r="H73" s="52"/>
      <c r="I73" s="55"/>
      <c r="J73" s="26"/>
      <c r="K73" s="17"/>
      <c r="L73" s="1"/>
    </row>
    <row r="74" spans="1:12" ht="18.75">
      <c r="A74" s="23"/>
      <c r="B74" s="220" t="s">
        <v>67</v>
      </c>
      <c r="C74" s="221"/>
      <c r="D74" s="222"/>
      <c r="E74" s="139"/>
      <c r="F74" s="141"/>
      <c r="G74" s="40"/>
      <c r="H74" s="52"/>
      <c r="I74" s="55"/>
      <c r="J74" s="26"/>
      <c r="K74" s="17"/>
      <c r="L74" s="1"/>
    </row>
    <row r="75" spans="1:12" ht="18.75">
      <c r="A75" s="23"/>
      <c r="B75" s="77" t="s">
        <v>118</v>
      </c>
      <c r="C75" s="78"/>
      <c r="D75" s="76"/>
      <c r="E75" s="139" t="s">
        <v>105</v>
      </c>
      <c r="F75" s="140"/>
      <c r="G75" s="40">
        <v>8</v>
      </c>
      <c r="H75" s="52" t="s">
        <v>27</v>
      </c>
      <c r="I75" s="55">
        <v>12000</v>
      </c>
      <c r="J75" s="26">
        <f t="shared" si="1"/>
        <v>96000</v>
      </c>
      <c r="K75" s="17"/>
      <c r="L75" s="1"/>
    </row>
    <row r="76" spans="1:12" ht="18.75">
      <c r="A76" s="23"/>
      <c r="B76" s="77" t="s">
        <v>127</v>
      </c>
      <c r="C76" s="78"/>
      <c r="D76" s="69"/>
      <c r="E76" s="139" t="s">
        <v>111</v>
      </c>
      <c r="F76" s="141"/>
      <c r="G76" s="40">
        <v>10</v>
      </c>
      <c r="H76" s="52" t="s">
        <v>27</v>
      </c>
      <c r="I76" s="55">
        <v>5000</v>
      </c>
      <c r="J76" s="26">
        <f t="shared" si="1"/>
        <v>50000</v>
      </c>
      <c r="K76" s="17"/>
      <c r="L76" s="1"/>
    </row>
    <row r="77" spans="1:12" ht="21">
      <c r="A77" s="23"/>
      <c r="B77" s="77" t="s">
        <v>97</v>
      </c>
      <c r="C77" s="78"/>
      <c r="D77" s="69"/>
      <c r="E77" s="137" t="s">
        <v>111</v>
      </c>
      <c r="F77" s="138"/>
      <c r="G77" s="129">
        <v>2</v>
      </c>
      <c r="H77" s="130" t="s">
        <v>27</v>
      </c>
      <c r="I77" s="131">
        <v>120000</v>
      </c>
      <c r="J77" s="26">
        <f t="shared" si="1"/>
        <v>240000</v>
      </c>
      <c r="K77" s="17"/>
      <c r="L77" s="1"/>
    </row>
    <row r="78" spans="1:12" ht="21">
      <c r="A78" s="23"/>
      <c r="B78" s="77" t="s">
        <v>116</v>
      </c>
      <c r="C78" s="78"/>
      <c r="D78" s="69"/>
      <c r="E78" s="137" t="s">
        <v>117</v>
      </c>
      <c r="F78" s="138"/>
      <c r="G78" s="129">
        <v>4</v>
      </c>
      <c r="H78" s="130" t="s">
        <v>27</v>
      </c>
      <c r="I78" s="132">
        <v>75000</v>
      </c>
      <c r="J78" s="26">
        <f t="shared" si="1"/>
        <v>300000</v>
      </c>
      <c r="K78" s="17"/>
      <c r="L78" s="1"/>
    </row>
    <row r="79" spans="1:12" ht="21">
      <c r="A79" s="23"/>
      <c r="B79" s="77" t="s">
        <v>132</v>
      </c>
      <c r="C79" s="78"/>
      <c r="D79" s="69"/>
      <c r="E79" s="137" t="s">
        <v>133</v>
      </c>
      <c r="F79" s="138"/>
      <c r="G79" s="129">
        <v>1</v>
      </c>
      <c r="H79" s="130" t="s">
        <v>27</v>
      </c>
      <c r="I79" s="131">
        <v>22000</v>
      </c>
      <c r="J79" s="26">
        <f t="shared" si="1"/>
        <v>22000</v>
      </c>
      <c r="K79" s="17"/>
      <c r="L79" s="1"/>
    </row>
    <row r="80" spans="1:12" ht="21">
      <c r="A80" s="23"/>
      <c r="B80" s="77" t="s">
        <v>98</v>
      </c>
      <c r="C80" s="78"/>
      <c r="D80" s="69"/>
      <c r="E80" s="137" t="s">
        <v>99</v>
      </c>
      <c r="F80" s="138"/>
      <c r="G80" s="129">
        <v>1</v>
      </c>
      <c r="H80" s="130" t="s">
        <v>27</v>
      </c>
      <c r="I80" s="131">
        <v>25000</v>
      </c>
      <c r="J80" s="45">
        <f t="shared" si="1"/>
        <v>25000</v>
      </c>
      <c r="K80" s="17"/>
      <c r="L80" s="1"/>
    </row>
    <row r="81" spans="1:12" ht="18.75">
      <c r="A81" s="23"/>
      <c r="B81" s="223" t="s">
        <v>35</v>
      </c>
      <c r="C81" s="224"/>
      <c r="D81" s="224"/>
      <c r="E81" s="224"/>
      <c r="F81" s="224"/>
      <c r="G81" s="224"/>
      <c r="H81" s="224"/>
      <c r="I81" s="224"/>
      <c r="J81" s="44">
        <f>SUM(J41:J80)</f>
        <v>1505454.5</v>
      </c>
      <c r="K81" s="17"/>
      <c r="L81" s="1"/>
    </row>
    <row r="82" spans="1:12" s="2" customFormat="1" ht="18.75">
      <c r="A82" s="23"/>
      <c r="B82" s="27"/>
      <c r="C82" s="27"/>
      <c r="D82" s="27"/>
      <c r="E82" s="27"/>
      <c r="F82" s="27"/>
      <c r="G82" s="27"/>
      <c r="H82" s="27"/>
      <c r="I82" s="27"/>
      <c r="J82" s="28"/>
      <c r="K82" s="17"/>
      <c r="L82" s="1"/>
    </row>
    <row r="83" spans="1:12" ht="18.75">
      <c r="A83" s="23"/>
      <c r="B83" s="178" t="s">
        <v>36</v>
      </c>
      <c r="C83" s="179"/>
      <c r="D83" s="179"/>
      <c r="E83" s="179"/>
      <c r="F83" s="179"/>
      <c r="G83" s="179"/>
      <c r="H83" s="179"/>
      <c r="I83" s="179"/>
      <c r="J83" s="22">
        <f>J31+J38+J81</f>
        <v>5413804.5</v>
      </c>
      <c r="K83" s="17"/>
      <c r="L83" s="1"/>
    </row>
    <row r="84" spans="1:12" s="2" customFormat="1" ht="18.75">
      <c r="A84" s="23"/>
      <c r="B84" s="18"/>
      <c r="C84" s="18"/>
      <c r="D84" s="18"/>
      <c r="E84" s="18"/>
      <c r="F84" s="19"/>
      <c r="G84" s="20"/>
      <c r="H84" s="21"/>
      <c r="I84" s="21"/>
      <c r="J84" s="18"/>
      <c r="K84" s="17"/>
      <c r="L84" s="1"/>
    </row>
    <row r="85" spans="1:12" ht="18.75">
      <c r="A85" s="23"/>
      <c r="B85" s="18" t="s">
        <v>37</v>
      </c>
      <c r="C85" s="18"/>
      <c r="D85" s="18"/>
      <c r="E85" s="42" t="s">
        <v>2</v>
      </c>
      <c r="F85" s="42"/>
      <c r="G85" s="43"/>
      <c r="H85" s="42"/>
      <c r="I85" s="41" t="s">
        <v>1</v>
      </c>
      <c r="J85" s="41" t="s">
        <v>6</v>
      </c>
      <c r="K85" s="17"/>
      <c r="L85" s="1"/>
    </row>
    <row r="86" spans="1:12" ht="18.75">
      <c r="A86" s="23"/>
      <c r="B86" s="177" t="s">
        <v>0</v>
      </c>
      <c r="C86" s="177"/>
      <c r="D86" s="177"/>
      <c r="E86" s="177" t="s">
        <v>3</v>
      </c>
      <c r="F86" s="177"/>
      <c r="G86" s="177"/>
      <c r="H86" s="177"/>
      <c r="I86" s="29">
        <v>0.05</v>
      </c>
      <c r="J86" s="30">
        <f>J83*I86</f>
        <v>270690.22500000003</v>
      </c>
      <c r="K86" s="17"/>
      <c r="L86" s="1"/>
    </row>
    <row r="87" spans="1:12" ht="18.75">
      <c r="A87" s="23"/>
      <c r="B87" s="177" t="s">
        <v>38</v>
      </c>
      <c r="C87" s="177"/>
      <c r="D87" s="177"/>
      <c r="E87" s="177" t="s">
        <v>7</v>
      </c>
      <c r="F87" s="177"/>
      <c r="G87" s="177"/>
      <c r="H87" s="177"/>
      <c r="I87" s="31">
        <f>E15</f>
        <v>0.0125</v>
      </c>
      <c r="J87" s="30">
        <f>E15*E16*E17*J83</f>
        <v>406035.3375000001</v>
      </c>
      <c r="K87" s="17"/>
      <c r="L87" s="1"/>
    </row>
    <row r="88" spans="1:12" ht="18.75">
      <c r="A88" s="23"/>
      <c r="B88" s="177" t="s">
        <v>39</v>
      </c>
      <c r="C88" s="177"/>
      <c r="D88" s="177"/>
      <c r="E88" s="187" t="s">
        <v>5</v>
      </c>
      <c r="F88" s="187"/>
      <c r="G88" s="187"/>
      <c r="H88" s="187"/>
      <c r="I88" s="187"/>
      <c r="J88" s="32"/>
      <c r="K88" s="17"/>
      <c r="L88" s="1"/>
    </row>
    <row r="89" spans="1:12" ht="18.75">
      <c r="A89" s="23"/>
      <c r="B89" s="177" t="s">
        <v>4</v>
      </c>
      <c r="C89" s="177"/>
      <c r="D89" s="177"/>
      <c r="E89" s="187"/>
      <c r="F89" s="187"/>
      <c r="G89" s="187"/>
      <c r="H89" s="187"/>
      <c r="I89" s="187"/>
      <c r="J89" s="32"/>
      <c r="K89" s="17"/>
      <c r="L89" s="1"/>
    </row>
    <row r="90" spans="1:12" ht="18.75">
      <c r="A90" s="23"/>
      <c r="B90" s="177" t="s">
        <v>40</v>
      </c>
      <c r="C90" s="177"/>
      <c r="D90" s="177"/>
      <c r="E90" s="187"/>
      <c r="F90" s="187"/>
      <c r="G90" s="187"/>
      <c r="H90" s="187"/>
      <c r="I90" s="187"/>
      <c r="J90" s="32"/>
      <c r="K90" s="17"/>
      <c r="L90" s="1"/>
    </row>
    <row r="91" spans="1:12" ht="18.75">
      <c r="A91" s="23"/>
      <c r="B91" s="151" t="s">
        <v>41</v>
      </c>
      <c r="C91" s="152"/>
      <c r="D91" s="152"/>
      <c r="E91" s="152"/>
      <c r="F91" s="152"/>
      <c r="G91" s="152"/>
      <c r="H91" s="152"/>
      <c r="I91" s="152"/>
      <c r="J91" s="22">
        <f>SUM(J86:J90)</f>
        <v>676725.5625000001</v>
      </c>
      <c r="K91" s="17"/>
      <c r="L91" s="1"/>
    </row>
    <row r="92" spans="1:12" s="2" customFormat="1" ht="18.75">
      <c r="A92" s="23"/>
      <c r="B92" s="20"/>
      <c r="C92" s="20"/>
      <c r="D92" s="20"/>
      <c r="E92" s="20"/>
      <c r="F92" s="20"/>
      <c r="G92" s="20"/>
      <c r="H92" s="20"/>
      <c r="I92" s="20"/>
      <c r="J92" s="24"/>
      <c r="K92" s="17"/>
      <c r="L92" s="1"/>
    </row>
    <row r="93" spans="1:12" ht="18.75">
      <c r="A93" s="23"/>
      <c r="B93" s="185" t="s">
        <v>42</v>
      </c>
      <c r="C93" s="186"/>
      <c r="D93" s="186"/>
      <c r="E93" s="186"/>
      <c r="F93" s="186"/>
      <c r="G93" s="186"/>
      <c r="H93" s="186"/>
      <c r="I93" s="186"/>
      <c r="J93" s="33">
        <f>J83+J91</f>
        <v>6090530.0625</v>
      </c>
      <c r="K93" s="17"/>
      <c r="L93" s="1"/>
    </row>
    <row r="94" spans="1:12" s="2" customFormat="1" ht="19.5" thickBot="1">
      <c r="A94" s="23"/>
      <c r="B94" s="20"/>
      <c r="C94" s="20"/>
      <c r="D94" s="20"/>
      <c r="E94" s="20"/>
      <c r="F94" s="20"/>
      <c r="G94" s="20"/>
      <c r="H94" s="20"/>
      <c r="I94" s="20"/>
      <c r="J94" s="24"/>
      <c r="K94" s="17"/>
      <c r="L94" s="1"/>
    </row>
    <row r="95" spans="1:12" ht="19.5" thickBot="1">
      <c r="A95" s="23"/>
      <c r="B95" s="182" t="s">
        <v>43</v>
      </c>
      <c r="C95" s="183"/>
      <c r="D95" s="183"/>
      <c r="E95" s="183"/>
      <c r="F95" s="183"/>
      <c r="G95" s="183"/>
      <c r="H95" s="183"/>
      <c r="I95" s="183"/>
      <c r="J95" s="184"/>
      <c r="K95" s="17"/>
      <c r="L95" s="1"/>
    </row>
    <row r="96" spans="1:12" s="2" customFormat="1" ht="18.75">
      <c r="A96" s="23"/>
      <c r="B96" s="34"/>
      <c r="C96" s="34"/>
      <c r="D96" s="34"/>
      <c r="E96" s="34"/>
      <c r="F96" s="34"/>
      <c r="G96" s="34"/>
      <c r="H96" s="34"/>
      <c r="I96" s="34"/>
      <c r="J96" s="34"/>
      <c r="K96" s="17"/>
      <c r="L96" s="1"/>
    </row>
    <row r="97" spans="1:12" ht="18.75">
      <c r="A97" s="23"/>
      <c r="B97" s="23"/>
      <c r="C97" s="23"/>
      <c r="D97" s="164" t="s">
        <v>82</v>
      </c>
      <c r="E97" s="165"/>
      <c r="F97" s="165"/>
      <c r="G97" s="165"/>
      <c r="H97" s="166"/>
      <c r="I97" s="7"/>
      <c r="J97" s="7"/>
      <c r="K97" s="17"/>
      <c r="L97" s="1"/>
    </row>
    <row r="98" spans="1:12" ht="18.75">
      <c r="A98" s="23"/>
      <c r="B98" s="23"/>
      <c r="C98" s="23"/>
      <c r="D98" s="160" t="s">
        <v>45</v>
      </c>
      <c r="E98" s="161"/>
      <c r="F98" s="170" t="s">
        <v>52</v>
      </c>
      <c r="G98" s="171"/>
      <c r="H98" s="172"/>
      <c r="I98" s="7"/>
      <c r="J98" s="7"/>
      <c r="K98" s="17"/>
      <c r="L98" s="1"/>
    </row>
    <row r="99" spans="1:12" ht="18.75">
      <c r="A99" s="23"/>
      <c r="B99" s="23"/>
      <c r="C99" s="23"/>
      <c r="D99" s="162"/>
      <c r="E99" s="163"/>
      <c r="F99" s="59">
        <f>G99*0.9</f>
        <v>1080</v>
      </c>
      <c r="G99" s="60">
        <f>E13</f>
        <v>1200</v>
      </c>
      <c r="H99" s="59">
        <f>G99*1.1</f>
        <v>1320</v>
      </c>
      <c r="I99" s="7"/>
      <c r="J99" s="7"/>
      <c r="K99" s="17"/>
      <c r="L99" s="1"/>
    </row>
    <row r="100" spans="1:12" ht="18.75">
      <c r="A100" s="23"/>
      <c r="B100" s="23"/>
      <c r="C100" s="23"/>
      <c r="D100" s="175">
        <f>D101*0.9</f>
        <v>8100</v>
      </c>
      <c r="E100" s="176"/>
      <c r="F100" s="58">
        <f>F$99*$D$100-Hoja1!$C$40</f>
        <v>3013532.4375</v>
      </c>
      <c r="G100" s="58">
        <f>G$99*$D$100-Hoja1!$C$40</f>
        <v>3985532.4375</v>
      </c>
      <c r="H100" s="58">
        <f>H$99*$D$100-Hoja1!$C$40</f>
        <v>4957532.4375</v>
      </c>
      <c r="I100" s="23"/>
      <c r="J100" s="23"/>
      <c r="K100" s="17"/>
      <c r="L100" s="1"/>
    </row>
    <row r="101" spans="1:12" s="2" customFormat="1" ht="18.75">
      <c r="A101" s="23"/>
      <c r="B101" s="23"/>
      <c r="C101" s="23"/>
      <c r="D101" s="180">
        <f>E12</f>
        <v>9000</v>
      </c>
      <c r="E101" s="181"/>
      <c r="F101" s="58">
        <f>(F$99*$D101)-$J$93</f>
        <v>3629469.9375</v>
      </c>
      <c r="G101" s="58">
        <f>G$99*$D101-$J$93</f>
        <v>4709469.9375</v>
      </c>
      <c r="H101" s="58">
        <f>H$99*$D101-$J$93</f>
        <v>5789469.9375</v>
      </c>
      <c r="I101" s="23"/>
      <c r="J101" s="23"/>
      <c r="K101" s="17"/>
      <c r="L101" s="1"/>
    </row>
    <row r="102" spans="1:12" ht="18.75">
      <c r="A102" s="23"/>
      <c r="B102" s="23"/>
      <c r="C102" s="23"/>
      <c r="D102" s="173">
        <f>D101*1.1</f>
        <v>9900</v>
      </c>
      <c r="E102" s="174"/>
      <c r="F102" s="58">
        <f>F$99*$D$102-Hoja1!$C$40</f>
        <v>4957532.4375</v>
      </c>
      <c r="G102" s="58">
        <f>G$99*$D$102-Hoja1!$C$40</f>
        <v>6145532.4375</v>
      </c>
      <c r="H102" s="58">
        <f>H$99*$D$102-Hoja1!$C$40</f>
        <v>7333532.4375</v>
      </c>
      <c r="I102" s="79"/>
      <c r="J102" s="79"/>
      <c r="K102" s="17"/>
      <c r="L102" s="1"/>
    </row>
    <row r="103" spans="1:12" ht="18.75">
      <c r="A103" s="23"/>
      <c r="B103" s="35"/>
      <c r="C103" s="35"/>
      <c r="D103" s="36"/>
      <c r="E103" s="36"/>
      <c r="F103" s="36"/>
      <c r="G103" s="7"/>
      <c r="H103" s="7"/>
      <c r="I103" s="5"/>
      <c r="J103" s="5"/>
      <c r="K103" s="17"/>
      <c r="L103" s="1"/>
    </row>
    <row r="104" spans="1:12" ht="18.75">
      <c r="A104" s="23"/>
      <c r="B104" s="35"/>
      <c r="C104" s="35"/>
      <c r="D104" s="154" t="s">
        <v>83</v>
      </c>
      <c r="E104" s="155"/>
      <c r="F104" s="167" t="s">
        <v>14</v>
      </c>
      <c r="G104" s="168"/>
      <c r="H104" s="169"/>
      <c r="I104" s="5"/>
      <c r="J104" s="5"/>
      <c r="K104" s="17"/>
      <c r="L104" s="1"/>
    </row>
    <row r="105" spans="1:12" ht="18.75">
      <c r="A105" s="23"/>
      <c r="B105" s="23"/>
      <c r="C105" s="23"/>
      <c r="D105" s="156"/>
      <c r="E105" s="157"/>
      <c r="F105" s="47">
        <f>G105*0.9</f>
        <v>8100</v>
      </c>
      <c r="G105" s="47">
        <f>E12</f>
        <v>9000</v>
      </c>
      <c r="H105" s="47">
        <f>G105*1.1</f>
        <v>9900</v>
      </c>
      <c r="I105" s="5"/>
      <c r="J105" s="5"/>
      <c r="K105" s="17"/>
      <c r="L105" s="1"/>
    </row>
    <row r="106" spans="1:12" ht="18.75">
      <c r="A106" s="23"/>
      <c r="B106" s="7"/>
      <c r="C106" s="7"/>
      <c r="D106" s="158"/>
      <c r="E106" s="159"/>
      <c r="F106" s="37">
        <f>Hoja1!C40/Ficha!F105</f>
        <v>707.9589583333334</v>
      </c>
      <c r="G106" s="37">
        <f>$J$93/G$105</f>
        <v>676.7255625</v>
      </c>
      <c r="H106" s="37">
        <f>Hoja1!D40/Ficha!H105</f>
        <v>634.4664204545454</v>
      </c>
      <c r="I106" s="5"/>
      <c r="J106" s="5"/>
      <c r="K106" s="17"/>
      <c r="L106" s="1"/>
    </row>
    <row r="107" spans="1:11" ht="18.75">
      <c r="A107" s="23"/>
      <c r="B107" s="153" t="s">
        <v>44</v>
      </c>
      <c r="C107" s="153"/>
      <c r="D107" s="153"/>
      <c r="E107" s="153"/>
      <c r="F107" s="153"/>
      <c r="G107" s="153"/>
      <c r="H107" s="153"/>
      <c r="I107" s="153"/>
      <c r="J107" s="153"/>
      <c r="K107" s="38"/>
    </row>
    <row r="108" spans="1:11" ht="18.75">
      <c r="A108" s="23"/>
      <c r="B108" s="145" t="s">
        <v>143</v>
      </c>
      <c r="C108" s="146"/>
      <c r="D108" s="146"/>
      <c r="E108" s="146"/>
      <c r="F108" s="146"/>
      <c r="G108" s="146"/>
      <c r="H108" s="146"/>
      <c r="I108" s="146"/>
      <c r="J108" s="147"/>
      <c r="K108" s="38"/>
    </row>
    <row r="109" spans="1:11" ht="18.75">
      <c r="A109" s="23"/>
      <c r="B109" s="148"/>
      <c r="C109" s="149"/>
      <c r="D109" s="149"/>
      <c r="E109" s="149"/>
      <c r="F109" s="149"/>
      <c r="G109" s="149"/>
      <c r="H109" s="149"/>
      <c r="I109" s="149"/>
      <c r="J109" s="150"/>
      <c r="K109" s="38"/>
    </row>
    <row r="110" spans="1:11" ht="18.75">
      <c r="A110" s="23"/>
      <c r="B110" s="148" t="s">
        <v>47</v>
      </c>
      <c r="C110" s="149"/>
      <c r="D110" s="149"/>
      <c r="E110" s="149"/>
      <c r="F110" s="149"/>
      <c r="G110" s="149"/>
      <c r="H110" s="149"/>
      <c r="I110" s="149"/>
      <c r="J110" s="150"/>
      <c r="K110" s="38"/>
    </row>
    <row r="111" spans="1:11" ht="18.75">
      <c r="A111" s="23"/>
      <c r="B111" s="148"/>
      <c r="C111" s="149"/>
      <c r="D111" s="149"/>
      <c r="E111" s="149"/>
      <c r="F111" s="149"/>
      <c r="G111" s="149"/>
      <c r="H111" s="149"/>
      <c r="I111" s="149"/>
      <c r="J111" s="150"/>
      <c r="K111" s="38"/>
    </row>
    <row r="112" spans="1:11" ht="18.75">
      <c r="A112" s="23"/>
      <c r="B112" s="148"/>
      <c r="C112" s="149"/>
      <c r="D112" s="149"/>
      <c r="E112" s="149"/>
      <c r="F112" s="149"/>
      <c r="G112" s="149"/>
      <c r="H112" s="149"/>
      <c r="I112" s="149"/>
      <c r="J112" s="150"/>
      <c r="K112" s="7"/>
    </row>
    <row r="113" spans="1:11" ht="18.75">
      <c r="A113" s="23"/>
      <c r="B113" s="142" t="s">
        <v>80</v>
      </c>
      <c r="C113" s="143"/>
      <c r="D113" s="143"/>
      <c r="E113" s="143"/>
      <c r="F113" s="143"/>
      <c r="G113" s="143"/>
      <c r="H113" s="143"/>
      <c r="I113" s="143"/>
      <c r="J113" s="144"/>
      <c r="K113" s="7"/>
    </row>
    <row r="114" spans="1:11" ht="18.75">
      <c r="A114" s="23"/>
      <c r="B114" s="142" t="s">
        <v>54</v>
      </c>
      <c r="C114" s="143"/>
      <c r="D114" s="143"/>
      <c r="E114" s="143"/>
      <c r="F114" s="143"/>
      <c r="G114" s="143"/>
      <c r="H114" s="143"/>
      <c r="I114" s="143"/>
      <c r="J114" s="144"/>
      <c r="K114" s="7"/>
    </row>
    <row r="115" spans="1:11" ht="18.75">
      <c r="A115" s="23"/>
      <c r="B115" s="217" t="s">
        <v>55</v>
      </c>
      <c r="C115" s="218"/>
      <c r="D115" s="218"/>
      <c r="E115" s="218"/>
      <c r="F115" s="218"/>
      <c r="G115" s="218"/>
      <c r="H115" s="218"/>
      <c r="I115" s="218"/>
      <c r="J115" s="219"/>
      <c r="K115" s="7"/>
    </row>
  </sheetData>
  <sheetProtection/>
  <mergeCells count="95">
    <mergeCell ref="E28:F28"/>
    <mergeCell ref="E29:F29"/>
    <mergeCell ref="E55:F55"/>
    <mergeCell ref="E26:F26"/>
    <mergeCell ref="E24:F24"/>
    <mergeCell ref="E27:F27"/>
    <mergeCell ref="E25:F25"/>
    <mergeCell ref="E36:F36"/>
    <mergeCell ref="E34:F34"/>
    <mergeCell ref="B90:D90"/>
    <mergeCell ref="B37:D37"/>
    <mergeCell ref="B47:D47"/>
    <mergeCell ref="E47:F47"/>
    <mergeCell ref="E57:F57"/>
    <mergeCell ref="E56:F56"/>
    <mergeCell ref="E41:F41"/>
    <mergeCell ref="E52:F52"/>
    <mergeCell ref="B38:I38"/>
    <mergeCell ref="B52:D52"/>
    <mergeCell ref="B81:I81"/>
    <mergeCell ref="E68:F68"/>
    <mergeCell ref="E76:F76"/>
    <mergeCell ref="E67:F67"/>
    <mergeCell ref="B89:D89"/>
    <mergeCell ref="B86:D86"/>
    <mergeCell ref="E80:F80"/>
    <mergeCell ref="E86:H86"/>
    <mergeCell ref="B88:D88"/>
    <mergeCell ref="B87:D87"/>
    <mergeCell ref="B11:E11"/>
    <mergeCell ref="G19:G20"/>
    <mergeCell ref="H19:H20"/>
    <mergeCell ref="I19:I20"/>
    <mergeCell ref="J19:J20"/>
    <mergeCell ref="B115:J115"/>
    <mergeCell ref="E65:F65"/>
    <mergeCell ref="E60:F60"/>
    <mergeCell ref="B74:D74"/>
    <mergeCell ref="E74:F74"/>
    <mergeCell ref="E58:F58"/>
    <mergeCell ref="E54:F54"/>
    <mergeCell ref="B1:J1"/>
    <mergeCell ref="E3:G3"/>
    <mergeCell ref="E2:G2"/>
    <mergeCell ref="B23:D23"/>
    <mergeCell ref="E23:F23"/>
    <mergeCell ref="B19:D20"/>
    <mergeCell ref="E19:F20"/>
    <mergeCell ref="G11:J11"/>
    <mergeCell ref="E42:F42"/>
    <mergeCell ref="B41:D41"/>
    <mergeCell ref="E53:F53"/>
    <mergeCell ref="E48:F48"/>
    <mergeCell ref="E44:F44"/>
    <mergeCell ref="E49:F49"/>
    <mergeCell ref="E50:F50"/>
    <mergeCell ref="E43:F43"/>
    <mergeCell ref="B24:D24"/>
    <mergeCell ref="E37:F37"/>
    <mergeCell ref="B67:D67"/>
    <mergeCell ref="B66:D66"/>
    <mergeCell ref="E30:F30"/>
    <mergeCell ref="B31:I31"/>
    <mergeCell ref="E35:F35"/>
    <mergeCell ref="B36:D36"/>
    <mergeCell ref="E61:F61"/>
    <mergeCell ref="B35:D35"/>
    <mergeCell ref="F98:H98"/>
    <mergeCell ref="D102:E102"/>
    <mergeCell ref="D100:E100"/>
    <mergeCell ref="E79:F79"/>
    <mergeCell ref="E87:H87"/>
    <mergeCell ref="B83:I83"/>
    <mergeCell ref="D101:E101"/>
    <mergeCell ref="B95:J95"/>
    <mergeCell ref="B93:I93"/>
    <mergeCell ref="E88:I90"/>
    <mergeCell ref="B114:J114"/>
    <mergeCell ref="B113:J113"/>
    <mergeCell ref="B108:J109"/>
    <mergeCell ref="B91:I91"/>
    <mergeCell ref="B107:J107"/>
    <mergeCell ref="B110:J112"/>
    <mergeCell ref="D104:E106"/>
    <mergeCell ref="D98:E99"/>
    <mergeCell ref="D97:H97"/>
    <mergeCell ref="F104:H104"/>
    <mergeCell ref="E78:F78"/>
    <mergeCell ref="E77:F77"/>
    <mergeCell ref="E63:F63"/>
    <mergeCell ref="E69:F69"/>
    <mergeCell ref="E62:F62"/>
    <mergeCell ref="E72:F72"/>
    <mergeCell ref="E75:F75"/>
    <mergeCell ref="E66:F6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5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5">
      <selection activeCell="D40" sqref="D40"/>
    </sheetView>
  </sheetViews>
  <sheetFormatPr defaultColWidth="11.421875" defaultRowHeight="15"/>
  <cols>
    <col min="2" max="2" width="41.28125" style="0" bestFit="1" customWidth="1"/>
  </cols>
  <sheetData>
    <row r="2" spans="2:3" ht="15">
      <c r="B2" s="61" t="s">
        <v>72</v>
      </c>
      <c r="C2" s="62">
        <f>((Ficha!E12-9000)/9000)+1</f>
        <v>1</v>
      </c>
    </row>
    <row r="4" ht="15">
      <c r="B4" s="63" t="s">
        <v>73</v>
      </c>
    </row>
    <row r="5" spans="2:4" ht="15">
      <c r="B5" t="s">
        <v>51</v>
      </c>
      <c r="D5">
        <v>9000</v>
      </c>
    </row>
    <row r="6" spans="2:4" ht="15">
      <c r="B6" t="s">
        <v>135</v>
      </c>
      <c r="D6">
        <v>9000</v>
      </c>
    </row>
    <row r="7" spans="2:4" ht="15">
      <c r="B7" t="s">
        <v>136</v>
      </c>
      <c r="D7">
        <v>9000</v>
      </c>
    </row>
    <row r="8" spans="2:4" ht="15">
      <c r="B8" t="s">
        <v>56</v>
      </c>
      <c r="D8">
        <v>9000</v>
      </c>
    </row>
    <row r="14" ht="15">
      <c r="B14" s="63" t="s">
        <v>43</v>
      </c>
    </row>
    <row r="16" spans="2:4" ht="15">
      <c r="B16" s="61" t="s">
        <v>74</v>
      </c>
      <c r="C16" s="64">
        <f>Ficha!D100</f>
        <v>8100</v>
      </c>
      <c r="D16" s="64">
        <f>Ficha!D102</f>
        <v>9900</v>
      </c>
    </row>
    <row r="18" spans="2:4" ht="15">
      <c r="B18" s="61" t="s">
        <v>72</v>
      </c>
      <c r="C18" s="62">
        <v>0.9</v>
      </c>
      <c r="D18" s="62">
        <v>1.1</v>
      </c>
    </row>
    <row r="20" ht="15">
      <c r="B20" t="s">
        <v>29</v>
      </c>
    </row>
    <row r="21" spans="2:4" ht="15">
      <c r="B21" t="s">
        <v>75</v>
      </c>
      <c r="C21" s="65">
        <f>SUM(Ficha!J23:J28)</f>
        <v>1208350</v>
      </c>
      <c r="D21" s="65">
        <f>SUM(Ficha!J23:J28)</f>
        <v>1208350</v>
      </c>
    </row>
    <row r="22" spans="2:4" ht="15">
      <c r="B22" s="66" t="s">
        <v>76</v>
      </c>
      <c r="C22" s="67">
        <f>C18*Ficha!G29*Ficha!I29+Hoja1!C18*Ficha!G30*Ficha!I30</f>
        <v>2025000</v>
      </c>
      <c r="D22" s="67">
        <f>D18*Ficha!G29*Ficha!I29+1.1*Ficha!G30*Ficha!I30</f>
        <v>2475000</v>
      </c>
    </row>
    <row r="23" spans="2:4" ht="15">
      <c r="B23" t="s">
        <v>77</v>
      </c>
      <c r="C23" s="65">
        <f>SUM(C21:C22)</f>
        <v>3233350</v>
      </c>
      <c r="D23" s="65">
        <f>SUM(D21:D22)</f>
        <v>3683350</v>
      </c>
    </row>
    <row r="25" ht="15">
      <c r="B25" t="s">
        <v>31</v>
      </c>
    </row>
    <row r="26" spans="2:4" ht="15">
      <c r="B26" t="s">
        <v>75</v>
      </c>
      <c r="C26" s="65">
        <f>SUM(Ficha!I34:I35)</f>
        <v>75000</v>
      </c>
      <c r="D26" s="65">
        <f>SUM(Ficha!I34:I35)</f>
        <v>75000</v>
      </c>
    </row>
    <row r="27" spans="2:4" ht="15">
      <c r="B27" s="66" t="s">
        <v>76</v>
      </c>
      <c r="C27" s="66">
        <f>C18*Ficha!G36*Ficha!I36+0.9*Ficha!G37*Ficha!I37</f>
        <v>283500</v>
      </c>
      <c r="D27" s="66">
        <f>D18*Ficha!G36*Ficha!I36+0.9*Ficha!G37*Ficha!I37</f>
        <v>319500</v>
      </c>
    </row>
    <row r="28" spans="2:4" ht="15">
      <c r="B28" t="s">
        <v>77</v>
      </c>
      <c r="C28" s="65">
        <f>SUM(C26:C27)</f>
        <v>358500</v>
      </c>
      <c r="D28" s="65">
        <f>SUM(D26:D27)</f>
        <v>394500</v>
      </c>
    </row>
    <row r="30" ht="15">
      <c r="B30" t="s">
        <v>78</v>
      </c>
    </row>
    <row r="31" spans="2:4" ht="15">
      <c r="B31" t="s">
        <v>75</v>
      </c>
      <c r="C31" s="65">
        <f>SUM(Ficha!J41:J80)</f>
        <v>1505454.5</v>
      </c>
      <c r="D31" s="65">
        <f>SUM(Ficha!J41:J80)</f>
        <v>1505454.5</v>
      </c>
    </row>
    <row r="32" spans="2:4" ht="15">
      <c r="B32" s="66" t="s">
        <v>76</v>
      </c>
      <c r="C32" s="66">
        <v>0</v>
      </c>
      <c r="D32" s="66">
        <v>0</v>
      </c>
    </row>
    <row r="33" spans="2:4" ht="15">
      <c r="B33" t="s">
        <v>77</v>
      </c>
      <c r="C33" s="65">
        <f>SUM(C31:C32)</f>
        <v>1505454.5</v>
      </c>
      <c r="D33" s="65">
        <f>SUM(D31:D32)</f>
        <v>1505454.5</v>
      </c>
    </row>
    <row r="35" spans="2:4" ht="15">
      <c r="B35" s="63" t="s">
        <v>79</v>
      </c>
      <c r="C35" s="65">
        <f>C23+C28+C33</f>
        <v>5097304.5</v>
      </c>
      <c r="D35" s="65">
        <f>D23+D28+D33</f>
        <v>5583304.5</v>
      </c>
    </row>
    <row r="37" spans="2:4" ht="15">
      <c r="B37" t="s">
        <v>0</v>
      </c>
      <c r="C37" s="65">
        <f>C35*Ficha!$I$86</f>
        <v>254865.225</v>
      </c>
      <c r="D37" s="65">
        <f>D35*Ficha!$I$86</f>
        <v>279165.22500000003</v>
      </c>
    </row>
    <row r="38" spans="2:4" ht="15">
      <c r="B38" t="s">
        <v>38</v>
      </c>
      <c r="C38" s="65">
        <f>C35*Ficha!$E$15*Ficha!$E$16*Ficha!$E$17</f>
        <v>382297.8375</v>
      </c>
      <c r="D38" s="65">
        <f>D35*Ficha!$E$15*Ficha!$E$16*Ficha!$E$17</f>
        <v>418747.8375</v>
      </c>
    </row>
    <row r="40" spans="2:4" ht="15">
      <c r="B40" s="63" t="s">
        <v>42</v>
      </c>
      <c r="C40" s="68">
        <f>C35+C37+C38</f>
        <v>5734467.5625</v>
      </c>
      <c r="D40" s="68">
        <f>D35+D37+D38</f>
        <v>6281217.5625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2013-03-18T20:49:15Z</cp:lastPrinted>
  <dcterms:created xsi:type="dcterms:W3CDTF">2012-07-09T18:51:50Z</dcterms:created>
  <dcterms:modified xsi:type="dcterms:W3CDTF">2017-10-06T19:43:58Z</dcterms:modified>
  <cp:category/>
  <cp:version/>
  <cp:contentType/>
  <cp:contentStatus/>
</cp:coreProperties>
</file>