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maíz_jubilee_valparaíso" sheetId="1" r:id="rId1"/>
    <sheet name="Hoja1" sheetId="2" state="hidden" r:id="rId2"/>
  </sheets>
  <definedNames>
    <definedName name="_xlnm.Print_Area" localSheetId="0">'maíz_jubilee_valparaíso'!$A$1:$K$102</definedName>
  </definedNames>
  <calcPr fullCalcOnLoad="1"/>
</workbook>
</file>

<file path=xl/sharedStrings.xml><?xml version="1.0" encoding="utf-8"?>
<sst xmlns="http://schemas.openxmlformats.org/spreadsheetml/2006/main" count="181" uniqueCount="119">
  <si>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</si>
  <si>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</si>
  <si>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</si>
  <si>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</si>
  <si>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</si>
  <si>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</si>
  <si>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</si>
  <si>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</si>
  <si>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</si>
  <si>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</si>
  <si>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</si>
  <si>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</si>
  <si>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</si>
  <si>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</si>
  <si>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</si>
  <si>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</si>
  <si>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</si>
  <si>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</si>
  <si>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</si>
  <si>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</si>
  <si>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</si>
  <si>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</si>
  <si>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</si>
  <si>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</si>
  <si>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</si>
  <si>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</si>
  <si>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</si>
  <si>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</si>
  <si>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</si>
  <si>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</si>
  <si>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</si>
  <si>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</si>
  <si>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</si>
  <si>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</si>
  <si>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</si>
  <si>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</si>
  <si>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</si>
  <si>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</si>
  <si>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</si>
  <si>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</si>
  <si>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Acarreo de insumos</t>
  </si>
  <si>
    <t>Otros</t>
  </si>
  <si>
    <t>Cosecha: cortado, seleccionado y embalado</t>
  </si>
  <si>
    <t>Herbicida:</t>
  </si>
  <si>
    <t>Tecnología: Media</t>
  </si>
  <si>
    <t>Urea</t>
  </si>
  <si>
    <t>Acequiadura</t>
  </si>
  <si>
    <t>Control manual de malezas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</si>
  <si>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</si>
  <si>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Análisis de suelo (fertilidad completa)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</si>
  <si>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</si>
  <si>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</si>
  <si>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1 hectárea agosto 2018</t>
  </si>
  <si>
    <t>Tecnología de riego: Riego por surco</t>
  </si>
  <si>
    <t>Variedad: Jubilee</t>
  </si>
  <si>
    <t>Riego</t>
  </si>
  <si>
    <t>Aplicación fertilizantes</t>
  </si>
  <si>
    <t>Aplicación agroquímicos</t>
  </si>
  <si>
    <t>Preparar caminos para la cosecha</t>
  </si>
  <si>
    <r>
      <t>Cosecha</t>
    </r>
    <r>
      <rPr>
        <vertAlign val="superscript"/>
        <sz val="14"/>
        <rFont val="Arial"/>
        <family val="2"/>
      </rPr>
      <t xml:space="preserve"> (2)</t>
    </r>
  </si>
  <si>
    <t>Rastrajes</t>
  </si>
  <si>
    <t>Aplicación pesticidas</t>
  </si>
  <si>
    <t>Acarreo de cosechas, tractor y coloso (del predio al camión)</t>
  </si>
  <si>
    <t>Agua de riego</t>
  </si>
  <si>
    <r>
      <t xml:space="preserve">Semilla </t>
    </r>
    <r>
      <rPr>
        <vertAlign val="superscript"/>
        <sz val="14"/>
        <rFont val="Arial"/>
        <family val="2"/>
      </rPr>
      <t>(3)</t>
    </r>
  </si>
  <si>
    <t>Periodo</t>
  </si>
  <si>
    <t xml:space="preserve">Aradura </t>
  </si>
  <si>
    <t>Frutaliv</t>
  </si>
  <si>
    <t>Maíz dulce</t>
  </si>
  <si>
    <t>Terrasorb foliar</t>
  </si>
  <si>
    <t>Siembra por grano sobre la marca de riego</t>
  </si>
  <si>
    <t>Melgadura para la siembra y fertilización base</t>
  </si>
  <si>
    <t>Mezcla NPK maicera</t>
  </si>
  <si>
    <t>Ficha Técnico Económica</t>
  </si>
  <si>
    <t>Región de Valparaíso</t>
  </si>
  <si>
    <t>Fecha siembra: octubre</t>
  </si>
  <si>
    <r>
      <t>Precio de venta a productor ($/unidad)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</si>
  <si>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Rendimiento (unidades/hectárea):</t>
  </si>
  <si>
    <t>Costo jornada hombre ($/jornada hombre)</t>
  </si>
  <si>
    <t>Precio ($/unidad)</t>
  </si>
  <si>
    <t>porcentaje</t>
  </si>
  <si>
    <t>octubre</t>
  </si>
  <si>
    <t>febrero</t>
  </si>
  <si>
    <t>octubre - febrero</t>
  </si>
  <si>
    <t>octubre - enero</t>
  </si>
  <si>
    <t>octubre - noviembre</t>
  </si>
  <si>
    <t>enero - febrero</t>
  </si>
  <si>
    <t>jornada hombre</t>
  </si>
  <si>
    <t>unidad</t>
  </si>
  <si>
    <t>hectárea</t>
  </si>
  <si>
    <t>kilo</t>
  </si>
  <si>
    <t>litro</t>
  </si>
  <si>
    <t>análisis</t>
  </si>
  <si>
    <t>septiembre - octubre</t>
  </si>
  <si>
    <t>Cultivación y aplicar fertilizantes</t>
  </si>
  <si>
    <t>período del cultivo</t>
  </si>
  <si>
    <t>desarrollo del cultivo</t>
  </si>
  <si>
    <t>noviembre - diciembre</t>
  </si>
  <si>
    <t>junio - septiembre</t>
  </si>
  <si>
    <t>Margen neto ($/hectárea)</t>
  </si>
  <si>
    <t>Rendimiento (unidades/hectárea)</t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</si>
  <si>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(7)</t>
    </r>
  </si>
  <si>
    <t>Costo unitario ($/unidad)</t>
  </si>
  <si>
    <t>(2) La cosecha equivale por unidad o choclo, cortado, seleccionado y cargado al camión.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</si>
  <si>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</si>
  <si>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(4) La dosis de fertilización promedio podría variar de acuerdo a los resultados del análisis de suelo.</t>
  </si>
  <si>
    <t>(6) Margen neto corresponde a ingresos totales (precio venta x rendimiento) menos los costos totales.</t>
  </si>
  <si>
    <t>(7) Representa el precio de venta mínimo para cubrir los costos totales de producción.</t>
  </si>
  <si>
    <t>Fecha cosecha: febrero</t>
  </si>
  <si>
    <t>Atrazina 90 WG</t>
  </si>
  <si>
    <t>Clorpirifos 48% CE</t>
  </si>
  <si>
    <t>Karate Zeon</t>
  </si>
  <si>
    <t>Destino de producción: consumo fresco</t>
  </si>
  <si>
    <t>(1) El precio de unidad de choclo corresponde al promedio de las entrevistas de la región, a nivel predial (precio pagado a productor) durante la cosecha en la temporada 2017/2018.</t>
  </si>
  <si>
    <t>(5) 1,5% mensual simple sobre el 50% de los costos totales, tasa de interés promedio de las empresas distribuidoras de insumos.</t>
  </si>
  <si>
    <t>Densidad (plantas/hectárea)(0,7m x 0,25m): 55.000</t>
  </si>
  <si>
    <t>Costo oportunidad (arriendo)</t>
  </si>
  <si>
    <t xml:space="preserve">Administración </t>
  </si>
  <si>
    <t>Impuestos y contribuciones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</si>
</sst>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9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5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2" fillId="37" borderId="0" xfId="0" applyFont="1" applyFill="1" applyAlignment="1">
      <alignment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5" xfId="56" applyNumberFormat="1" applyFont="1" applyFill="1" applyBorder="1" applyAlignment="1" applyProtection="1">
      <alignment horizontal="center" vertical="center" wrapText="1"/>
      <protection/>
    </xf>
    <xf numFmtId="0" fontId="62" fillId="23" borderId="25" xfId="56" applyFont="1" applyFill="1" applyBorder="1" applyAlignment="1" applyProtection="1">
      <alignment horizontal="center" vertical="center" wrapText="1"/>
      <protection/>
    </xf>
    <xf numFmtId="3" fontId="62" fillId="23" borderId="25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1" fontId="10" fillId="34" borderId="21" xfId="67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3" xfId="56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24" xfId="56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/>
    </xf>
    <xf numFmtId="3" fontId="10" fillId="0" borderId="21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10" fillId="34" borderId="0" xfId="67" applyNumberFormat="1" applyFont="1" applyFill="1" applyBorder="1" applyAlignment="1" applyProtection="1">
      <alignment horizontal="left" indent="1"/>
      <protection/>
    </xf>
    <xf numFmtId="0" fontId="10" fillId="34" borderId="11" xfId="67" applyNumberFormat="1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0" xfId="67" applyNumberFormat="1" applyFont="1" applyFill="1" applyBorder="1" applyAlignment="1" applyProtection="1">
      <alignment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62" fillId="23" borderId="24" xfId="56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34" borderId="15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10" fillId="34" borderId="16" xfId="67" applyNumberFormat="1" applyFont="1" applyFill="1" applyBorder="1" applyAlignment="1" applyProtection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0" fontId="10" fillId="34" borderId="18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10" fillId="34" borderId="0" xfId="56" applyFont="1" applyFill="1" applyBorder="1" applyAlignment="1">
      <alignment horizontal="left" indent="3"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5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8" fillId="38" borderId="24" xfId="0" applyFont="1" applyFill="1" applyBorder="1" applyAlignment="1">
      <alignment/>
    </xf>
    <xf numFmtId="0" fontId="8" fillId="38" borderId="25" xfId="0" applyFont="1" applyFill="1" applyBorder="1" applyAlignment="1">
      <alignment/>
    </xf>
    <xf numFmtId="0" fontId="8" fillId="38" borderId="2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0" fillId="34" borderId="23" xfId="0" applyFill="1" applyBorder="1" applyAlignment="1">
      <alignment/>
    </xf>
    <xf numFmtId="185" fontId="10" fillId="34" borderId="21" xfId="67" applyNumberFormat="1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185" fontId="10" fillId="34" borderId="22" xfId="67" applyNumberFormat="1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0" fontId="62" fillId="39" borderId="15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9" borderId="16" xfId="0" applyFont="1" applyFill="1" applyBorder="1" applyAlignment="1">
      <alignment horizont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62" fillId="39" borderId="17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 horizontal="center" vertical="center"/>
    </xf>
    <xf numFmtId="0" fontId="62" fillId="39" borderId="18" xfId="0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 vertical="center"/>
    </xf>
    <xf numFmtId="0" fontId="62" fillId="39" borderId="16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183" fontId="10" fillId="34" borderId="12" xfId="0" applyNumberFormat="1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5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62" fillId="39" borderId="17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39" borderId="18" xfId="0" applyFont="1" applyFill="1" applyBorder="1" applyAlignment="1">
      <alignment horizontal="center"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17" fontId="62" fillId="40" borderId="17" xfId="67" applyNumberFormat="1" applyFont="1" applyFill="1" applyBorder="1" applyAlignment="1" applyProtection="1">
      <alignment horizontal="center"/>
      <protection/>
    </xf>
    <xf numFmtId="17" fontId="62" fillId="40" borderId="14" xfId="67" applyNumberFormat="1" applyFont="1" applyFill="1" applyBorder="1" applyAlignment="1" applyProtection="1">
      <alignment horizontal="center"/>
      <protection/>
    </xf>
    <xf numFmtId="17" fontId="62" fillId="40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40" borderId="17" xfId="55" applyFont="1" applyFill="1" applyBorder="1" applyAlignment="1">
      <alignment horizontal="center"/>
      <protection/>
    </xf>
    <xf numFmtId="0" fontId="62" fillId="40" borderId="14" xfId="55" applyFont="1" applyFill="1" applyBorder="1" applyAlignment="1">
      <alignment horizontal="center"/>
      <protection/>
    </xf>
    <xf numFmtId="0" fontId="62" fillId="40" borderId="18" xfId="55" applyFont="1" applyFill="1" applyBorder="1" applyAlignment="1">
      <alignment horizontal="center"/>
      <protection/>
    </xf>
    <xf numFmtId="0" fontId="62" fillId="40" borderId="24" xfId="55" applyFont="1" applyFill="1" applyBorder="1" applyAlignment="1">
      <alignment horizontal="center"/>
      <protection/>
    </xf>
    <xf numFmtId="0" fontId="62" fillId="40" borderId="25" xfId="55" applyFont="1" applyFill="1" applyBorder="1" applyAlignment="1">
      <alignment horizontal="center"/>
      <protection/>
    </xf>
    <xf numFmtId="0" fontId="62" fillId="40" borderId="20" xfId="55" applyFont="1" applyFill="1" applyBorder="1" applyAlignment="1">
      <alignment horizontal="center"/>
      <protection/>
    </xf>
    <xf numFmtId="0" fontId="62" fillId="23" borderId="25" xfId="56" applyFont="1" applyFill="1" applyBorder="1" applyAlignment="1" applyProtection="1">
      <alignment horizontal="center" vertical="center"/>
      <protection/>
    </xf>
    <xf numFmtId="0" fontId="10" fillId="34" borderId="20" xfId="56" applyFont="1" applyFill="1" applyBorder="1" applyAlignment="1">
      <alignment horizontal="center"/>
      <protection/>
    </xf>
    <xf numFmtId="1" fontId="8" fillId="38" borderId="24" xfId="0" applyNumberFormat="1" applyFont="1" applyFill="1" applyBorder="1" applyAlignment="1">
      <alignment horizontal="center" vertical="center"/>
    </xf>
    <xf numFmtId="1" fontId="8" fillId="38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0" fontId="10" fillId="34" borderId="24" xfId="56" applyFont="1" applyFill="1" applyBorder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628650</xdr:colOff>
      <xdr:row>101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590550" y="233934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4"/>
  <sheetViews>
    <sheetView showGridLines="0" tabSelected="1" view="pageBreakPreview" zoomScaleNormal="70" zoomScaleSheetLayoutView="100" zoomScalePageLayoutView="80" workbookViewId="0" topLeftCell="A55">
      <selection activeCell="G71" sqref="G71"/>
    </sheetView>
  </sheetViews>
  <sheetFormatPr defaultColWidth="11.421875" defaultRowHeight="15"/>
  <cols>
    <col min="1" max="1" width="8.8515625" style="3" customWidth="1"/>
    <col min="2" max="3" width="18.7109375" style="0" customWidth="1"/>
    <col min="4" max="4" width="64.7109375" style="0" bestFit="1" customWidth="1"/>
    <col min="5" max="5" width="32.7109375" style="0" bestFit="1" customWidth="1"/>
    <col min="6" max="6" width="5.7109375" style="0" customWidth="1"/>
    <col min="7" max="7" width="20.140625" style="2" customWidth="1"/>
    <col min="8" max="8" width="21.57421875" style="0" customWidth="1"/>
    <col min="9" max="9" width="25.421875" style="0" customWidth="1"/>
    <col min="10" max="10" width="15.28125" style="0" bestFit="1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50"/>
      <c r="C2" s="150"/>
      <c r="D2" s="318" t="s">
        <v>73</v>
      </c>
      <c r="E2" s="318"/>
      <c r="F2" s="318"/>
      <c r="G2" s="318"/>
      <c r="H2" s="318"/>
      <c r="I2" s="318"/>
      <c r="J2" s="318"/>
    </row>
    <row r="3" spans="2:11" s="3" customFormat="1" ht="18" customHeight="1">
      <c r="B3" s="95"/>
      <c r="C3" s="118"/>
      <c r="D3" s="319" t="s">
        <v>68</v>
      </c>
      <c r="E3" s="319"/>
      <c r="F3" s="319"/>
      <c r="G3" s="319"/>
      <c r="H3" s="319"/>
      <c r="I3" s="319"/>
      <c r="J3" s="319"/>
      <c r="K3" s="14"/>
    </row>
    <row r="4" spans="2:11" s="3" customFormat="1" ht="18" customHeight="1">
      <c r="B4" s="95"/>
      <c r="C4" s="118"/>
      <c r="D4" s="319" t="s">
        <v>74</v>
      </c>
      <c r="E4" s="319"/>
      <c r="F4" s="319"/>
      <c r="G4" s="319"/>
      <c r="H4" s="319"/>
      <c r="I4" s="319"/>
      <c r="J4" s="319"/>
      <c r="K4" s="14"/>
    </row>
    <row r="5" spans="2:11" s="3" customFormat="1" ht="18" customHeight="1">
      <c r="B5" s="42"/>
      <c r="C5" s="42"/>
      <c r="D5" s="119"/>
      <c r="E5" s="44"/>
      <c r="F5" s="145"/>
      <c r="G5" s="145"/>
      <c r="H5" s="145"/>
      <c r="I5" s="145"/>
      <c r="J5" s="145"/>
      <c r="K5" s="16"/>
    </row>
    <row r="6" spans="2:11" s="3" customFormat="1" ht="18" customHeight="1">
      <c r="B6" s="42"/>
      <c r="C6" s="42"/>
      <c r="D6" s="314" t="s">
        <v>35</v>
      </c>
      <c r="E6" s="315"/>
      <c r="F6" s="315"/>
      <c r="G6" s="315"/>
      <c r="H6" s="315"/>
      <c r="I6" s="315"/>
      <c r="J6" s="316"/>
      <c r="K6" s="16"/>
    </row>
    <row r="7" spans="2:11" s="3" customFormat="1" ht="18" customHeight="1">
      <c r="B7" s="42"/>
      <c r="C7" s="42"/>
      <c r="D7" s="86" t="s">
        <v>52</v>
      </c>
      <c r="E7" s="87"/>
      <c r="F7" s="87"/>
      <c r="G7" s="88" t="s">
        <v>54</v>
      </c>
      <c r="H7" s="89"/>
      <c r="I7" s="90"/>
      <c r="J7" s="91"/>
      <c r="K7" s="16"/>
    </row>
    <row r="8" spans="2:11" s="3" customFormat="1" ht="18" customHeight="1">
      <c r="B8" s="42"/>
      <c r="C8" s="42"/>
      <c r="D8" s="92" t="s">
        <v>53</v>
      </c>
      <c r="E8" s="93"/>
      <c r="F8" s="93"/>
      <c r="G8" s="94" t="s">
        <v>112</v>
      </c>
      <c r="H8" s="95"/>
      <c r="I8" s="96"/>
      <c r="J8" s="97"/>
      <c r="K8" s="16"/>
    </row>
    <row r="9" spans="2:11" s="3" customFormat="1" ht="18" customHeight="1">
      <c r="B9" s="42"/>
      <c r="C9" s="42"/>
      <c r="D9" s="92" t="s">
        <v>115</v>
      </c>
      <c r="E9" s="201"/>
      <c r="F9" s="93"/>
      <c r="G9" s="94" t="s">
        <v>44</v>
      </c>
      <c r="H9" s="95"/>
      <c r="I9" s="96"/>
      <c r="J9" s="97"/>
      <c r="K9" s="18"/>
    </row>
    <row r="10" spans="2:11" s="3" customFormat="1" ht="18" customHeight="1">
      <c r="B10" s="42"/>
      <c r="C10" s="42"/>
      <c r="D10" s="98" t="s">
        <v>75</v>
      </c>
      <c r="E10" s="99"/>
      <c r="F10" s="99"/>
      <c r="G10" s="100" t="s">
        <v>108</v>
      </c>
      <c r="H10" s="101"/>
      <c r="I10" s="102"/>
      <c r="J10" s="103"/>
      <c r="K10" s="18"/>
    </row>
    <row r="11" spans="2:11" s="3" customFormat="1" ht="18" customHeight="1">
      <c r="B11" s="42"/>
      <c r="C11" s="42"/>
      <c r="D11" s="26"/>
      <c r="E11" s="93"/>
      <c r="F11" s="93"/>
      <c r="G11" s="26"/>
      <c r="H11" s="95"/>
      <c r="I11" s="96"/>
      <c r="J11" s="129"/>
      <c r="K11" s="18"/>
    </row>
    <row r="12" spans="2:11" ht="18">
      <c r="B12" s="320" t="s">
        <v>36</v>
      </c>
      <c r="C12" s="321"/>
      <c r="D12" s="321"/>
      <c r="E12" s="322"/>
      <c r="F12" s="41"/>
      <c r="G12" s="323" t="s">
        <v>9</v>
      </c>
      <c r="H12" s="324"/>
      <c r="I12" s="324"/>
      <c r="J12" s="325"/>
      <c r="K12" s="16"/>
    </row>
    <row r="13" spans="2:11" ht="18">
      <c r="B13" s="108" t="s">
        <v>77</v>
      </c>
      <c r="C13" s="109"/>
      <c r="D13" s="87"/>
      <c r="E13" s="110">
        <v>42000</v>
      </c>
      <c r="F13" s="42"/>
      <c r="G13" s="114" t="s">
        <v>4</v>
      </c>
      <c r="H13" s="87"/>
      <c r="I13" s="87"/>
      <c r="J13" s="151">
        <f>E13*E14</f>
        <v>3990000</v>
      </c>
      <c r="K13" s="16"/>
    </row>
    <row r="14" spans="2:13" ht="18" customHeight="1">
      <c r="B14" s="202" t="s">
        <v>76</v>
      </c>
      <c r="C14" s="203"/>
      <c r="D14" s="203"/>
      <c r="E14" s="154">
        <v>95</v>
      </c>
      <c r="F14" s="42"/>
      <c r="G14" s="115" t="s">
        <v>5</v>
      </c>
      <c r="H14" s="42"/>
      <c r="I14" s="42"/>
      <c r="J14" s="152">
        <f>J30+J41+J58</f>
        <v>2467316</v>
      </c>
      <c r="K14" s="16"/>
      <c r="M14" s="148"/>
    </row>
    <row r="15" spans="2:11" ht="18">
      <c r="B15" s="200" t="s">
        <v>78</v>
      </c>
      <c r="C15" s="43"/>
      <c r="D15" s="42"/>
      <c r="E15" s="154">
        <v>16000</v>
      </c>
      <c r="F15" s="42"/>
      <c r="G15" s="115" t="s">
        <v>6</v>
      </c>
      <c r="H15" s="44"/>
      <c r="I15" s="42"/>
      <c r="J15" s="152">
        <f>J30+J41+J58+J62+J70</f>
        <v>2701711.02</v>
      </c>
      <c r="K15" s="16"/>
    </row>
    <row r="16" spans="2:11" ht="18">
      <c r="B16" s="200" t="s">
        <v>2</v>
      </c>
      <c r="C16" s="45"/>
      <c r="D16" s="42"/>
      <c r="E16" s="111">
        <v>0.015</v>
      </c>
      <c r="F16" s="42"/>
      <c r="G16" s="115" t="s">
        <v>7</v>
      </c>
      <c r="H16" s="42"/>
      <c r="I16" s="42"/>
      <c r="J16" s="152">
        <f>J13-J14</f>
        <v>1522684</v>
      </c>
      <c r="K16" s="16"/>
    </row>
    <row r="17" spans="2:11" ht="18">
      <c r="B17" s="200" t="s">
        <v>3</v>
      </c>
      <c r="C17" s="45"/>
      <c r="D17" s="42"/>
      <c r="E17" s="205">
        <v>6</v>
      </c>
      <c r="F17" s="42"/>
      <c r="G17" s="115" t="s">
        <v>8</v>
      </c>
      <c r="H17" s="42"/>
      <c r="I17" s="42"/>
      <c r="J17" s="152">
        <f>J13-J15</f>
        <v>1288288.98</v>
      </c>
      <c r="K17" s="16"/>
    </row>
    <row r="18" spans="2:11" ht="18">
      <c r="B18" s="112"/>
      <c r="C18" s="113"/>
      <c r="D18" s="104"/>
      <c r="E18" s="204"/>
      <c r="F18" s="42"/>
      <c r="G18" s="116" t="s">
        <v>32</v>
      </c>
      <c r="H18" s="104"/>
      <c r="I18" s="117"/>
      <c r="J18" s="153">
        <f>G88</f>
        <v>64.32645285714285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1" t="s">
        <v>33</v>
      </c>
      <c r="C20" s="120"/>
      <c r="D20" s="120"/>
      <c r="E20" s="317"/>
      <c r="F20" s="317"/>
      <c r="G20" s="122"/>
      <c r="H20" s="123"/>
      <c r="I20" s="136"/>
      <c r="J20" s="124"/>
      <c r="K20" s="16"/>
    </row>
    <row r="21" spans="2:11" s="3" customFormat="1" ht="18">
      <c r="B21" s="206" t="s">
        <v>12</v>
      </c>
      <c r="C21" s="207"/>
      <c r="D21" s="207"/>
      <c r="E21" s="208" t="s">
        <v>65</v>
      </c>
      <c r="F21" s="208"/>
      <c r="G21" s="155" t="s">
        <v>10</v>
      </c>
      <c r="H21" s="156" t="s">
        <v>11</v>
      </c>
      <c r="I21" s="157" t="s">
        <v>79</v>
      </c>
      <c r="J21" s="158" t="s">
        <v>1</v>
      </c>
      <c r="K21" s="16"/>
    </row>
    <row r="22" spans="2:10" s="3" customFormat="1" ht="18">
      <c r="B22" s="192" t="s">
        <v>55</v>
      </c>
      <c r="C22" s="193"/>
      <c r="D22" s="198"/>
      <c r="E22" s="209" t="s">
        <v>83</v>
      </c>
      <c r="F22" s="210"/>
      <c r="G22" s="173">
        <v>6</v>
      </c>
      <c r="H22" s="170" t="s">
        <v>87</v>
      </c>
      <c r="I22" s="135">
        <f>E15</f>
        <v>16000</v>
      </c>
      <c r="J22" s="10">
        <f aca="true" t="shared" si="0" ref="J22:J29">G22*I22</f>
        <v>96000</v>
      </c>
    </row>
    <row r="23" spans="2:10" s="3" customFormat="1" ht="18">
      <c r="B23" s="195" t="s">
        <v>70</v>
      </c>
      <c r="C23" s="196"/>
      <c r="D23" s="197"/>
      <c r="E23" s="211" t="s">
        <v>81</v>
      </c>
      <c r="F23" s="212"/>
      <c r="G23" s="184">
        <v>55000</v>
      </c>
      <c r="H23" s="171" t="s">
        <v>89</v>
      </c>
      <c r="I23" s="130">
        <v>2.5</v>
      </c>
      <c r="J23" s="10">
        <f>G23*I23</f>
        <v>137500</v>
      </c>
    </row>
    <row r="24" spans="2:10" s="3" customFormat="1" ht="18">
      <c r="B24" s="195" t="s">
        <v>40</v>
      </c>
      <c r="C24" s="196"/>
      <c r="D24" s="197"/>
      <c r="E24" s="211" t="s">
        <v>84</v>
      </c>
      <c r="F24" s="212"/>
      <c r="G24" s="174">
        <v>3</v>
      </c>
      <c r="H24" s="171" t="s">
        <v>87</v>
      </c>
      <c r="I24" s="130">
        <f>E15</f>
        <v>16000</v>
      </c>
      <c r="J24" s="10">
        <f>G24*I24</f>
        <v>48000</v>
      </c>
    </row>
    <row r="25" spans="2:10" s="3" customFormat="1" ht="18">
      <c r="B25" s="195" t="s">
        <v>56</v>
      </c>
      <c r="C25" s="196"/>
      <c r="D25" s="197"/>
      <c r="E25" s="211" t="s">
        <v>85</v>
      </c>
      <c r="F25" s="212"/>
      <c r="G25" s="175">
        <v>2</v>
      </c>
      <c r="H25" s="171" t="s">
        <v>87</v>
      </c>
      <c r="I25" s="130">
        <f>$E$15</f>
        <v>16000</v>
      </c>
      <c r="J25" s="10">
        <f t="shared" si="0"/>
        <v>32000</v>
      </c>
    </row>
    <row r="26" spans="2:10" s="3" customFormat="1" ht="18">
      <c r="B26" s="195" t="s">
        <v>47</v>
      </c>
      <c r="C26" s="196"/>
      <c r="D26" s="197"/>
      <c r="E26" s="211" t="s">
        <v>85</v>
      </c>
      <c r="F26" s="212"/>
      <c r="G26" s="175">
        <v>10</v>
      </c>
      <c r="H26" s="171" t="s">
        <v>87</v>
      </c>
      <c r="I26" s="130">
        <f>$E$15</f>
        <v>16000</v>
      </c>
      <c r="J26" s="10">
        <f t="shared" si="0"/>
        <v>160000</v>
      </c>
    </row>
    <row r="27" spans="2:10" s="3" customFormat="1" ht="18">
      <c r="B27" s="195" t="s">
        <v>57</v>
      </c>
      <c r="C27" s="196"/>
      <c r="D27" s="197"/>
      <c r="E27" s="211" t="s">
        <v>84</v>
      </c>
      <c r="F27" s="212"/>
      <c r="G27" s="175">
        <v>2</v>
      </c>
      <c r="H27" s="171" t="s">
        <v>87</v>
      </c>
      <c r="I27" s="130">
        <f>$E$15</f>
        <v>16000</v>
      </c>
      <c r="J27" s="10">
        <f t="shared" si="0"/>
        <v>32000</v>
      </c>
    </row>
    <row r="28" spans="2:18" s="3" customFormat="1" ht="18">
      <c r="B28" s="195" t="s">
        <v>58</v>
      </c>
      <c r="C28" s="196"/>
      <c r="D28" s="197"/>
      <c r="E28" s="211" t="s">
        <v>86</v>
      </c>
      <c r="F28" s="212"/>
      <c r="G28" s="175">
        <v>2</v>
      </c>
      <c r="H28" s="171" t="s">
        <v>87</v>
      </c>
      <c r="I28" s="130">
        <f>$E$15</f>
        <v>16000</v>
      </c>
      <c r="J28" s="10">
        <f t="shared" si="0"/>
        <v>32000</v>
      </c>
      <c r="R28" s="26"/>
    </row>
    <row r="29" spans="2:10" s="3" customFormat="1" ht="18" customHeight="1">
      <c r="B29" s="186" t="s">
        <v>59</v>
      </c>
      <c r="C29" s="187"/>
      <c r="D29" s="188"/>
      <c r="E29" s="213" t="s">
        <v>82</v>
      </c>
      <c r="F29" s="214"/>
      <c r="G29" s="176">
        <f>Hoja1!E5*Hoja1!C2</f>
        <v>42000</v>
      </c>
      <c r="H29" s="172" t="s">
        <v>88</v>
      </c>
      <c r="I29" s="131">
        <v>14</v>
      </c>
      <c r="J29" s="10">
        <f t="shared" si="0"/>
        <v>588000</v>
      </c>
    </row>
    <row r="30" spans="2:11" ht="18">
      <c r="B30" s="215" t="s">
        <v>13</v>
      </c>
      <c r="C30" s="216"/>
      <c r="D30" s="216"/>
      <c r="E30" s="216"/>
      <c r="F30" s="216"/>
      <c r="G30" s="216"/>
      <c r="H30" s="216"/>
      <c r="I30" s="216"/>
      <c r="J30" s="105">
        <f>SUM(J22:J29)</f>
        <v>1125500</v>
      </c>
      <c r="K30" s="3"/>
    </row>
    <row r="31" spans="2:10" s="3" customFormat="1" ht="18">
      <c r="B31" s="84"/>
      <c r="C31" s="84"/>
      <c r="D31" s="84"/>
      <c r="E31" s="84"/>
      <c r="F31" s="84"/>
      <c r="G31" s="25"/>
      <c r="H31" s="84"/>
      <c r="I31" s="84"/>
      <c r="J31" s="27"/>
    </row>
    <row r="32" spans="2:11" s="28" customFormat="1" ht="18">
      <c r="B32" s="206" t="s">
        <v>14</v>
      </c>
      <c r="C32" s="207"/>
      <c r="D32" s="207"/>
      <c r="E32" s="208" t="s">
        <v>65</v>
      </c>
      <c r="F32" s="208"/>
      <c r="G32" s="155" t="s">
        <v>10</v>
      </c>
      <c r="H32" s="156" t="s">
        <v>11</v>
      </c>
      <c r="I32" s="157" t="s">
        <v>79</v>
      </c>
      <c r="J32" s="158" t="s">
        <v>1</v>
      </c>
      <c r="K32" s="3"/>
    </row>
    <row r="33" spans="2:10" s="3" customFormat="1" ht="18">
      <c r="B33" s="220" t="s">
        <v>66</v>
      </c>
      <c r="C33" s="221"/>
      <c r="D33" s="222"/>
      <c r="E33" s="209" t="s">
        <v>93</v>
      </c>
      <c r="F33" s="210"/>
      <c r="G33" s="177">
        <v>1</v>
      </c>
      <c r="H33" s="168" t="s">
        <v>89</v>
      </c>
      <c r="I33" s="138">
        <v>35000</v>
      </c>
      <c r="J33" s="132">
        <f>I33*G33</f>
        <v>35000</v>
      </c>
    </row>
    <row r="34" spans="2:10" s="3" customFormat="1" ht="18">
      <c r="B34" s="217" t="s">
        <v>60</v>
      </c>
      <c r="C34" s="218"/>
      <c r="D34" s="219"/>
      <c r="E34" s="211" t="s">
        <v>93</v>
      </c>
      <c r="F34" s="212"/>
      <c r="G34" s="178">
        <v>2</v>
      </c>
      <c r="H34" s="169" t="s">
        <v>89</v>
      </c>
      <c r="I34" s="139">
        <v>30000</v>
      </c>
      <c r="J34" s="133">
        <f>G34*I34</f>
        <v>60000</v>
      </c>
    </row>
    <row r="35" spans="2:10" s="3" customFormat="1" ht="18">
      <c r="B35" s="195" t="s">
        <v>71</v>
      </c>
      <c r="C35" s="196"/>
      <c r="D35" s="197"/>
      <c r="E35" s="211" t="s">
        <v>93</v>
      </c>
      <c r="F35" s="212"/>
      <c r="G35" s="178">
        <v>1</v>
      </c>
      <c r="H35" s="169" t="s">
        <v>89</v>
      </c>
      <c r="I35" s="139">
        <v>35000</v>
      </c>
      <c r="J35" s="185">
        <f>G35*I35</f>
        <v>35000</v>
      </c>
    </row>
    <row r="36" spans="2:10" s="3" customFormat="1" ht="18">
      <c r="B36" s="217" t="s">
        <v>46</v>
      </c>
      <c r="C36" s="218"/>
      <c r="D36" s="219"/>
      <c r="E36" s="211" t="s">
        <v>85</v>
      </c>
      <c r="F36" s="212"/>
      <c r="G36" s="178">
        <v>2</v>
      </c>
      <c r="H36" s="169" t="s">
        <v>89</v>
      </c>
      <c r="I36" s="139">
        <v>6000</v>
      </c>
      <c r="J36" s="133">
        <f>G36*I36</f>
        <v>12000</v>
      </c>
    </row>
    <row r="37" spans="2:10" s="3" customFormat="1" ht="18">
      <c r="B37" s="195" t="s">
        <v>61</v>
      </c>
      <c r="C37" s="196"/>
      <c r="D37" s="197"/>
      <c r="E37" s="211" t="s">
        <v>84</v>
      </c>
      <c r="F37" s="212"/>
      <c r="G37" s="178">
        <v>1</v>
      </c>
      <c r="H37" s="169" t="s">
        <v>89</v>
      </c>
      <c r="I37" s="139">
        <v>20000</v>
      </c>
      <c r="J37" s="133">
        <f>G37*I37</f>
        <v>20000</v>
      </c>
    </row>
    <row r="38" spans="2:10" s="3" customFormat="1" ht="18">
      <c r="B38" s="217" t="s">
        <v>94</v>
      </c>
      <c r="C38" s="218"/>
      <c r="D38" s="219"/>
      <c r="E38" s="211" t="s">
        <v>85</v>
      </c>
      <c r="F38" s="212"/>
      <c r="G38" s="175">
        <v>1</v>
      </c>
      <c r="H38" s="169" t="s">
        <v>89</v>
      </c>
      <c r="I38" s="140">
        <v>35000</v>
      </c>
      <c r="J38" s="133">
        <f>I38*G38</f>
        <v>35000</v>
      </c>
    </row>
    <row r="39" spans="2:10" s="3" customFormat="1" ht="18">
      <c r="B39" s="217" t="s">
        <v>40</v>
      </c>
      <c r="C39" s="218"/>
      <c r="D39" s="219"/>
      <c r="E39" s="211" t="s">
        <v>84</v>
      </c>
      <c r="F39" s="212"/>
      <c r="G39" s="175">
        <v>1</v>
      </c>
      <c r="H39" s="169" t="s">
        <v>89</v>
      </c>
      <c r="I39" s="140">
        <v>40000</v>
      </c>
      <c r="J39" s="133">
        <f>I39*G39</f>
        <v>40000</v>
      </c>
    </row>
    <row r="40" spans="2:10" s="3" customFormat="1" ht="18">
      <c r="B40" s="82" t="s">
        <v>62</v>
      </c>
      <c r="C40" s="134"/>
      <c r="D40" s="83"/>
      <c r="E40" s="213" t="s">
        <v>82</v>
      </c>
      <c r="F40" s="214"/>
      <c r="G40" s="175">
        <f>E13</f>
        <v>42000</v>
      </c>
      <c r="H40" s="169" t="s">
        <v>89</v>
      </c>
      <c r="I40" s="140">
        <v>5</v>
      </c>
      <c r="J40" s="133">
        <f>I40*G40</f>
        <v>210000</v>
      </c>
    </row>
    <row r="41" spans="2:12" ht="18">
      <c r="B41" s="215" t="s">
        <v>15</v>
      </c>
      <c r="C41" s="216"/>
      <c r="D41" s="216"/>
      <c r="E41" s="216"/>
      <c r="F41" s="216"/>
      <c r="G41" s="216"/>
      <c r="H41" s="216"/>
      <c r="I41" s="216"/>
      <c r="J41" s="125">
        <f>SUM(J33:J40)</f>
        <v>447000</v>
      </c>
      <c r="K41" s="3"/>
      <c r="L41" s="16"/>
    </row>
    <row r="42" spans="2:12" s="3" customFormat="1" ht="18">
      <c r="B42" s="84"/>
      <c r="C42" s="84"/>
      <c r="D42" s="84"/>
      <c r="E42" s="84"/>
      <c r="F42" s="84"/>
      <c r="G42" s="25"/>
      <c r="H42" s="84"/>
      <c r="I42" s="84"/>
      <c r="J42" s="27"/>
      <c r="L42" s="19"/>
    </row>
    <row r="43" spans="2:12" s="3" customFormat="1" ht="21">
      <c r="B43" s="206" t="s">
        <v>48</v>
      </c>
      <c r="C43" s="207"/>
      <c r="D43" s="207"/>
      <c r="E43" s="208" t="s">
        <v>65</v>
      </c>
      <c r="F43" s="208"/>
      <c r="G43" s="155" t="s">
        <v>10</v>
      </c>
      <c r="H43" s="156" t="s">
        <v>11</v>
      </c>
      <c r="I43" s="157" t="s">
        <v>79</v>
      </c>
      <c r="J43" s="158" t="s">
        <v>1</v>
      </c>
      <c r="L43" s="24"/>
    </row>
    <row r="44" spans="2:12" s="3" customFormat="1" ht="21">
      <c r="B44" s="229" t="s">
        <v>64</v>
      </c>
      <c r="C44" s="230"/>
      <c r="D44" s="231"/>
      <c r="E44" s="209" t="s">
        <v>93</v>
      </c>
      <c r="F44" s="210"/>
      <c r="G44" s="160">
        <v>17</v>
      </c>
      <c r="H44" s="161" t="s">
        <v>90</v>
      </c>
      <c r="I44" s="132">
        <v>21500</v>
      </c>
      <c r="J44" s="11">
        <f>G44*I44</f>
        <v>365500</v>
      </c>
      <c r="L44" s="24"/>
    </row>
    <row r="45" spans="2:12" s="3" customFormat="1" ht="18">
      <c r="B45" s="179" t="s">
        <v>30</v>
      </c>
      <c r="C45" s="180"/>
      <c r="D45" s="181"/>
      <c r="E45" s="211"/>
      <c r="F45" s="212"/>
      <c r="G45" s="164"/>
      <c r="H45" s="165"/>
      <c r="I45" s="133"/>
      <c r="J45" s="11"/>
      <c r="L45" s="24"/>
    </row>
    <row r="46" spans="2:12" s="3" customFormat="1" ht="18">
      <c r="B46" s="223" t="s">
        <v>72</v>
      </c>
      <c r="C46" s="224"/>
      <c r="D46" s="225"/>
      <c r="E46" s="211" t="s">
        <v>93</v>
      </c>
      <c r="F46" s="212"/>
      <c r="G46" s="162">
        <v>500</v>
      </c>
      <c r="H46" s="163" t="s">
        <v>90</v>
      </c>
      <c r="I46" s="133">
        <v>412</v>
      </c>
      <c r="J46" s="11">
        <f>G46*I46</f>
        <v>206000</v>
      </c>
      <c r="L46" s="24"/>
    </row>
    <row r="47" spans="2:12" s="3" customFormat="1" ht="18">
      <c r="B47" s="223" t="s">
        <v>45</v>
      </c>
      <c r="C47" s="224"/>
      <c r="D47" s="225"/>
      <c r="E47" s="211" t="s">
        <v>85</v>
      </c>
      <c r="F47" s="212"/>
      <c r="G47" s="162">
        <v>400</v>
      </c>
      <c r="H47" s="163" t="s">
        <v>90</v>
      </c>
      <c r="I47" s="133">
        <v>379</v>
      </c>
      <c r="J47" s="11">
        <f>G47*I47</f>
        <v>151600</v>
      </c>
      <c r="L47" s="24"/>
    </row>
    <row r="48" spans="2:12" s="3" customFormat="1" ht="18">
      <c r="B48" s="232" t="s">
        <v>31</v>
      </c>
      <c r="C48" s="233"/>
      <c r="D48" s="234"/>
      <c r="E48" s="211"/>
      <c r="F48" s="212"/>
      <c r="G48" s="162"/>
      <c r="H48" s="163"/>
      <c r="I48" s="133"/>
      <c r="J48" s="11"/>
      <c r="L48" s="24"/>
    </row>
    <row r="49" spans="2:12" s="3" customFormat="1" ht="18">
      <c r="B49" s="189" t="s">
        <v>110</v>
      </c>
      <c r="C49" s="190"/>
      <c r="D49" s="191"/>
      <c r="E49" s="211" t="s">
        <v>93</v>
      </c>
      <c r="F49" s="212"/>
      <c r="G49" s="164">
        <v>2</v>
      </c>
      <c r="H49" s="165" t="s">
        <v>91</v>
      </c>
      <c r="I49" s="133">
        <v>7072</v>
      </c>
      <c r="J49" s="11">
        <f>G49*I49</f>
        <v>14144</v>
      </c>
      <c r="L49" s="24"/>
    </row>
    <row r="50" spans="2:12" s="3" customFormat="1" ht="18">
      <c r="B50" s="223" t="s">
        <v>111</v>
      </c>
      <c r="C50" s="224"/>
      <c r="D50" s="225"/>
      <c r="E50" s="211" t="s">
        <v>97</v>
      </c>
      <c r="F50" s="212"/>
      <c r="G50" s="164">
        <v>0.6</v>
      </c>
      <c r="H50" s="165" t="s">
        <v>91</v>
      </c>
      <c r="I50" s="133">
        <v>41000</v>
      </c>
      <c r="J50" s="11">
        <f>G50*I50</f>
        <v>24600</v>
      </c>
      <c r="L50" s="24"/>
    </row>
    <row r="51" spans="2:12" s="3" customFormat="1" ht="18">
      <c r="B51" s="199" t="s">
        <v>43</v>
      </c>
      <c r="C51" s="196"/>
      <c r="D51" s="197"/>
      <c r="E51" s="237"/>
      <c r="F51" s="212"/>
      <c r="G51" s="164"/>
      <c r="H51" s="165"/>
      <c r="I51" s="133"/>
      <c r="J51" s="11"/>
      <c r="L51" s="24"/>
    </row>
    <row r="52" spans="2:12" s="3" customFormat="1" ht="18">
      <c r="B52" s="217" t="s">
        <v>109</v>
      </c>
      <c r="C52" s="218"/>
      <c r="D52" s="219"/>
      <c r="E52" s="211" t="s">
        <v>93</v>
      </c>
      <c r="F52" s="212"/>
      <c r="G52" s="164">
        <v>2</v>
      </c>
      <c r="H52" s="165" t="s">
        <v>91</v>
      </c>
      <c r="I52" s="133">
        <v>8950</v>
      </c>
      <c r="J52" s="11">
        <f>G52*I52</f>
        <v>17900</v>
      </c>
      <c r="L52" s="24"/>
    </row>
    <row r="53" spans="2:12" s="3" customFormat="1" ht="18">
      <c r="B53" s="179" t="s">
        <v>41</v>
      </c>
      <c r="C53" s="127"/>
      <c r="D53" s="128"/>
      <c r="E53" s="237"/>
      <c r="F53" s="212"/>
      <c r="G53" s="164"/>
      <c r="H53" s="165"/>
      <c r="I53" s="133"/>
      <c r="J53" s="11"/>
      <c r="L53" s="24"/>
    </row>
    <row r="54" spans="2:12" s="3" customFormat="1" ht="18">
      <c r="B54" s="223" t="s">
        <v>63</v>
      </c>
      <c r="C54" s="224"/>
      <c r="D54" s="225"/>
      <c r="E54" s="211" t="s">
        <v>95</v>
      </c>
      <c r="F54" s="212"/>
      <c r="G54" s="164">
        <v>1</v>
      </c>
      <c r="H54" s="165" t="s">
        <v>89</v>
      </c>
      <c r="I54" s="133">
        <v>15000</v>
      </c>
      <c r="J54" s="11">
        <f>G54*I54</f>
        <v>15000</v>
      </c>
      <c r="L54" s="24"/>
    </row>
    <row r="55" spans="2:12" s="3" customFormat="1" ht="18">
      <c r="B55" s="189" t="s">
        <v>69</v>
      </c>
      <c r="C55" s="190"/>
      <c r="D55" s="191"/>
      <c r="E55" s="211" t="s">
        <v>85</v>
      </c>
      <c r="F55" s="212"/>
      <c r="G55" s="164">
        <v>3</v>
      </c>
      <c r="H55" s="165" t="s">
        <v>89</v>
      </c>
      <c r="I55" s="133">
        <v>8850</v>
      </c>
      <c r="J55" s="11">
        <f>G55*I55</f>
        <v>26550</v>
      </c>
      <c r="L55" s="24"/>
    </row>
    <row r="56" spans="2:12" s="3" customFormat="1" ht="18">
      <c r="B56" s="223" t="s">
        <v>67</v>
      </c>
      <c r="C56" s="224"/>
      <c r="D56" s="225"/>
      <c r="E56" s="211" t="s">
        <v>96</v>
      </c>
      <c r="F56" s="212"/>
      <c r="G56" s="164">
        <v>3</v>
      </c>
      <c r="H56" s="165" t="s">
        <v>91</v>
      </c>
      <c r="I56" s="133">
        <v>15174</v>
      </c>
      <c r="J56" s="11">
        <f>G56*I56</f>
        <v>45522</v>
      </c>
      <c r="L56" s="24"/>
    </row>
    <row r="57" spans="2:12" s="3" customFormat="1" ht="18" customHeight="1">
      <c r="B57" s="226" t="s">
        <v>49</v>
      </c>
      <c r="C57" s="227"/>
      <c r="D57" s="228"/>
      <c r="E57" s="213" t="s">
        <v>98</v>
      </c>
      <c r="F57" s="214"/>
      <c r="G57" s="166">
        <v>1</v>
      </c>
      <c r="H57" s="167" t="s">
        <v>92</v>
      </c>
      <c r="I57" s="141">
        <v>28000</v>
      </c>
      <c r="J57" s="11">
        <f>G57*I57</f>
        <v>28000</v>
      </c>
      <c r="L57" s="24"/>
    </row>
    <row r="58" spans="2:14" ht="18">
      <c r="B58" s="235" t="s">
        <v>16</v>
      </c>
      <c r="C58" s="236"/>
      <c r="D58" s="236"/>
      <c r="E58" s="236"/>
      <c r="F58" s="236"/>
      <c r="G58" s="236"/>
      <c r="H58" s="236"/>
      <c r="I58" s="236"/>
      <c r="J58" s="126">
        <f>SUM(J44:J57)</f>
        <v>894816</v>
      </c>
      <c r="K58" s="16"/>
      <c r="M58" s="16"/>
      <c r="N58" s="16"/>
    </row>
    <row r="59" spans="2:14" s="3" customFormat="1" ht="18">
      <c r="B59" s="29"/>
      <c r="C59" s="29"/>
      <c r="D59" s="29"/>
      <c r="E59" s="29"/>
      <c r="F59" s="29"/>
      <c r="G59" s="30"/>
      <c r="H59" s="29"/>
      <c r="I59" s="29"/>
      <c r="J59" s="31"/>
      <c r="K59" s="16"/>
      <c r="M59" s="16"/>
      <c r="N59" s="16"/>
    </row>
    <row r="60" spans="2:16" ht="18">
      <c r="B60" s="238" t="s">
        <v>17</v>
      </c>
      <c r="C60" s="239"/>
      <c r="D60" s="239"/>
      <c r="E60" s="239"/>
      <c r="F60" s="239"/>
      <c r="G60" s="239"/>
      <c r="H60" s="239"/>
      <c r="I60" s="239"/>
      <c r="J60" s="105">
        <f>J30+J41+J58</f>
        <v>2467316</v>
      </c>
      <c r="K60" s="16"/>
      <c r="M60" s="16"/>
      <c r="N60" s="16"/>
      <c r="O60" s="9"/>
      <c r="P60" s="9"/>
    </row>
    <row r="61" spans="2:14" s="3" customFormat="1" ht="18">
      <c r="B61" s="85"/>
      <c r="C61" s="85"/>
      <c r="D61" s="85"/>
      <c r="E61" s="85"/>
      <c r="F61" s="85"/>
      <c r="G61" s="32"/>
      <c r="H61" s="85"/>
      <c r="I61" s="85"/>
      <c r="J61" s="27"/>
      <c r="K61" s="16"/>
      <c r="M61" s="16"/>
      <c r="N61" s="16"/>
    </row>
    <row r="62" spans="2:14" s="3" customFormat="1" ht="18">
      <c r="B62" s="142" t="s">
        <v>39</v>
      </c>
      <c r="C62" s="143"/>
      <c r="D62" s="143"/>
      <c r="E62" s="338"/>
      <c r="F62" s="327"/>
      <c r="G62" s="159">
        <v>0.05</v>
      </c>
      <c r="H62" s="182" t="s">
        <v>80</v>
      </c>
      <c r="I62" s="144"/>
      <c r="J62" s="144">
        <f>J60*G62</f>
        <v>123365.8</v>
      </c>
      <c r="K62" s="16"/>
      <c r="M62" s="16"/>
      <c r="N62" s="16"/>
    </row>
    <row r="63" spans="2:14" s="3" customFormat="1" ht="18">
      <c r="B63" s="137"/>
      <c r="C63" s="137"/>
      <c r="D63" s="137"/>
      <c r="E63" s="137"/>
      <c r="F63" s="137"/>
      <c r="G63" s="32"/>
      <c r="H63" s="137"/>
      <c r="I63" s="137"/>
      <c r="J63" s="27"/>
      <c r="K63" s="16"/>
      <c r="M63" s="16"/>
      <c r="N63" s="16"/>
    </row>
    <row r="64" spans="2:14" s="3" customFormat="1" ht="20.25">
      <c r="B64" s="121" t="s">
        <v>38</v>
      </c>
      <c r="C64" s="120"/>
      <c r="D64" s="120"/>
      <c r="E64" s="20"/>
      <c r="F64" s="20"/>
      <c r="G64" s="21"/>
      <c r="H64" s="22"/>
      <c r="I64" s="23"/>
      <c r="J64" s="23"/>
      <c r="K64" s="16"/>
      <c r="M64" s="16"/>
      <c r="N64" s="16"/>
    </row>
    <row r="65" spans="2:14" s="3" customFormat="1" ht="18">
      <c r="B65" s="240" t="s">
        <v>37</v>
      </c>
      <c r="C65" s="241"/>
      <c r="D65" s="241"/>
      <c r="E65" s="326"/>
      <c r="F65" s="326"/>
      <c r="G65" s="155" t="s">
        <v>10</v>
      </c>
      <c r="H65" s="156" t="s">
        <v>11</v>
      </c>
      <c r="I65" s="157"/>
      <c r="J65" s="158" t="s">
        <v>1</v>
      </c>
      <c r="K65" s="16"/>
      <c r="M65" s="16"/>
      <c r="N65" s="16"/>
    </row>
    <row r="66" spans="2:15" s="3" customFormat="1" ht="21">
      <c r="B66" s="220" t="s">
        <v>50</v>
      </c>
      <c r="C66" s="221"/>
      <c r="D66" s="221"/>
      <c r="E66" s="332"/>
      <c r="F66" s="333"/>
      <c r="G66" s="253">
        <f>E16</f>
        <v>0.015</v>
      </c>
      <c r="H66" s="161" t="s">
        <v>80</v>
      </c>
      <c r="I66" s="254"/>
      <c r="J66" s="132">
        <f>J60*E16*E17*0.5</f>
        <v>111029.22</v>
      </c>
      <c r="K66" s="16"/>
      <c r="L66" s="313"/>
      <c r="M66" s="313"/>
      <c r="N66" s="313"/>
      <c r="O66" s="313"/>
    </row>
    <row r="67" spans="2:15" s="3" customFormat="1" ht="18">
      <c r="B67" s="217" t="s">
        <v>116</v>
      </c>
      <c r="C67" s="218"/>
      <c r="D67" s="218"/>
      <c r="E67" s="334"/>
      <c r="F67" s="335"/>
      <c r="G67" s="255"/>
      <c r="H67" s="163"/>
      <c r="I67" s="256"/>
      <c r="J67" s="133"/>
      <c r="K67" s="16"/>
      <c r="L67" s="252"/>
      <c r="M67" s="252"/>
      <c r="N67" s="252"/>
      <c r="O67" s="252"/>
    </row>
    <row r="68" spans="2:15" s="3" customFormat="1" ht="18">
      <c r="B68" s="217" t="s">
        <v>117</v>
      </c>
      <c r="C68" s="218"/>
      <c r="D68" s="218"/>
      <c r="E68" s="334"/>
      <c r="F68" s="335"/>
      <c r="G68" s="255"/>
      <c r="H68" s="163"/>
      <c r="I68" s="256"/>
      <c r="J68" s="133"/>
      <c r="K68" s="16"/>
      <c r="L68" s="252"/>
      <c r="M68" s="252"/>
      <c r="N68" s="252"/>
      <c r="O68" s="252"/>
    </row>
    <row r="69" spans="2:15" s="3" customFormat="1" ht="18">
      <c r="B69" s="82" t="s">
        <v>118</v>
      </c>
      <c r="C69" s="134"/>
      <c r="D69" s="134"/>
      <c r="E69" s="336"/>
      <c r="F69" s="337"/>
      <c r="G69" s="257"/>
      <c r="H69" s="172"/>
      <c r="I69" s="258"/>
      <c r="J69" s="141"/>
      <c r="K69" s="16"/>
      <c r="L69" s="252"/>
      <c r="M69" s="252"/>
      <c r="N69" s="252"/>
      <c r="O69" s="252"/>
    </row>
    <row r="70" spans="2:14" ht="18">
      <c r="B70" s="242" t="s">
        <v>34</v>
      </c>
      <c r="C70" s="243"/>
      <c r="D70" s="243"/>
      <c r="E70" s="243"/>
      <c r="F70" s="243"/>
      <c r="G70" s="243"/>
      <c r="H70" s="243"/>
      <c r="I70" s="243"/>
      <c r="J70" s="125">
        <f>SUM(J66:J66)</f>
        <v>111029.22</v>
      </c>
      <c r="K70" s="16"/>
      <c r="M70" s="16"/>
      <c r="N70" s="16"/>
    </row>
    <row r="71" spans="2:12" s="3" customFormat="1" ht="18">
      <c r="B71" s="84"/>
      <c r="C71" s="84"/>
      <c r="D71" s="84"/>
      <c r="E71" s="84"/>
      <c r="F71" s="84"/>
      <c r="G71" s="25"/>
      <c r="H71" s="84"/>
      <c r="I71" s="84"/>
      <c r="J71" s="27"/>
      <c r="K71" s="16"/>
      <c r="L71" s="16"/>
    </row>
    <row r="72" spans="2:12" ht="18">
      <c r="B72" s="244" t="s">
        <v>19</v>
      </c>
      <c r="C72" s="245"/>
      <c r="D72" s="245"/>
      <c r="E72" s="245"/>
      <c r="F72" s="245"/>
      <c r="G72" s="245"/>
      <c r="H72" s="245"/>
      <c r="I72" s="245"/>
      <c r="J72" s="246">
        <f>J60+J62+J70</f>
        <v>2701711.02</v>
      </c>
      <c r="K72" s="16"/>
      <c r="L72" s="16"/>
    </row>
    <row r="73" spans="2:12" s="3" customFormat="1" ht="18">
      <c r="B73" s="242"/>
      <c r="C73" s="243"/>
      <c r="D73" s="243"/>
      <c r="E73" s="243"/>
      <c r="F73" s="243"/>
      <c r="G73" s="243"/>
      <c r="H73" s="243"/>
      <c r="I73" s="243"/>
      <c r="J73" s="247"/>
      <c r="K73" s="16"/>
      <c r="L73" s="16"/>
    </row>
    <row r="74" spans="2:12" s="3" customFormat="1" ht="18" customHeight="1">
      <c r="B74" s="146"/>
      <c r="C74" s="146"/>
      <c r="D74" s="146"/>
      <c r="E74" s="146"/>
      <c r="F74" s="146"/>
      <c r="G74" s="146"/>
      <c r="H74" s="146"/>
      <c r="I74" s="146"/>
      <c r="J74" s="147"/>
      <c r="K74" s="16"/>
      <c r="L74" s="16"/>
    </row>
    <row r="75" spans="2:12" ht="18" customHeight="1">
      <c r="B75" s="297" t="s">
        <v>51</v>
      </c>
      <c r="C75" s="298"/>
      <c r="D75" s="298"/>
      <c r="E75" s="298"/>
      <c r="F75" s="298"/>
      <c r="G75" s="298"/>
      <c r="H75" s="298"/>
      <c r="I75" s="298"/>
      <c r="J75" s="299"/>
      <c r="K75" s="16"/>
      <c r="L75" s="24"/>
    </row>
    <row r="76" spans="2:12" ht="18" customHeight="1">
      <c r="B76" s="259" t="s">
        <v>99</v>
      </c>
      <c r="C76" s="260"/>
      <c r="D76" s="260"/>
      <c r="E76" s="260"/>
      <c r="F76" s="260"/>
      <c r="G76" s="260"/>
      <c r="H76" s="260"/>
      <c r="I76" s="260"/>
      <c r="J76" s="261"/>
      <c r="K76" s="16"/>
      <c r="L76" s="24"/>
    </row>
    <row r="77" spans="2:12" s="3" customFormat="1" ht="18" customHeight="1">
      <c r="B77" s="270" t="s">
        <v>100</v>
      </c>
      <c r="C77" s="271"/>
      <c r="D77" s="272"/>
      <c r="E77" s="248" t="s">
        <v>79</v>
      </c>
      <c r="F77" s="249"/>
      <c r="G77" s="249"/>
      <c r="H77" s="249"/>
      <c r="I77" s="249"/>
      <c r="J77" s="250"/>
      <c r="K77" s="16"/>
      <c r="L77" s="24"/>
    </row>
    <row r="78" spans="2:12" s="3" customFormat="1" ht="18" customHeight="1">
      <c r="B78" s="273"/>
      <c r="C78" s="274"/>
      <c r="D78" s="275"/>
      <c r="E78" s="277">
        <f>G78*0.9</f>
        <v>85.5</v>
      </c>
      <c r="F78" s="279"/>
      <c r="G78" s="328">
        <f>E14</f>
        <v>95</v>
      </c>
      <c r="H78" s="329"/>
      <c r="I78" s="277">
        <f>G78*1.1</f>
        <v>104.50000000000001</v>
      </c>
      <c r="J78" s="279"/>
      <c r="K78" s="16"/>
      <c r="L78" s="24"/>
    </row>
    <row r="79" spans="2:12" s="3" customFormat="1" ht="18" customHeight="1">
      <c r="B79" s="277">
        <f>B80*0.9</f>
        <v>37800</v>
      </c>
      <c r="C79" s="278"/>
      <c r="D79" s="279"/>
      <c r="E79" s="295">
        <f>E$78*$B$79-$J$72</f>
        <v>530188.98</v>
      </c>
      <c r="F79" s="296"/>
      <c r="G79" s="295">
        <f>G$78*$B$79-$J$72</f>
        <v>889288.98</v>
      </c>
      <c r="H79" s="296"/>
      <c r="I79" s="295">
        <f>I$78*$B$79-$J$72</f>
        <v>1248388.9800000004</v>
      </c>
      <c r="J79" s="296"/>
      <c r="K79" s="16"/>
      <c r="L79" s="24"/>
    </row>
    <row r="80" spans="2:12" s="3" customFormat="1" ht="18" customHeight="1">
      <c r="B80" s="277">
        <f>E13</f>
        <v>42000</v>
      </c>
      <c r="C80" s="278"/>
      <c r="D80" s="279"/>
      <c r="E80" s="295">
        <f>E$78*$B$80-$J$72</f>
        <v>889288.98</v>
      </c>
      <c r="F80" s="296"/>
      <c r="G80" s="295">
        <f>G$78*$B$80-$J$72</f>
        <v>1288288.98</v>
      </c>
      <c r="H80" s="296"/>
      <c r="I80" s="276">
        <f>I$78*$B$80-$J$72</f>
        <v>1687288.980000001</v>
      </c>
      <c r="J80" s="276"/>
      <c r="K80" s="16"/>
      <c r="L80" s="24"/>
    </row>
    <row r="81" spans="2:12" s="3" customFormat="1" ht="18" customHeight="1">
      <c r="B81" s="277">
        <f>B80*1.1</f>
        <v>46200.00000000001</v>
      </c>
      <c r="C81" s="278"/>
      <c r="D81" s="279"/>
      <c r="E81" s="295">
        <f>E$78*$B$81-$J$72</f>
        <v>1248388.9800000004</v>
      </c>
      <c r="F81" s="296"/>
      <c r="G81" s="295">
        <f>G$78*$B$81-$J$72</f>
        <v>1687288.980000001</v>
      </c>
      <c r="H81" s="296"/>
      <c r="I81" s="276">
        <f>I$78*$B$81-$J$72</f>
        <v>2126188.980000002</v>
      </c>
      <c r="J81" s="276"/>
      <c r="K81" s="16"/>
      <c r="L81" s="24"/>
    </row>
    <row r="82" spans="2:12" s="3" customFormat="1" ht="18" customHeight="1">
      <c r="B82" s="34"/>
      <c r="C82" s="34"/>
      <c r="D82" s="34"/>
      <c r="E82" s="183"/>
      <c r="F82" s="183"/>
      <c r="G82" s="183"/>
      <c r="H82" s="183"/>
      <c r="I82" s="183"/>
      <c r="J82" s="183"/>
      <c r="K82" s="16"/>
      <c r="L82" s="24"/>
    </row>
    <row r="83" spans="2:12" s="3" customFormat="1" ht="18" customHeight="1">
      <c r="B83" s="34"/>
      <c r="C83" s="34"/>
      <c r="D83" s="35"/>
      <c r="E83" s="35"/>
      <c r="F83" s="35"/>
      <c r="G83" s="36"/>
      <c r="H83" s="12"/>
      <c r="I83" s="15"/>
      <c r="J83" s="15"/>
      <c r="K83" s="16"/>
      <c r="L83" s="24"/>
    </row>
    <row r="84" spans="2:12" s="3" customFormat="1" ht="18" customHeight="1">
      <c r="B84" s="264" t="s">
        <v>101</v>
      </c>
      <c r="C84" s="265"/>
      <c r="D84" s="265"/>
      <c r="E84" s="265"/>
      <c r="F84" s="265"/>
      <c r="G84" s="265"/>
      <c r="H84" s="265"/>
      <c r="I84" s="265"/>
      <c r="J84" s="266"/>
      <c r="K84" s="16"/>
      <c r="L84" s="24"/>
    </row>
    <row r="85" spans="2:12" s="3" customFormat="1" ht="18" customHeight="1">
      <c r="B85" s="267"/>
      <c r="C85" s="268"/>
      <c r="D85" s="268"/>
      <c r="E85" s="268"/>
      <c r="F85" s="268"/>
      <c r="G85" s="268"/>
      <c r="H85" s="268"/>
      <c r="I85" s="268"/>
      <c r="J85" s="269"/>
      <c r="K85" s="16"/>
      <c r="L85" s="24"/>
    </row>
    <row r="86" spans="2:12" s="3" customFormat="1" ht="18" customHeight="1">
      <c r="B86" s="290" t="s">
        <v>100</v>
      </c>
      <c r="C86" s="262"/>
      <c r="D86" s="262"/>
      <c r="E86" s="262">
        <f>B79</f>
        <v>37800</v>
      </c>
      <c r="F86" s="262"/>
      <c r="G86" s="262">
        <f>E13</f>
        <v>42000</v>
      </c>
      <c r="H86" s="262"/>
      <c r="I86" s="262">
        <f>B81</f>
        <v>46200.00000000001</v>
      </c>
      <c r="J86" s="292"/>
      <c r="K86" s="16"/>
      <c r="L86" s="24"/>
    </row>
    <row r="87" spans="2:12" ht="18" customHeight="1">
      <c r="B87" s="291"/>
      <c r="C87" s="263"/>
      <c r="D87" s="263"/>
      <c r="E87" s="263"/>
      <c r="F87" s="263"/>
      <c r="G87" s="263"/>
      <c r="H87" s="263"/>
      <c r="I87" s="263"/>
      <c r="J87" s="293"/>
      <c r="K87" s="16"/>
      <c r="L87" s="24"/>
    </row>
    <row r="88" spans="2:12" ht="18" customHeight="1">
      <c r="B88" s="283" t="s">
        <v>102</v>
      </c>
      <c r="C88" s="284"/>
      <c r="D88" s="284"/>
      <c r="E88" s="304">
        <f>$J$72/E86</f>
        <v>71.47383650793651</v>
      </c>
      <c r="F88" s="304"/>
      <c r="G88" s="294">
        <f>$J$72/G86</f>
        <v>64.32645285714285</v>
      </c>
      <c r="H88" s="294"/>
      <c r="I88" s="304">
        <f>$J$72/I86</f>
        <v>58.478593506493496</v>
      </c>
      <c r="J88" s="305"/>
      <c r="K88" s="16"/>
      <c r="L88" s="24"/>
    </row>
    <row r="89" spans="2:12" ht="18" customHeight="1">
      <c r="B89" s="285"/>
      <c r="C89" s="286"/>
      <c r="D89" s="286"/>
      <c r="E89" s="294"/>
      <c r="F89" s="294"/>
      <c r="G89" s="294"/>
      <c r="H89" s="294"/>
      <c r="I89" s="294"/>
      <c r="J89" s="306"/>
      <c r="K89" s="16"/>
      <c r="L89" s="24"/>
    </row>
    <row r="90" spans="2:12" ht="18" customHeight="1">
      <c r="B90" s="251"/>
      <c r="C90" s="251"/>
      <c r="D90" s="251"/>
      <c r="E90" s="194"/>
      <c r="F90" s="194"/>
      <c r="G90" s="194"/>
      <c r="H90" s="194"/>
      <c r="I90" s="194"/>
      <c r="J90" s="194"/>
      <c r="K90" s="16"/>
      <c r="L90" s="24"/>
    </row>
    <row r="91" spans="2:12" ht="18" customHeight="1">
      <c r="B91" s="46"/>
      <c r="C91" s="1"/>
      <c r="D91" s="3"/>
      <c r="E91" s="3"/>
      <c r="F91" s="106"/>
      <c r="G91" s="106"/>
      <c r="H91" s="106"/>
      <c r="I91" s="15"/>
      <c r="J91" s="15"/>
      <c r="K91" s="16"/>
      <c r="L91" s="24"/>
    </row>
    <row r="92" spans="2:11" s="3" customFormat="1" ht="18" customHeight="1">
      <c r="B92" s="287" t="s">
        <v>21</v>
      </c>
      <c r="C92" s="288"/>
      <c r="D92" s="288"/>
      <c r="E92" s="288"/>
      <c r="F92" s="288"/>
      <c r="G92" s="288"/>
      <c r="H92" s="288"/>
      <c r="I92" s="288"/>
      <c r="J92" s="289"/>
      <c r="K92" s="80"/>
    </row>
    <row r="93" spans="2:14" s="3" customFormat="1" ht="17.25" customHeight="1">
      <c r="B93" s="301" t="s">
        <v>113</v>
      </c>
      <c r="C93" s="302"/>
      <c r="D93" s="302"/>
      <c r="E93" s="302"/>
      <c r="F93" s="302"/>
      <c r="G93" s="302"/>
      <c r="H93" s="302"/>
      <c r="I93" s="302"/>
      <c r="J93" s="303"/>
      <c r="K93" s="80"/>
      <c r="N93" s="107"/>
    </row>
    <row r="94" spans="2:11" s="3" customFormat="1" ht="17.25" customHeight="1">
      <c r="B94" s="280" t="s">
        <v>103</v>
      </c>
      <c r="C94" s="281"/>
      <c r="D94" s="281"/>
      <c r="E94" s="281"/>
      <c r="F94" s="281"/>
      <c r="G94" s="281"/>
      <c r="H94" s="281"/>
      <c r="I94" s="281"/>
      <c r="J94" s="282"/>
      <c r="K94" s="81"/>
    </row>
    <row r="95" spans="2:11" s="3" customFormat="1" ht="33" customHeight="1">
      <c r="B95" s="280" t="s">
        <v>104</v>
      </c>
      <c r="C95" s="281"/>
      <c r="D95" s="281"/>
      <c r="E95" s="281"/>
      <c r="F95" s="281"/>
      <c r="G95" s="281"/>
      <c r="H95" s="281"/>
      <c r="I95" s="281"/>
      <c r="J95" s="282"/>
      <c r="K95" s="80"/>
    </row>
    <row r="96" spans="2:11" s="3" customFormat="1" ht="18" customHeight="1">
      <c r="B96" s="280" t="s">
        <v>105</v>
      </c>
      <c r="C96" s="281"/>
      <c r="D96" s="281"/>
      <c r="E96" s="281"/>
      <c r="F96" s="281"/>
      <c r="G96" s="281"/>
      <c r="H96" s="281"/>
      <c r="I96" s="281"/>
      <c r="J96" s="282"/>
      <c r="K96" s="80"/>
    </row>
    <row r="97" spans="2:11" s="3" customFormat="1" ht="18" customHeight="1">
      <c r="B97" s="280" t="s">
        <v>114</v>
      </c>
      <c r="C97" s="281"/>
      <c r="D97" s="281"/>
      <c r="E97" s="281"/>
      <c r="F97" s="281"/>
      <c r="G97" s="281"/>
      <c r="H97" s="281"/>
      <c r="I97" s="281"/>
      <c r="J97" s="282"/>
      <c r="K97" s="80"/>
    </row>
    <row r="98" spans="2:11" s="3" customFormat="1" ht="18">
      <c r="B98" s="307" t="s">
        <v>106</v>
      </c>
      <c r="C98" s="308"/>
      <c r="D98" s="308"/>
      <c r="E98" s="308"/>
      <c r="F98" s="308"/>
      <c r="G98" s="308"/>
      <c r="H98" s="308"/>
      <c r="I98" s="308"/>
      <c r="J98" s="309"/>
      <c r="K98" s="80"/>
    </row>
    <row r="99" spans="2:11" s="3" customFormat="1" ht="18" customHeight="1">
      <c r="B99" s="310" t="s">
        <v>107</v>
      </c>
      <c r="C99" s="311"/>
      <c r="D99" s="311"/>
      <c r="E99" s="311"/>
      <c r="F99" s="311"/>
      <c r="G99" s="311"/>
      <c r="H99" s="311"/>
      <c r="I99" s="311"/>
      <c r="J99" s="312"/>
      <c r="K99" s="81"/>
    </row>
    <row r="100" spans="2:11" s="3" customFormat="1" ht="18" customHeight="1">
      <c r="B100" s="149"/>
      <c r="C100" s="149"/>
      <c r="D100" s="149"/>
      <c r="E100" s="149"/>
      <c r="F100" s="149"/>
      <c r="G100" s="149"/>
      <c r="H100" s="149"/>
      <c r="I100" s="149"/>
      <c r="J100" s="149"/>
      <c r="K100" s="81"/>
    </row>
    <row r="101" spans="2:11" s="3" customFormat="1" ht="18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3"/>
    </row>
    <row r="102" spans="2:11" s="3" customFormat="1" ht="16.5" customHeight="1">
      <c r="B102" s="39"/>
      <c r="C102" s="39"/>
      <c r="D102" s="39"/>
      <c r="E102" s="39"/>
      <c r="F102" s="39"/>
      <c r="G102" s="40"/>
      <c r="H102" s="39"/>
      <c r="I102" s="39"/>
      <c r="J102" s="39"/>
      <c r="K102" s="9"/>
    </row>
    <row r="103" spans="2:11" s="3" customFormat="1" ht="15">
      <c r="B103" s="4"/>
      <c r="C103" s="4"/>
      <c r="D103" s="4"/>
      <c r="E103" s="4"/>
      <c r="F103" s="4"/>
      <c r="G103" s="5"/>
      <c r="H103" s="4"/>
      <c r="I103" s="4"/>
      <c r="J103" s="4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s="3" customFormat="1" ht="15">
      <c r="B110" s="67"/>
      <c r="C110" s="67"/>
      <c r="D110" s="67"/>
      <c r="E110" s="67"/>
      <c r="F110" s="67"/>
      <c r="G110" s="68"/>
      <c r="H110" s="67"/>
      <c r="I110" s="67"/>
      <c r="J110" s="67"/>
      <c r="K110" s="69"/>
      <c r="L110" s="67"/>
    </row>
    <row r="111" spans="2:12" ht="18">
      <c r="B111" s="56"/>
      <c r="C111" s="56"/>
      <c r="D111" s="57"/>
      <c r="E111" s="57"/>
      <c r="F111" s="58"/>
      <c r="G111" s="58"/>
      <c r="H111" s="58"/>
      <c r="I111" s="67"/>
      <c r="J111" s="67"/>
      <c r="K111" s="69"/>
      <c r="L111" s="67"/>
    </row>
    <row r="112" spans="2:12" ht="18">
      <c r="B112" s="56"/>
      <c r="C112" s="59"/>
      <c r="D112" s="59"/>
      <c r="E112" s="60"/>
      <c r="F112" s="59"/>
      <c r="G112" s="61"/>
      <c r="H112" s="62"/>
      <c r="I112" s="67"/>
      <c r="J112" s="67"/>
      <c r="K112" s="69"/>
      <c r="L112" s="67"/>
    </row>
    <row r="113" spans="2:12" ht="18">
      <c r="B113" s="57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8">
      <c r="B114" s="56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8">
      <c r="B115" s="70"/>
      <c r="C115" s="71"/>
      <c r="D115" s="71"/>
      <c r="E115" s="63"/>
      <c r="F115" s="63"/>
      <c r="G115" s="63"/>
      <c r="H115" s="63"/>
      <c r="I115" s="67"/>
      <c r="J115" s="69"/>
      <c r="K115" s="69"/>
      <c r="L115" s="67"/>
    </row>
    <row r="116" spans="2:12" ht="18">
      <c r="B116" s="70"/>
      <c r="C116" s="71"/>
      <c r="D116" s="71"/>
      <c r="E116" s="63"/>
      <c r="F116" s="63"/>
      <c r="G116" s="63"/>
      <c r="H116" s="63"/>
      <c r="I116" s="67"/>
      <c r="J116" s="69"/>
      <c r="K116" s="69"/>
      <c r="L116" s="67"/>
    </row>
    <row r="117" spans="2:12" ht="18">
      <c r="B117" s="64"/>
      <c r="C117" s="65"/>
      <c r="D117" s="65"/>
      <c r="E117" s="64"/>
      <c r="F117" s="64"/>
      <c r="G117" s="64"/>
      <c r="H117" s="66"/>
      <c r="I117" s="67"/>
      <c r="J117" s="67"/>
      <c r="K117" s="69"/>
      <c r="L117" s="67"/>
    </row>
    <row r="118" spans="2:12" ht="18">
      <c r="B118" s="57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8">
      <c r="B119" s="56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300"/>
      <c r="C122" s="300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64"/>
      <c r="C133" s="65"/>
      <c r="D133" s="65"/>
      <c r="E133" s="64"/>
      <c r="F133" s="64"/>
      <c r="G133" s="64"/>
      <c r="H133" s="66"/>
      <c r="I133" s="67"/>
      <c r="J133" s="67"/>
      <c r="K133" s="69"/>
      <c r="L133" s="67"/>
    </row>
    <row r="134" spans="2:12" ht="18">
      <c r="B134" s="57"/>
      <c r="C134" s="57"/>
      <c r="D134" s="57"/>
      <c r="E134" s="57"/>
      <c r="F134" s="57"/>
      <c r="G134" s="57"/>
      <c r="H134" s="57"/>
      <c r="I134" s="67"/>
      <c r="J134" s="67"/>
      <c r="K134" s="69"/>
      <c r="L134" s="67"/>
    </row>
    <row r="135" spans="2:12" ht="18">
      <c r="B135" s="64"/>
      <c r="C135" s="65"/>
      <c r="D135" s="65"/>
      <c r="E135" s="64"/>
      <c r="F135" s="64"/>
      <c r="G135" s="64"/>
      <c r="H135" s="66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77"/>
      <c r="C146" s="77"/>
      <c r="D146" s="77"/>
      <c r="E146" s="77"/>
      <c r="F146" s="7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9"/>
      <c r="D149" s="69"/>
      <c r="E149" s="69"/>
      <c r="F149" s="69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9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9"/>
      <c r="D156" s="69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8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9"/>
      <c r="C169" s="69"/>
      <c r="D169" s="69"/>
      <c r="E169" s="69"/>
      <c r="F169" s="69"/>
      <c r="G169" s="69"/>
      <c r="H169" s="69"/>
      <c r="I169" s="69"/>
      <c r="J169" s="67"/>
      <c r="K169" s="69"/>
      <c r="L169" s="67"/>
    </row>
    <row r="170" spans="2:12" s="3" customFormat="1" ht="15">
      <c r="B170" s="69"/>
      <c r="C170" s="69"/>
      <c r="D170" s="69"/>
      <c r="E170" s="69"/>
      <c r="F170" s="69"/>
      <c r="G170" s="78"/>
      <c r="H170" s="69"/>
      <c r="I170" s="69"/>
      <c r="J170" s="67"/>
      <c r="K170" s="69"/>
      <c r="L170" s="78"/>
    </row>
    <row r="171" spans="2:12" s="3" customFormat="1" ht="15">
      <c r="B171" s="69"/>
      <c r="C171" s="69"/>
      <c r="D171" s="69"/>
      <c r="E171" s="69"/>
      <c r="F171" s="69"/>
      <c r="G171" s="69"/>
      <c r="H171" s="69"/>
      <c r="I171" s="79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9"/>
      <c r="I178" s="6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9"/>
      <c r="I180" s="6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</sheetData>
  <sheetProtection/>
  <mergeCells count="47">
    <mergeCell ref="G80:H80"/>
    <mergeCell ref="G79:H79"/>
    <mergeCell ref="G78:H78"/>
    <mergeCell ref="E81:F81"/>
    <mergeCell ref="E80:F80"/>
    <mergeCell ref="E79:F79"/>
    <mergeCell ref="E78:F78"/>
    <mergeCell ref="L66:O66"/>
    <mergeCell ref="D6:J6"/>
    <mergeCell ref="E20:F20"/>
    <mergeCell ref="D2:J2"/>
    <mergeCell ref="D3:J3"/>
    <mergeCell ref="D4:J4"/>
    <mergeCell ref="B12:E12"/>
    <mergeCell ref="G12:J12"/>
    <mergeCell ref="E65:F65"/>
    <mergeCell ref="E62:F62"/>
    <mergeCell ref="B122:C122"/>
    <mergeCell ref="B93:J93"/>
    <mergeCell ref="E88:F89"/>
    <mergeCell ref="B95:J95"/>
    <mergeCell ref="I88:J89"/>
    <mergeCell ref="I78:J78"/>
    <mergeCell ref="B98:J98"/>
    <mergeCell ref="B96:J96"/>
    <mergeCell ref="B99:J99"/>
    <mergeCell ref="B97:J97"/>
    <mergeCell ref="E66:F66"/>
    <mergeCell ref="B94:J94"/>
    <mergeCell ref="B88:D89"/>
    <mergeCell ref="B92:J92"/>
    <mergeCell ref="B86:D87"/>
    <mergeCell ref="I86:J87"/>
    <mergeCell ref="I80:J80"/>
    <mergeCell ref="G88:H89"/>
    <mergeCell ref="I79:J79"/>
    <mergeCell ref="B75:J75"/>
    <mergeCell ref="B76:J76"/>
    <mergeCell ref="G86:H87"/>
    <mergeCell ref="B84:J85"/>
    <mergeCell ref="B77:D78"/>
    <mergeCell ref="E86:F87"/>
    <mergeCell ref="I81:J81"/>
    <mergeCell ref="B81:D81"/>
    <mergeCell ref="B80:D80"/>
    <mergeCell ref="B79:D79"/>
    <mergeCell ref="G81:H8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2" r:id="rId2"/>
  <rowBreaks count="1" manualBreakCount="1">
    <brk id="7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23</v>
      </c>
      <c r="C2" s="50">
        <f>((maíz_jubilee_valparaíso!E13-45000)/45000)+1</f>
        <v>0.9333333333333333</v>
      </c>
    </row>
    <row r="3" ht="18">
      <c r="B3" s="13"/>
    </row>
    <row r="4" spans="2:3" ht="18">
      <c r="B4" s="330" t="s">
        <v>24</v>
      </c>
      <c r="C4" s="330"/>
    </row>
    <row r="5" spans="2:5" ht="18">
      <c r="B5" s="82" t="s">
        <v>42</v>
      </c>
      <c r="C5" s="134"/>
      <c r="D5" s="83"/>
      <c r="E5" s="3">
        <v>45000</v>
      </c>
    </row>
    <row r="6" spans="2:4" ht="15">
      <c r="B6" s="26"/>
      <c r="C6" s="26"/>
      <c r="D6" s="26"/>
    </row>
    <row r="14" spans="2:4" ht="15">
      <c r="B14" s="331" t="s">
        <v>20</v>
      </c>
      <c r="C14" s="331"/>
      <c r="D14" s="331"/>
    </row>
    <row r="16" spans="2:4" ht="18">
      <c r="B16" s="49" t="s">
        <v>22</v>
      </c>
      <c r="C16" s="48">
        <f>maíz_jubilee_valparaíso!B79</f>
        <v>37800</v>
      </c>
      <c r="D16" s="48">
        <f>maíz_jubilee_valparaíso!B81</f>
        <v>46200.00000000001</v>
      </c>
    </row>
    <row r="17" ht="15">
      <c r="B17" s="24"/>
    </row>
    <row r="18" spans="2:4" ht="15">
      <c r="B18" s="47" t="s">
        <v>23</v>
      </c>
      <c r="C18" s="50">
        <f>((C16-maíz_jubilee_valparaíso!E13)/maíz_jubilee_valparaíso!E13)+1</f>
        <v>0.9</v>
      </c>
      <c r="D18" s="50">
        <f>((D16-maíz_jubilee_valparaíso!E13)/maíz_jubilee_valparaíso!E13)+1</f>
        <v>1.1</v>
      </c>
    </row>
    <row r="19" spans="2:4" ht="18">
      <c r="B19" s="17"/>
      <c r="C19" s="48"/>
      <c r="D19" s="48"/>
    </row>
    <row r="20" spans="2:4" ht="18">
      <c r="B20" s="49" t="s">
        <v>12</v>
      </c>
      <c r="C20" s="48"/>
      <c r="D20" s="48"/>
    </row>
    <row r="21" spans="2:4" ht="18">
      <c r="B21" s="17" t="s">
        <v>25</v>
      </c>
      <c r="C21" s="9">
        <f>SUM(maíz_jubilee_valparaíso!J22:J28)</f>
        <v>537500</v>
      </c>
      <c r="D21" s="9">
        <f>SUM(maíz_jubilee_valparaíso!J22:J28)</f>
        <v>537500</v>
      </c>
    </row>
    <row r="22" spans="2:4" ht="18">
      <c r="B22" s="51" t="s">
        <v>26</v>
      </c>
      <c r="C22" s="52">
        <f>C18*maíz_jubilee_valparaíso!G29*maíz_jubilee_valparaíso!I29</f>
        <v>529200</v>
      </c>
      <c r="D22" s="52">
        <f>D18*maíz_jubilee_valparaíso!G29*maíz_jubilee_valparaíso!I29</f>
        <v>646800.0000000001</v>
      </c>
    </row>
    <row r="23" spans="2:4" ht="18">
      <c r="B23" s="17" t="s">
        <v>27</v>
      </c>
      <c r="C23" s="9">
        <f>SUM(C21:C22)</f>
        <v>1066700</v>
      </c>
      <c r="D23" s="9">
        <f>SUM(D21:D22)</f>
        <v>1184300</v>
      </c>
    </row>
    <row r="24" ht="18">
      <c r="B24" s="17"/>
    </row>
    <row r="25" ht="18">
      <c r="B25" s="49" t="s">
        <v>14</v>
      </c>
    </row>
    <row r="26" spans="2:4" ht="18">
      <c r="B26" s="17" t="s">
        <v>25</v>
      </c>
      <c r="C26" s="9">
        <f>SUM(maíz_jubilee_valparaíso!J33:J40)</f>
        <v>447000</v>
      </c>
      <c r="D26" s="9">
        <f>SUM(maíz_jubilee_valparaíso!J33:J40)</f>
        <v>447000</v>
      </c>
    </row>
    <row r="27" spans="2:4" ht="18">
      <c r="B27" s="51" t="s">
        <v>26</v>
      </c>
      <c r="C27" s="52">
        <v>0</v>
      </c>
      <c r="D27" s="52">
        <v>0</v>
      </c>
    </row>
    <row r="28" spans="2:4" ht="18">
      <c r="B28" s="17" t="s">
        <v>27</v>
      </c>
      <c r="C28" s="9">
        <f>SUM(C26:C27)</f>
        <v>447000</v>
      </c>
      <c r="D28" s="9">
        <f>SUM(D26:D27)</f>
        <v>447000</v>
      </c>
    </row>
    <row r="30" ht="18">
      <c r="B30" s="49" t="s">
        <v>28</v>
      </c>
    </row>
    <row r="31" spans="2:4" ht="18">
      <c r="B31" s="17" t="s">
        <v>25</v>
      </c>
      <c r="C31" s="9">
        <f>SUM(maíz_jubilee_valparaíso!J44:J57)</f>
        <v>894816</v>
      </c>
      <c r="D31" s="9">
        <f>SUM(maíz_jubilee_valparaíso!J44:J57)</f>
        <v>894816</v>
      </c>
    </row>
    <row r="32" spans="2:4" ht="18">
      <c r="B32" s="51" t="s">
        <v>26</v>
      </c>
      <c r="C32" s="52">
        <v>0</v>
      </c>
      <c r="D32" s="52">
        <v>0</v>
      </c>
    </row>
    <row r="33" spans="2:4" ht="18">
      <c r="B33" s="17" t="s">
        <v>27</v>
      </c>
      <c r="C33" s="9">
        <f>SUM(C31:C32)</f>
        <v>894816</v>
      </c>
      <c r="D33" s="9">
        <f>SUM(D31:D32)</f>
        <v>894816</v>
      </c>
    </row>
    <row r="34" spans="2:4" ht="15">
      <c r="B34" s="24"/>
      <c r="C34" s="28"/>
      <c r="D34" s="28"/>
    </row>
    <row r="35" spans="2:4" ht="18">
      <c r="B35" s="54" t="s">
        <v>29</v>
      </c>
      <c r="C35" s="55">
        <f>C23+C28+C33</f>
        <v>2408516</v>
      </c>
      <c r="D35" s="55">
        <f>D23+D28+D33</f>
        <v>2526116</v>
      </c>
    </row>
    <row r="36" ht="15">
      <c r="B36" s="24"/>
    </row>
    <row r="37" spans="2:4" ht="18">
      <c r="B37" s="53" t="s">
        <v>0</v>
      </c>
      <c r="C37" s="9">
        <f>C35*maíz_jubilee_valparaíso!G62</f>
        <v>120425.8</v>
      </c>
      <c r="D37" s="9">
        <f>D35*D18*maíz_jubilee_valparaíso!G62</f>
        <v>138936.38</v>
      </c>
    </row>
    <row r="38" spans="2:4" ht="18">
      <c r="B38" s="53" t="s">
        <v>18</v>
      </c>
      <c r="C38" s="9">
        <f>C35*maíz_jubilee_valparaíso!E16*maíz_jubilee_valparaíso!E17*0.5</f>
        <v>108383.22</v>
      </c>
      <c r="D38" s="9">
        <f>D35*maíz_jubilee_valparaíso!E16*maíz_jubilee_valparaíso!E17*0.5</f>
        <v>113675.22</v>
      </c>
    </row>
    <row r="39" ht="15">
      <c r="B39" s="24"/>
    </row>
    <row r="40" spans="2:4" ht="18">
      <c r="B40" s="54" t="s">
        <v>19</v>
      </c>
      <c r="C40" s="55">
        <f>C35+C37+C38</f>
        <v>2637325.02</v>
      </c>
      <c r="D40" s="55">
        <f>D35+D37+D38</f>
        <v>2778727.6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2019-07-01T20:07:53Z</cp:lastPrinted>
  <dcterms:created xsi:type="dcterms:W3CDTF">2012-07-09T18:51:50Z</dcterms:created>
  <dcterms:modified xsi:type="dcterms:W3CDTF">2019-07-01T20:15:36Z</dcterms:modified>
  <cp:category/>
  <cp:version/>
  <cp:contentType/>
  <cp:contentStatus/>
</cp:coreProperties>
</file>