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cirue_d´ag_cos_mec_o´hi_2019_20" sheetId="1" r:id="rId1"/>
    <sheet name="Hoja1" sheetId="2" state="hidden" r:id="rId2"/>
  </sheets>
  <definedNames>
    <definedName name="_xlfn.ANCHORARRAY" hidden="1">#NAME?</definedName>
    <definedName name="_xlfn.SINGLE" hidden="1">#NAME?</definedName>
    <definedName name="_xlnm.Print_Area" localSheetId="0">'cirue_d´ag_cos_mec_o´hi_2019_20'!$A$1:$K$123</definedName>
  </definedNames>
  <calcPr fullCalcOnLoad="1"/>
</workbook>
</file>

<file path=xl/sharedStrings.xml><?xml version="1.0" encoding="utf-8"?>
<sst xmlns="http://schemas.openxmlformats.org/spreadsheetml/2006/main" count="241" uniqueCount="168">
  <si>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</si>
  <si>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</si>
  <si>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</si>
  <si>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</si>
  <si>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</si>
  <si>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</si>
  <si>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</si>
  <si>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</si>
  <si>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</si>
  <si>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</si>
  <si>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</si>
  <si>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</si>
  <si>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</si>
  <si>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</si>
  <si>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</si>
  <si>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</si>
  <si>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</si>
  <si>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</si>
  <si>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</si>
  <si>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</si>
  <si>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</si>
  <si>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</si>
  <si>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</si>
  <si>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</si>
  <si>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</si>
  <si>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</si>
  <si>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</si>
  <si>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</si>
  <si>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</si>
  <si>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</si>
  <si>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</si>
  <si>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</si>
  <si>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</si>
  <si>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</si>
  <si>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Periodo</t>
  </si>
  <si>
    <t>porcentaje</t>
  </si>
  <si>
    <t>hectárea</t>
  </si>
  <si>
    <t>kilo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</si>
  <si>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</si>
  <si>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</si>
  <si>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</si>
  <si>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</si>
  <si>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</si>
  <si>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</si>
  <si>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</si>
  <si>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</si>
  <si>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</si>
  <si>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</si>
  <si>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</si>
  <si>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</si>
  <si>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</si>
  <si>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Costo oportunidad (arriendo)</t>
  </si>
  <si>
    <t xml:space="preserve">Administración </t>
  </si>
  <si>
    <t>Contribuciones</t>
  </si>
  <si>
    <t>Otros:</t>
  </si>
  <si>
    <t>Tecnología de riego: goteo</t>
  </si>
  <si>
    <t>litro</t>
  </si>
  <si>
    <t>unidad</t>
  </si>
  <si>
    <t>Destino de producción: nacional y exportación</t>
  </si>
  <si>
    <t>Fertilizantes foliares:</t>
  </si>
  <si>
    <t>Rendimiento (kilos/hectárea)</t>
  </si>
  <si>
    <t>Precio ($/kilo)</t>
  </si>
  <si>
    <t>Costo unitario ($/kilo)</t>
  </si>
  <si>
    <t>Plantación: En producción</t>
  </si>
  <si>
    <t>1 hectárea julio 2020</t>
  </si>
  <si>
    <t>septiembre - octubre</t>
  </si>
  <si>
    <t>marzo - abril</t>
  </si>
  <si>
    <t>jornada hombre</t>
  </si>
  <si>
    <t>septiembre - abril</t>
  </si>
  <si>
    <t>septiembre - enero</t>
  </si>
  <si>
    <t>septiembre - noviembre</t>
  </si>
  <si>
    <t>octubre - enero</t>
  </si>
  <si>
    <t>agosto - diciembre</t>
  </si>
  <si>
    <t>octubre - febrero</t>
  </si>
  <si>
    <t>octubre - diciembre</t>
  </si>
  <si>
    <t>enero - febrero</t>
  </si>
  <si>
    <t>Región de O'Higgins</t>
  </si>
  <si>
    <t>Tecnología: media</t>
  </si>
  <si>
    <t>junio - julio</t>
  </si>
  <si>
    <t>Rastraje</t>
  </si>
  <si>
    <t>Surqueadura</t>
  </si>
  <si>
    <t>marzo</t>
  </si>
  <si>
    <t>abril - junio agosto</t>
  </si>
  <si>
    <t xml:space="preserve"> kilo</t>
  </si>
  <si>
    <t xml:space="preserve">enero </t>
  </si>
  <si>
    <t>Variedad: D'Agen</t>
  </si>
  <si>
    <t>Aplicación fitosanitarios</t>
  </si>
  <si>
    <t>Triturar los restos de la poda</t>
  </si>
  <si>
    <t>Cosecha: traslado a cancha de secado (ciruela fresca)</t>
  </si>
  <si>
    <t>Traslado a la bódega (ciruela deshidratada)</t>
  </si>
  <si>
    <t xml:space="preserve">Poda </t>
  </si>
  <si>
    <t>Aplicación de agroquímicos</t>
  </si>
  <si>
    <t>Controles de malezas:alrededor de la planta</t>
  </si>
  <si>
    <t>Confeccionar canchas de secado</t>
  </si>
  <si>
    <t>Manejo secado</t>
  </si>
  <si>
    <t>Envasado en caja</t>
  </si>
  <si>
    <t>Limpiar terreno y guardar infraestructura secado</t>
  </si>
  <si>
    <t>septiembre - marzo</t>
  </si>
  <si>
    <t>mayo - julio-agosto</t>
  </si>
  <si>
    <t>m2</t>
  </si>
  <si>
    <t>Fertiriego</t>
  </si>
  <si>
    <t>septiembre-octubre</t>
  </si>
  <si>
    <t>anual</t>
  </si>
  <si>
    <t>Preparar terreno para la cosecha mecanizada y apoyo</t>
  </si>
  <si>
    <t>Cosecha mecanizada servicio</t>
  </si>
  <si>
    <t>Traslado de cosecha en bins al sector de acopio</t>
  </si>
  <si>
    <t xml:space="preserve"> Nitrato de Potasio</t>
  </si>
  <si>
    <t xml:space="preserve"> Mezcla frutal </t>
  </si>
  <si>
    <t xml:space="preserve">      febrero-marzo</t>
  </si>
  <si>
    <t xml:space="preserve">     febrero-abril</t>
  </si>
  <si>
    <t xml:space="preserve"> Cinta amarre</t>
  </si>
  <si>
    <t xml:space="preserve"> Envase plástico</t>
  </si>
  <si>
    <t xml:space="preserve"> Baños químicos</t>
  </si>
  <si>
    <t>planta</t>
  </si>
  <si>
    <r>
      <t>Ciruela (Prunus domestica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deshidratada cosecha mecanizada</t>
    </r>
  </si>
  <si>
    <t>(1) Nombre científico de la ciruela.</t>
  </si>
  <si>
    <r>
      <t xml:space="preserve">Rendimiento (kilos/ha) 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</si>
  <si>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 xml:space="preserve">Precio de venta a productor ($/kilo): </t>
    </r>
    <r>
      <rPr>
        <b/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</si>
  <si>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</si>
  <si>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</si>
  <si>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</si>
  <si>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</si>
  <si>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t xml:space="preserve">     febrero-marzo</t>
  </si>
  <si>
    <t xml:space="preserve">    febrero  - marzo</t>
  </si>
  <si>
    <t xml:space="preserve">     junio-agosto</t>
  </si>
  <si>
    <t xml:space="preserve">     mayo-octubre</t>
  </si>
  <si>
    <t xml:space="preserve">     mayo-abril</t>
  </si>
  <si>
    <t xml:space="preserve">     marzo-abril</t>
  </si>
  <si>
    <t xml:space="preserve">     enero-febrero</t>
  </si>
  <si>
    <t xml:space="preserve">     febrero - marzo</t>
  </si>
  <si>
    <t xml:space="preserve">     septiembre-febrero</t>
  </si>
  <si>
    <t xml:space="preserve">     agosto-abril</t>
  </si>
  <si>
    <t xml:space="preserve">     febrero-enero</t>
  </si>
  <si>
    <t xml:space="preserve">     junio-julio</t>
  </si>
  <si>
    <t>Densidad (plantas/hectárea): 400  (5,0m  X 5,0m)</t>
  </si>
  <si>
    <t xml:space="preserve"> Urea</t>
  </si>
  <si>
    <t xml:space="preserve"> Ácido Fosfórico</t>
  </si>
  <si>
    <t xml:space="preserve"> Zintrac </t>
  </si>
  <si>
    <t xml:space="preserve"> Frutaliv</t>
  </si>
  <si>
    <t xml:space="preserve"> Fosfimax 40 20</t>
  </si>
  <si>
    <t xml:space="preserve"> Basfoliar Zn</t>
  </si>
  <si>
    <t xml:space="preserve"> Nitrofoska</t>
  </si>
  <si>
    <t xml:space="preserve"> Solubor boro</t>
  </si>
  <si>
    <t xml:space="preserve"> Nordox Super 75 WG</t>
  </si>
  <si>
    <t xml:space="preserve"> Podexal</t>
  </si>
  <si>
    <t xml:space="preserve"> Azufre mojable urkabe</t>
  </si>
  <si>
    <t xml:space="preserve"> Topas 200 EW</t>
  </si>
  <si>
    <t xml:space="preserve"> Lorsban 4E</t>
  </si>
  <si>
    <t xml:space="preserve"> Citroliv Miscible</t>
  </si>
  <si>
    <t xml:space="preserve"> Karate zeon</t>
  </si>
  <si>
    <t xml:space="preserve"> Farmon</t>
  </si>
  <si>
    <t xml:space="preserve"> Glifosato</t>
  </si>
  <si>
    <t xml:space="preserve"> Electricidad</t>
  </si>
  <si>
    <t xml:space="preserve"> Carpas para cosechar (duración 2 años)</t>
  </si>
  <si>
    <t xml:space="preserve"> Malla rachel para secado (duración 2 años)</t>
  </si>
  <si>
    <t xml:space="preserve"> Puntales</t>
  </si>
  <si>
    <t>Costo jornada hombre ($/jornada hombre):</t>
  </si>
  <si>
    <r>
      <t xml:space="preserve"> Análisis foliar </t>
    </r>
    <r>
      <rPr>
        <vertAlign val="superscript"/>
        <sz val="14"/>
        <rFont val="Arial"/>
        <family val="2"/>
      </rPr>
      <t>(6)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</si>
  <si>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</si>
  <si>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(2) Para obtener un kilo de ciruela deshidratada se requieren, en promedio, tres kilos de ciruela fresca.</t>
  </si>
  <si>
    <t>(3) El precio del kilo de ciruela deshidratada corresponde al promedio estimado de las entrevistas de la región a nivel predial durante el periodo de cosecha en la temporada 2019/2020.</t>
  </si>
  <si>
    <t>(4) Representa el valor de arriendo en la región.</t>
  </si>
  <si>
    <t>(5)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</si>
  <si>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(6) La dosis de fertilización promedio podría variar de acuerdo a los resultados del análisis de suelo.</t>
  </si>
  <si>
    <t>(7) 1,50%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</si>
  <si>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</si>
  <si>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</si>
  <si>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Fecha de cosecha: febrero-marzo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</si>
</sst>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6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3" xfId="56" applyNumberFormat="1" applyFont="1" applyFill="1" applyBorder="1" applyAlignment="1" applyProtection="1">
      <alignment horizontal="center" vertical="center" wrapText="1"/>
      <protection/>
    </xf>
    <xf numFmtId="0" fontId="63" fillId="23" borderId="23" xfId="56" applyFont="1" applyFill="1" applyBorder="1" applyAlignment="1" applyProtection="1">
      <alignment horizontal="center" vertical="center" wrapText="1"/>
      <protection/>
    </xf>
    <xf numFmtId="3" fontId="63" fillId="23" borderId="23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4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horizontal="right" vertical="center"/>
      <protection/>
    </xf>
    <xf numFmtId="0" fontId="63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60" fillId="34" borderId="13" xfId="0" applyFont="1" applyFill="1" applyBorder="1" applyAlignment="1">
      <alignment/>
    </xf>
    <xf numFmtId="3" fontId="10" fillId="34" borderId="24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10" fillId="34" borderId="19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3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6" borderId="23" xfId="56" applyFont="1" applyFill="1" applyBorder="1" applyAlignment="1" applyProtection="1">
      <alignment horizontal="right" vertical="center"/>
      <protection/>
    </xf>
    <xf numFmtId="3" fontId="63" fillId="23" borderId="23" xfId="56" applyNumberFormat="1" applyFont="1" applyFill="1" applyBorder="1" applyAlignment="1" applyProtection="1">
      <alignment horizontal="right" vertical="center" wrapText="1"/>
      <protection/>
    </xf>
    <xf numFmtId="3" fontId="10" fillId="0" borderId="21" xfId="56" applyNumberFormat="1" applyFont="1" applyFill="1" applyBorder="1" applyAlignment="1" applyProtection="1">
      <alignment horizontal="right"/>
      <protection locked="0"/>
    </xf>
    <xf numFmtId="0" fontId="8" fillId="34" borderId="0" xfId="67" applyNumberFormat="1" applyFont="1" applyFill="1">
      <alignment/>
      <protection/>
    </xf>
    <xf numFmtId="0" fontId="10" fillId="34" borderId="0" xfId="67" applyNumberFormat="1" applyFont="1" applyFill="1">
      <alignment/>
      <protection/>
    </xf>
    <xf numFmtId="0" fontId="10" fillId="34" borderId="0" xfId="67" applyNumberFormat="1" applyFont="1" applyFill="1" applyAlignment="1">
      <alignment horizontal="left"/>
      <protection/>
    </xf>
    <xf numFmtId="0" fontId="8" fillId="34" borderId="0" xfId="56" applyFont="1" applyFill="1">
      <alignment/>
      <protection/>
    </xf>
    <xf numFmtId="184" fontId="10" fillId="34" borderId="21" xfId="67" applyNumberFormat="1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left"/>
      <protection/>
    </xf>
    <xf numFmtId="0" fontId="10" fillId="34" borderId="0" xfId="56" applyFont="1" applyFill="1" applyAlignment="1">
      <alignment horizontal="left" indent="3"/>
      <protection/>
    </xf>
    <xf numFmtId="181" fontId="10" fillId="34" borderId="21" xfId="56" applyNumberFormat="1" applyFont="1" applyFill="1" applyBorder="1" applyAlignment="1">
      <alignment horizontal="center"/>
      <protection/>
    </xf>
    <xf numFmtId="3" fontId="10" fillId="34" borderId="19" xfId="67" applyNumberFormat="1" applyFont="1" applyFill="1" applyBorder="1" applyAlignment="1">
      <alignment horizontal="center"/>
      <protection/>
    </xf>
    <xf numFmtId="3" fontId="10" fillId="34" borderId="19" xfId="56" applyNumberFormat="1" applyFont="1" applyFill="1" applyBorder="1" applyAlignment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1" xfId="67" applyFont="1" applyFill="1" applyBorder="1" applyAlignment="1" applyProtection="1">
      <alignment horizontal="center"/>
      <protection locked="0"/>
    </xf>
    <xf numFmtId="3" fontId="10" fillId="34" borderId="19" xfId="56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Protection="1">
      <alignment/>
      <protection locked="0"/>
    </xf>
    <xf numFmtId="0" fontId="10" fillId="34" borderId="21" xfId="56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34" borderId="19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169" fontId="10" fillId="34" borderId="0" xfId="48" applyFont="1" applyFill="1" applyBorder="1" applyAlignment="1" applyProtection="1">
      <alignment/>
      <protection/>
    </xf>
    <xf numFmtId="181" fontId="10" fillId="34" borderId="14" xfId="67" applyNumberFormat="1" applyFont="1" applyFill="1" applyBorder="1" applyProtection="1">
      <alignment/>
      <protection locked="0"/>
    </xf>
    <xf numFmtId="0" fontId="10" fillId="34" borderId="17" xfId="56" applyFont="1" applyFill="1" applyBorder="1" applyProtection="1">
      <alignment/>
      <protection locked="0"/>
    </xf>
    <xf numFmtId="0" fontId="10" fillId="34" borderId="14" xfId="56" applyFont="1" applyFill="1" applyBorder="1" applyProtection="1">
      <alignment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19" xfId="56" applyFont="1" applyFill="1" applyBorder="1" applyProtection="1">
      <alignment/>
      <protection locked="0"/>
    </xf>
    <xf numFmtId="0" fontId="10" fillId="34" borderId="11" xfId="56" applyFont="1" applyFill="1" applyBorder="1" applyProtection="1">
      <alignment/>
      <protection locked="0"/>
    </xf>
    <xf numFmtId="0" fontId="10" fillId="34" borderId="15" xfId="56" applyFont="1" applyFill="1" applyBorder="1" applyProtection="1">
      <alignment/>
      <protection locked="0"/>
    </xf>
    <xf numFmtId="0" fontId="10" fillId="34" borderId="13" xfId="56" applyFont="1" applyFill="1" applyBorder="1" applyProtection="1">
      <alignment/>
      <protection locked="0"/>
    </xf>
    <xf numFmtId="0" fontId="10" fillId="34" borderId="16" xfId="56" applyFont="1" applyFill="1" applyBorder="1" applyProtection="1">
      <alignment/>
      <protection locked="0"/>
    </xf>
    <xf numFmtId="0" fontId="10" fillId="34" borderId="21" xfId="56" applyFont="1" applyFill="1" applyBorder="1" applyAlignment="1" applyProtection="1">
      <alignment horizontal="righ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181" fontId="10" fillId="34" borderId="13" xfId="67" applyNumberFormat="1" applyFont="1" applyFill="1" applyBorder="1" applyProtection="1">
      <alignment/>
      <protection locked="0"/>
    </xf>
    <xf numFmtId="0" fontId="10" fillId="34" borderId="0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Alignment="1" applyProtection="1">
      <alignment horizontal="left"/>
      <protection locked="0"/>
    </xf>
    <xf numFmtId="0" fontId="10" fillId="34" borderId="11" xfId="67" applyNumberFormat="1" applyFont="1" applyFill="1" applyBorder="1" applyAlignment="1" applyProtection="1">
      <alignment horizontal="left"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7" xfId="67" applyNumberFormat="1" applyFont="1" applyFill="1" applyBorder="1" applyAlignment="1">
      <alignment horizontal="center"/>
      <protection/>
    </xf>
    <xf numFmtId="0" fontId="10" fillId="34" borderId="19" xfId="67" applyNumberFormat="1" applyFont="1" applyFill="1" applyBorder="1">
      <alignment/>
      <protection/>
    </xf>
    <xf numFmtId="0" fontId="10" fillId="34" borderId="0" xfId="67" applyNumberFormat="1" applyFont="1" applyFill="1" applyBorder="1" applyAlignment="1">
      <alignment horizontal="left" indent="1"/>
      <protection/>
    </xf>
    <xf numFmtId="0" fontId="10" fillId="34" borderId="19" xfId="67" applyNumberFormat="1" applyFont="1" applyFill="1" applyBorder="1" applyAlignment="1">
      <alignment horizontal="left"/>
      <protection/>
    </xf>
    <xf numFmtId="3" fontId="10" fillId="34" borderId="11" xfId="56" applyNumberFormat="1" applyFont="1" applyFill="1" applyBorder="1" applyAlignment="1" applyProtection="1">
      <alignment horizontal="center"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3" fontId="10" fillId="34" borderId="21" xfId="56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 locked="0"/>
    </xf>
    <xf numFmtId="181" fontId="10" fillId="34" borderId="21" xfId="56" applyNumberFormat="1" applyFont="1" applyFill="1" applyBorder="1" applyAlignment="1" applyProtection="1">
      <alignment horizontal="center"/>
      <protection locked="0"/>
    </xf>
    <xf numFmtId="181" fontId="10" fillId="34" borderId="17" xfId="56" applyNumberFormat="1" applyFont="1" applyFill="1" applyBorder="1" applyAlignment="1" applyProtection="1">
      <alignment horizontal="center"/>
      <protection locked="0"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0" fontId="8" fillId="34" borderId="19" xfId="55" applyFont="1" applyFill="1" applyBorder="1" applyAlignment="1">
      <alignment horizontal="left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Alignment="1">
      <alignment/>
      <protection/>
    </xf>
    <xf numFmtId="0" fontId="10" fillId="34" borderId="11" xfId="56" applyFont="1" applyFill="1" applyBorder="1" applyAlignment="1" applyProtection="1">
      <alignment/>
      <protection locked="0"/>
    </xf>
    <xf numFmtId="0" fontId="10" fillId="34" borderId="17" xfId="56" applyFont="1" applyFill="1" applyBorder="1" applyAlignment="1" applyProtection="1">
      <alignment/>
      <protection locked="0"/>
    </xf>
    <xf numFmtId="0" fontId="10" fillId="34" borderId="18" xfId="56" applyFont="1" applyFill="1" applyBorder="1" applyAlignment="1" applyProtection="1">
      <alignment/>
      <protection locked="0"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63" fillId="23" borderId="25" xfId="56" applyFont="1" applyFill="1" applyBorder="1" applyAlignment="1" applyProtection="1">
      <alignment vertical="center"/>
      <protection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3" fontId="8" fillId="37" borderId="25" xfId="0" applyNumberFormat="1" applyFont="1" applyFill="1" applyBorder="1" applyAlignment="1">
      <alignment horizontal="center"/>
    </xf>
    <xf numFmtId="3" fontId="8" fillId="37" borderId="23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23" borderId="23" xfId="56" applyFont="1" applyFill="1" applyBorder="1" applyAlignment="1" applyProtection="1">
      <alignment horizontal="center" vertic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3" fillId="38" borderId="17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0" fontId="63" fillId="38" borderId="17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 vertical="center"/>
      <protection/>
    </xf>
    <xf numFmtId="3" fontId="13" fillId="34" borderId="0" xfId="56" applyNumberFormat="1" applyFont="1" applyFill="1" applyBorder="1" applyAlignment="1">
      <alignment horizontal="left" vertical="center"/>
      <protection/>
    </xf>
    <xf numFmtId="3" fontId="13" fillId="34" borderId="11" xfId="56" applyNumberFormat="1" applyFont="1" applyFill="1" applyBorder="1" applyAlignment="1">
      <alignment horizontal="left" vertical="center"/>
      <protection/>
    </xf>
    <xf numFmtId="3" fontId="13" fillId="34" borderId="19" xfId="53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3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3" applyNumberFormat="1" applyFont="1" applyFill="1" applyBorder="1" applyAlignment="1" applyProtection="1">
      <alignment horizontal="left" vertical="center" wrapText="1"/>
      <protection locked="0"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0" borderId="0" xfId="67" applyNumberFormat="1" applyFont="1" applyAlignment="1" applyProtection="1">
      <alignment horizontal="center" vertical="center" wrapText="1"/>
      <protection locked="0"/>
    </xf>
    <xf numFmtId="2" fontId="11" fillId="34" borderId="0" xfId="67" applyNumberFormat="1" applyFont="1" applyFill="1" applyAlignment="1">
      <alignment horizontal="center" vertical="center" wrapText="1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8" xfId="67" applyNumberFormat="1" applyFont="1" applyFill="1" applyBorder="1" applyAlignment="1" applyProtection="1">
      <alignment horizontal="center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3" xfId="55" applyFont="1" applyFill="1" applyBorder="1" applyAlignment="1">
      <alignment horizontal="center"/>
      <protection/>
    </xf>
    <xf numFmtId="0" fontId="63" fillId="39" borderId="20" xfId="55" applyFont="1" applyFill="1" applyBorder="1" applyAlignment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2</xdr:col>
      <xdr:colOff>885825</xdr:colOff>
      <xdr:row>10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23850"/>
          <a:ext cx="21145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628650</xdr:colOff>
      <xdr:row>122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82416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5"/>
  <sheetViews>
    <sheetView showGridLines="0" tabSelected="1" view="pageBreakPreview" zoomScale="63" zoomScaleNormal="70" zoomScaleSheetLayoutView="63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44.421875" style="0" bestFit="1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35.0039062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29"/>
      <c r="C2" s="129"/>
      <c r="D2" s="347" t="s">
        <v>33</v>
      </c>
      <c r="E2" s="347"/>
      <c r="F2" s="347"/>
      <c r="G2" s="347"/>
      <c r="H2" s="347"/>
      <c r="I2" s="347"/>
      <c r="J2" s="347"/>
    </row>
    <row r="3" spans="2:11" s="3" customFormat="1" ht="18" customHeight="1">
      <c r="B3" s="92"/>
      <c r="C3" s="111"/>
      <c r="D3" s="348" t="s">
        <v>114</v>
      </c>
      <c r="E3" s="348"/>
      <c r="F3" s="348"/>
      <c r="G3" s="348"/>
      <c r="H3" s="348"/>
      <c r="I3" s="348"/>
      <c r="J3" s="348"/>
      <c r="K3" s="14"/>
    </row>
    <row r="4" spans="2:11" s="3" customFormat="1" ht="18" customHeight="1">
      <c r="B4" s="92"/>
      <c r="C4" s="111"/>
      <c r="D4" s="349" t="s">
        <v>76</v>
      </c>
      <c r="E4" s="349"/>
      <c r="F4" s="349"/>
      <c r="G4" s="349"/>
      <c r="H4" s="349"/>
      <c r="I4" s="349"/>
      <c r="J4" s="349"/>
      <c r="K4" s="14"/>
    </row>
    <row r="5" spans="2:11" s="3" customFormat="1" ht="18" customHeight="1">
      <c r="B5" s="42"/>
      <c r="C5" s="42"/>
      <c r="D5" s="112"/>
      <c r="E5" s="44"/>
      <c r="F5" s="126"/>
      <c r="G5" s="126"/>
      <c r="H5" s="126"/>
      <c r="I5" s="126"/>
      <c r="J5" s="126"/>
      <c r="K5" s="16"/>
    </row>
    <row r="6" spans="2:11" s="3" customFormat="1" ht="18" customHeight="1">
      <c r="B6" s="42"/>
      <c r="C6" s="42"/>
      <c r="D6" s="350" t="s">
        <v>29</v>
      </c>
      <c r="E6" s="351"/>
      <c r="F6" s="351"/>
      <c r="G6" s="351"/>
      <c r="H6" s="351"/>
      <c r="I6" s="351"/>
      <c r="J6" s="352"/>
      <c r="K6" s="16"/>
    </row>
    <row r="7" spans="2:11" s="3" customFormat="1" ht="18" customHeight="1">
      <c r="B7" s="42"/>
      <c r="C7" s="42"/>
      <c r="D7" s="84" t="s">
        <v>64</v>
      </c>
      <c r="E7" s="85"/>
      <c r="F7" s="85"/>
      <c r="G7" s="239" t="s">
        <v>85</v>
      </c>
      <c r="H7" s="86"/>
      <c r="I7" s="87"/>
      <c r="J7" s="88"/>
      <c r="K7" s="16"/>
    </row>
    <row r="8" spans="2:11" s="3" customFormat="1" ht="18" customHeight="1">
      <c r="B8" s="42"/>
      <c r="C8" s="42"/>
      <c r="D8" s="89" t="s">
        <v>55</v>
      </c>
      <c r="E8" s="90"/>
      <c r="F8" s="90"/>
      <c r="G8" s="91" t="s">
        <v>58</v>
      </c>
      <c r="H8" s="92"/>
      <c r="I8" s="93"/>
      <c r="J8" s="94"/>
      <c r="K8" s="16"/>
    </row>
    <row r="9" spans="2:11" s="3" customFormat="1" ht="18" customHeight="1">
      <c r="B9" s="42"/>
      <c r="C9" s="42"/>
      <c r="D9" s="89" t="s">
        <v>134</v>
      </c>
      <c r="E9" s="238"/>
      <c r="F9" s="90"/>
      <c r="G9" s="91" t="s">
        <v>77</v>
      </c>
      <c r="H9" s="92"/>
      <c r="I9" s="93"/>
      <c r="J9" s="94"/>
      <c r="K9" s="18"/>
    </row>
    <row r="10" spans="2:11" s="3" customFormat="1" ht="18" customHeight="1">
      <c r="B10" s="42"/>
      <c r="C10" s="42"/>
      <c r="D10" s="95" t="s">
        <v>63</v>
      </c>
      <c r="E10" s="96"/>
      <c r="F10" s="96"/>
      <c r="G10" s="252" t="s">
        <v>167</v>
      </c>
      <c r="H10" s="194"/>
      <c r="I10" s="96"/>
      <c r="J10" s="97"/>
      <c r="K10" s="18"/>
    </row>
    <row r="11" spans="2:11" s="3" customFormat="1" ht="18" customHeight="1">
      <c r="B11" s="42"/>
      <c r="C11" s="42"/>
      <c r="D11" s="26"/>
      <c r="E11" s="90"/>
      <c r="F11" s="90"/>
      <c r="G11" s="26"/>
      <c r="H11" s="92"/>
      <c r="I11" s="93"/>
      <c r="J11" s="120"/>
      <c r="K11" s="18"/>
    </row>
    <row r="12" spans="2:11" ht="18">
      <c r="B12" s="353" t="s">
        <v>30</v>
      </c>
      <c r="C12" s="354"/>
      <c r="D12" s="354"/>
      <c r="E12" s="355"/>
      <c r="F12" s="41"/>
      <c r="G12" s="356" t="s">
        <v>4</v>
      </c>
      <c r="H12" s="357"/>
      <c r="I12" s="357"/>
      <c r="J12" s="358"/>
      <c r="K12" s="16"/>
    </row>
    <row r="13" spans="2:11" ht="21">
      <c r="B13" s="101" t="s">
        <v>116</v>
      </c>
      <c r="C13" s="102"/>
      <c r="D13" s="85"/>
      <c r="E13" s="103">
        <v>6350</v>
      </c>
      <c r="F13" s="42"/>
      <c r="G13" s="107" t="s">
        <v>45</v>
      </c>
      <c r="H13" s="85"/>
      <c r="I13" s="85"/>
      <c r="J13" s="130">
        <f>E13*E14</f>
        <v>5715000</v>
      </c>
      <c r="K13" s="16"/>
    </row>
    <row r="14" spans="2:13" ht="18" customHeight="1">
      <c r="B14" s="269" t="s">
        <v>117</v>
      </c>
      <c r="C14" s="270"/>
      <c r="D14" s="270"/>
      <c r="E14" s="184">
        <v>900</v>
      </c>
      <c r="F14" s="42"/>
      <c r="G14" s="108" t="s">
        <v>42</v>
      </c>
      <c r="H14" s="42"/>
      <c r="I14" s="42"/>
      <c r="J14" s="131">
        <f>J31+J42+J78+J81</f>
        <v>4627302.75</v>
      </c>
      <c r="K14" s="16"/>
      <c r="M14" s="149"/>
    </row>
    <row r="15" spans="2:11" ht="18">
      <c r="B15" s="268" t="s">
        <v>156</v>
      </c>
      <c r="C15" s="43"/>
      <c r="D15" s="42"/>
      <c r="E15" s="184">
        <v>20000</v>
      </c>
      <c r="F15" s="42"/>
      <c r="G15" s="108" t="s">
        <v>44</v>
      </c>
      <c r="H15" s="44"/>
      <c r="I15" s="42"/>
      <c r="J15" s="131">
        <f>J31+J42+J78+J81+J91</f>
        <v>5043759.9975</v>
      </c>
      <c r="K15" s="16"/>
    </row>
    <row r="16" spans="2:11" ht="18">
      <c r="B16" s="268" t="s">
        <v>2</v>
      </c>
      <c r="C16" s="45"/>
      <c r="D16" s="42"/>
      <c r="E16" s="104">
        <v>0.015</v>
      </c>
      <c r="F16" s="42"/>
      <c r="G16" s="108" t="s">
        <v>46</v>
      </c>
      <c r="H16" s="42"/>
      <c r="I16" s="42"/>
      <c r="J16" s="131">
        <f>J13-J14</f>
        <v>1087697.25</v>
      </c>
      <c r="K16" s="16"/>
    </row>
    <row r="17" spans="2:11" ht="18">
      <c r="B17" s="268" t="s">
        <v>3</v>
      </c>
      <c r="C17" s="45"/>
      <c r="D17" s="42"/>
      <c r="E17" s="212">
        <v>12</v>
      </c>
      <c r="F17" s="42"/>
      <c r="G17" s="108" t="s">
        <v>47</v>
      </c>
      <c r="H17" s="42"/>
      <c r="I17" s="42"/>
      <c r="J17" s="131">
        <f>J13-J15</f>
        <v>671240.0025000004</v>
      </c>
      <c r="K17" s="16"/>
    </row>
    <row r="18" spans="2:11" ht="18">
      <c r="B18" s="105"/>
      <c r="C18" s="106"/>
      <c r="D18" s="98"/>
      <c r="E18" s="211"/>
      <c r="F18" s="42"/>
      <c r="G18" s="109" t="s">
        <v>26</v>
      </c>
      <c r="H18" s="98"/>
      <c r="I18" s="110"/>
      <c r="J18" s="132">
        <f>G108</f>
        <v>794.2929129921259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4" t="s">
        <v>27</v>
      </c>
      <c r="C20" s="113"/>
      <c r="D20" s="113"/>
      <c r="E20" s="346"/>
      <c r="F20" s="346"/>
      <c r="G20" s="115"/>
      <c r="H20" s="116"/>
      <c r="I20" s="123"/>
      <c r="J20" s="117"/>
      <c r="K20" s="16"/>
    </row>
    <row r="21" spans="2:11" s="3" customFormat="1" ht="18" customHeight="1">
      <c r="B21" s="165" t="s">
        <v>7</v>
      </c>
      <c r="C21" s="166"/>
      <c r="D21" s="166"/>
      <c r="E21" s="179" t="s">
        <v>34</v>
      </c>
      <c r="F21" s="178"/>
      <c r="G21" s="133" t="s">
        <v>5</v>
      </c>
      <c r="H21" s="134" t="s">
        <v>6</v>
      </c>
      <c r="I21" s="135" t="s">
        <v>39</v>
      </c>
      <c r="J21" s="136" t="s">
        <v>1</v>
      </c>
      <c r="K21" s="16"/>
    </row>
    <row r="22" spans="2:10" s="3" customFormat="1" ht="18">
      <c r="B22" s="244" t="s">
        <v>90</v>
      </c>
      <c r="C22" s="232"/>
      <c r="D22" s="245"/>
      <c r="E22" s="192" t="s">
        <v>133</v>
      </c>
      <c r="F22" s="271"/>
      <c r="G22" s="265">
        <v>400</v>
      </c>
      <c r="H22" s="233" t="s">
        <v>113</v>
      </c>
      <c r="I22" s="264">
        <v>1000</v>
      </c>
      <c r="J22" s="147">
        <f aca="true" t="shared" si="0" ref="J22:J30">G22*I22</f>
        <v>400000</v>
      </c>
    </row>
    <row r="23" spans="2:10" s="3" customFormat="1" ht="18">
      <c r="B23" s="244" t="s">
        <v>91</v>
      </c>
      <c r="C23" s="232"/>
      <c r="D23" s="245"/>
      <c r="E23" s="192" t="s">
        <v>132</v>
      </c>
      <c r="F23" s="271"/>
      <c r="G23" s="265">
        <v>5</v>
      </c>
      <c r="H23" s="249" t="s">
        <v>67</v>
      </c>
      <c r="I23" s="264">
        <f>$E$15</f>
        <v>20000</v>
      </c>
      <c r="J23" s="10">
        <f>G23*I23</f>
        <v>100000</v>
      </c>
    </row>
    <row r="24" spans="2:10" s="3" customFormat="1" ht="18">
      <c r="B24" s="242" t="s">
        <v>100</v>
      </c>
      <c r="C24" s="243"/>
      <c r="D24" s="250"/>
      <c r="E24" s="192" t="s">
        <v>131</v>
      </c>
      <c r="F24" s="271"/>
      <c r="G24" s="265">
        <v>10</v>
      </c>
      <c r="H24" s="249" t="s">
        <v>67</v>
      </c>
      <c r="I24" s="264">
        <f aca="true" t="shared" si="1" ref="I24:I30">$E$15</f>
        <v>20000</v>
      </c>
      <c r="J24" s="10">
        <f>G24*I24</f>
        <v>200000</v>
      </c>
    </row>
    <row r="25" spans="2:10" s="3" customFormat="1" ht="18">
      <c r="B25" s="244" t="s">
        <v>92</v>
      </c>
      <c r="C25" s="232"/>
      <c r="D25" s="245"/>
      <c r="E25" s="192" t="s">
        <v>130</v>
      </c>
      <c r="F25" s="271"/>
      <c r="G25" s="265">
        <v>2</v>
      </c>
      <c r="H25" s="249" t="s">
        <v>67</v>
      </c>
      <c r="I25" s="264">
        <f t="shared" si="1"/>
        <v>20000</v>
      </c>
      <c r="J25" s="10">
        <f>G25*I25</f>
        <v>40000</v>
      </c>
    </row>
    <row r="26" spans="2:10" s="3" customFormat="1" ht="18">
      <c r="B26" s="244" t="s">
        <v>103</v>
      </c>
      <c r="C26" s="232"/>
      <c r="D26" s="245"/>
      <c r="E26" s="192" t="s">
        <v>129</v>
      </c>
      <c r="F26" s="271"/>
      <c r="G26" s="265">
        <v>2</v>
      </c>
      <c r="H26" s="249" t="s">
        <v>67</v>
      </c>
      <c r="I26" s="264">
        <f t="shared" si="1"/>
        <v>20000</v>
      </c>
      <c r="J26" s="10">
        <f>G26*I26</f>
        <v>40000</v>
      </c>
    </row>
    <row r="27" spans="2:10" s="3" customFormat="1" ht="18">
      <c r="B27" s="242" t="s">
        <v>93</v>
      </c>
      <c r="C27" s="243"/>
      <c r="D27" s="250"/>
      <c r="E27" s="192" t="s">
        <v>128</v>
      </c>
      <c r="F27" s="271"/>
      <c r="G27" s="265">
        <v>3</v>
      </c>
      <c r="H27" s="249" t="s">
        <v>67</v>
      </c>
      <c r="I27" s="264">
        <f t="shared" si="1"/>
        <v>20000</v>
      </c>
      <c r="J27" s="10">
        <f t="shared" si="0"/>
        <v>60000</v>
      </c>
    </row>
    <row r="28" spans="2:10" s="3" customFormat="1" ht="18">
      <c r="B28" s="244" t="s">
        <v>94</v>
      </c>
      <c r="C28" s="235"/>
      <c r="D28" s="251"/>
      <c r="E28" s="192" t="s">
        <v>109</v>
      </c>
      <c r="F28" s="271"/>
      <c r="G28" s="265">
        <v>9</v>
      </c>
      <c r="H28" s="249" t="s">
        <v>67</v>
      </c>
      <c r="I28" s="264">
        <f t="shared" si="1"/>
        <v>20000</v>
      </c>
      <c r="J28" s="10">
        <f t="shared" si="0"/>
        <v>180000</v>
      </c>
    </row>
    <row r="29" spans="2:10" s="3" customFormat="1" ht="18">
      <c r="B29" s="244" t="s">
        <v>95</v>
      </c>
      <c r="C29" s="235"/>
      <c r="D29" s="251"/>
      <c r="E29" s="192" t="s">
        <v>127</v>
      </c>
      <c r="F29" s="271"/>
      <c r="G29" s="265">
        <v>5</v>
      </c>
      <c r="H29" s="249" t="s">
        <v>67</v>
      </c>
      <c r="I29" s="264">
        <f t="shared" si="1"/>
        <v>20000</v>
      </c>
      <c r="J29" s="10">
        <f t="shared" si="0"/>
        <v>100000</v>
      </c>
    </row>
    <row r="30" spans="2:10" s="3" customFormat="1" ht="18">
      <c r="B30" s="244" t="s">
        <v>96</v>
      </c>
      <c r="C30" s="232"/>
      <c r="D30" s="245"/>
      <c r="E30" s="192" t="s">
        <v>109</v>
      </c>
      <c r="F30" s="271"/>
      <c r="G30" s="265">
        <v>6</v>
      </c>
      <c r="H30" s="249" t="s">
        <v>67</v>
      </c>
      <c r="I30" s="264">
        <f t="shared" si="1"/>
        <v>20000</v>
      </c>
      <c r="J30" s="10">
        <f t="shared" si="0"/>
        <v>120000</v>
      </c>
    </row>
    <row r="31" spans="2:10" s="3" customFormat="1" ht="18">
      <c r="B31" s="169" t="s">
        <v>8</v>
      </c>
      <c r="C31" s="170"/>
      <c r="D31" s="170"/>
      <c r="E31" s="170"/>
      <c r="F31" s="170"/>
      <c r="G31" s="170"/>
      <c r="H31" s="170"/>
      <c r="I31" s="213"/>
      <c r="J31" s="99">
        <f>SUM(J22:J30)</f>
        <v>1240000</v>
      </c>
    </row>
    <row r="32" spans="2:10" s="3" customFormat="1" ht="18">
      <c r="B32" s="83"/>
      <c r="C32" s="83"/>
      <c r="D32" s="83"/>
      <c r="E32" s="83"/>
      <c r="F32" s="83"/>
      <c r="G32" s="25"/>
      <c r="H32" s="83"/>
      <c r="I32" s="22"/>
      <c r="J32" s="27"/>
    </row>
    <row r="33" spans="2:11" s="28" customFormat="1" ht="18" customHeight="1">
      <c r="B33" s="165" t="s">
        <v>118</v>
      </c>
      <c r="C33" s="166"/>
      <c r="D33" s="166"/>
      <c r="E33" s="179" t="s">
        <v>34</v>
      </c>
      <c r="F33" s="179"/>
      <c r="G33" s="133" t="s">
        <v>5</v>
      </c>
      <c r="H33" s="134" t="s">
        <v>6</v>
      </c>
      <c r="I33" s="214" t="s">
        <v>39</v>
      </c>
      <c r="J33" s="136" t="s">
        <v>1</v>
      </c>
      <c r="K33" s="3"/>
    </row>
    <row r="34" spans="2:10" s="3" customFormat="1" ht="18">
      <c r="B34" s="240" t="s">
        <v>86</v>
      </c>
      <c r="C34" s="241"/>
      <c r="D34" s="241"/>
      <c r="E34" s="272" t="s">
        <v>126</v>
      </c>
      <c r="F34" s="273"/>
      <c r="G34" s="266">
        <v>10</v>
      </c>
      <c r="H34" s="226" t="s">
        <v>36</v>
      </c>
      <c r="I34" s="257">
        <v>35000</v>
      </c>
      <c r="J34" s="195">
        <f aca="true" t="shared" si="2" ref="J34:J41">G34*I34</f>
        <v>350000</v>
      </c>
    </row>
    <row r="35" spans="2:10" s="3" customFormat="1" ht="18">
      <c r="B35" s="242" t="s">
        <v>79</v>
      </c>
      <c r="C35" s="243"/>
      <c r="D35" s="243"/>
      <c r="E35" s="192" t="s">
        <v>125</v>
      </c>
      <c r="F35" s="271"/>
      <c r="G35" s="267">
        <v>1</v>
      </c>
      <c r="H35" s="226" t="s">
        <v>36</v>
      </c>
      <c r="I35" s="227">
        <v>35000</v>
      </c>
      <c r="J35" s="196">
        <f t="shared" si="2"/>
        <v>35000</v>
      </c>
    </row>
    <row r="36" spans="2:10" s="3" customFormat="1" ht="18">
      <c r="B36" s="242" t="s">
        <v>80</v>
      </c>
      <c r="C36" s="243"/>
      <c r="D36" s="243"/>
      <c r="E36" s="192" t="s">
        <v>125</v>
      </c>
      <c r="F36" s="271"/>
      <c r="G36" s="267">
        <v>1</v>
      </c>
      <c r="H36" s="226" t="s">
        <v>36</v>
      </c>
      <c r="I36" s="227">
        <v>15000</v>
      </c>
      <c r="J36" s="196">
        <f t="shared" si="2"/>
        <v>15000</v>
      </c>
    </row>
    <row r="37" spans="2:10" s="3" customFormat="1" ht="18">
      <c r="B37" s="242" t="s">
        <v>87</v>
      </c>
      <c r="C37" s="243"/>
      <c r="D37" s="243"/>
      <c r="E37" s="192" t="s">
        <v>124</v>
      </c>
      <c r="F37" s="271"/>
      <c r="G37" s="267">
        <v>2</v>
      </c>
      <c r="H37" s="226" t="s">
        <v>36</v>
      </c>
      <c r="I37" s="227">
        <v>45000</v>
      </c>
      <c r="J37" s="196">
        <f t="shared" si="2"/>
        <v>90000</v>
      </c>
    </row>
    <row r="38" spans="2:10" s="3" customFormat="1" ht="18">
      <c r="B38" s="262" t="s">
        <v>104</v>
      </c>
      <c r="C38" s="243"/>
      <c r="D38" s="243"/>
      <c r="E38" s="192" t="s">
        <v>122</v>
      </c>
      <c r="F38" s="271"/>
      <c r="G38" s="267">
        <v>1</v>
      </c>
      <c r="H38" s="226" t="s">
        <v>36</v>
      </c>
      <c r="I38" s="227">
        <v>500000</v>
      </c>
      <c r="J38" s="196">
        <f t="shared" si="2"/>
        <v>500000</v>
      </c>
    </row>
    <row r="39" spans="2:10" s="3" customFormat="1" ht="18">
      <c r="B39" s="262" t="s">
        <v>105</v>
      </c>
      <c r="C39" s="243"/>
      <c r="D39" s="243"/>
      <c r="E39" s="192" t="s">
        <v>123</v>
      </c>
      <c r="F39" s="271"/>
      <c r="G39" s="267">
        <f>E13*3</f>
        <v>19050</v>
      </c>
      <c r="H39" s="226" t="s">
        <v>37</v>
      </c>
      <c r="I39" s="227">
        <v>4</v>
      </c>
      <c r="J39" s="196">
        <f>G39*I39</f>
        <v>76200</v>
      </c>
    </row>
    <row r="40" spans="2:10" s="3" customFormat="1" ht="18">
      <c r="B40" s="244" t="s">
        <v>88</v>
      </c>
      <c r="C40" s="232"/>
      <c r="D40" s="245"/>
      <c r="E40" s="192" t="s">
        <v>122</v>
      </c>
      <c r="F40" s="271"/>
      <c r="G40" s="267">
        <f>E13*3</f>
        <v>19050</v>
      </c>
      <c r="H40" s="226" t="s">
        <v>37</v>
      </c>
      <c r="I40" s="227">
        <v>7</v>
      </c>
      <c r="J40" s="196">
        <f t="shared" si="2"/>
        <v>133350</v>
      </c>
    </row>
    <row r="41" spans="2:10" s="3" customFormat="1" ht="18">
      <c r="B41" s="246" t="s">
        <v>89</v>
      </c>
      <c r="C41" s="247"/>
      <c r="D41" s="248"/>
      <c r="E41" s="192" t="s">
        <v>109</v>
      </c>
      <c r="F41" s="271"/>
      <c r="G41" s="267">
        <f>E13</f>
        <v>6350</v>
      </c>
      <c r="H41" s="226" t="s">
        <v>83</v>
      </c>
      <c r="I41" s="227">
        <v>7</v>
      </c>
      <c r="J41" s="197">
        <f t="shared" si="2"/>
        <v>44450</v>
      </c>
    </row>
    <row r="42" spans="2:12" s="3" customFormat="1" ht="15.75" customHeight="1">
      <c r="B42" s="169" t="s">
        <v>10</v>
      </c>
      <c r="C42" s="170"/>
      <c r="D42" s="170"/>
      <c r="E42" s="170"/>
      <c r="F42" s="170"/>
      <c r="G42" s="170"/>
      <c r="H42" s="170"/>
      <c r="I42" s="213"/>
      <c r="J42" s="118">
        <f>SUM(J34:J41)</f>
        <v>1244000</v>
      </c>
      <c r="L42" s="16"/>
    </row>
    <row r="43" spans="2:12" s="3" customFormat="1" ht="18">
      <c r="B43" s="83"/>
      <c r="C43" s="83"/>
      <c r="D43" s="83"/>
      <c r="E43" s="83"/>
      <c r="F43" s="83"/>
      <c r="G43" s="25"/>
      <c r="H43" s="83"/>
      <c r="I43" s="22"/>
      <c r="J43" s="27"/>
      <c r="L43" s="19"/>
    </row>
    <row r="44" spans="2:12" s="3" customFormat="1" ht="18" customHeight="1">
      <c r="B44" s="165" t="s">
        <v>119</v>
      </c>
      <c r="C44" s="166"/>
      <c r="D44" s="166"/>
      <c r="E44" s="179" t="s">
        <v>34</v>
      </c>
      <c r="F44" s="179"/>
      <c r="G44" s="133" t="s">
        <v>5</v>
      </c>
      <c r="H44" s="134" t="s">
        <v>6</v>
      </c>
      <c r="I44" s="214" t="s">
        <v>39</v>
      </c>
      <c r="J44" s="136" t="s">
        <v>1</v>
      </c>
      <c r="L44" s="24"/>
    </row>
    <row r="45" spans="2:12" s="3" customFormat="1" ht="18">
      <c r="B45" s="186" t="s">
        <v>24</v>
      </c>
      <c r="C45" s="143"/>
      <c r="D45" s="143"/>
      <c r="E45" s="208"/>
      <c r="F45" s="209"/>
      <c r="G45" s="139"/>
      <c r="H45" s="137"/>
      <c r="I45" s="121"/>
      <c r="J45" s="121"/>
      <c r="L45" s="24"/>
    </row>
    <row r="46" spans="2:12" s="3" customFormat="1" ht="18">
      <c r="B46" s="258" t="s">
        <v>136</v>
      </c>
      <c r="C46" s="216"/>
      <c r="D46" s="189"/>
      <c r="E46" s="182" t="s">
        <v>68</v>
      </c>
      <c r="F46" s="183"/>
      <c r="G46" s="220">
        <v>25</v>
      </c>
      <c r="H46" s="137" t="s">
        <v>37</v>
      </c>
      <c r="I46" s="222">
        <v>882</v>
      </c>
      <c r="J46" s="121">
        <f>G46*I46</f>
        <v>22050</v>
      </c>
      <c r="L46" s="24"/>
    </row>
    <row r="47" spans="2:12" s="3" customFormat="1" ht="18">
      <c r="B47" s="258" t="s">
        <v>106</v>
      </c>
      <c r="C47" s="217"/>
      <c r="D47" s="189"/>
      <c r="E47" s="182" t="s">
        <v>97</v>
      </c>
      <c r="F47" s="183"/>
      <c r="G47" s="226">
        <v>300</v>
      </c>
      <c r="H47" s="137" t="s">
        <v>37</v>
      </c>
      <c r="I47" s="222">
        <v>652</v>
      </c>
      <c r="J47" s="121">
        <f>G47*I47</f>
        <v>195600</v>
      </c>
      <c r="L47" s="24"/>
    </row>
    <row r="48" spans="2:12" s="3" customFormat="1" ht="18">
      <c r="B48" s="258" t="s">
        <v>107</v>
      </c>
      <c r="C48" s="218"/>
      <c r="D48" s="253"/>
      <c r="E48" s="182" t="s">
        <v>81</v>
      </c>
      <c r="F48" s="183"/>
      <c r="G48" s="226">
        <v>300</v>
      </c>
      <c r="H48" s="223" t="s">
        <v>37</v>
      </c>
      <c r="I48" s="228">
        <v>340</v>
      </c>
      <c r="J48" s="121">
        <f>G48*I48</f>
        <v>102000</v>
      </c>
      <c r="L48" s="24"/>
    </row>
    <row r="49" spans="2:12" s="3" customFormat="1" ht="18">
      <c r="B49" s="258" t="s">
        <v>135</v>
      </c>
      <c r="C49" s="219"/>
      <c r="D49" s="189"/>
      <c r="E49" s="182" t="s">
        <v>81</v>
      </c>
      <c r="F49" s="183"/>
      <c r="G49" s="221">
        <v>200</v>
      </c>
      <c r="H49" s="137" t="s">
        <v>56</v>
      </c>
      <c r="I49" s="222">
        <v>309</v>
      </c>
      <c r="J49" s="121">
        <f>G49*I49</f>
        <v>61800</v>
      </c>
      <c r="L49" s="24"/>
    </row>
    <row r="50" spans="2:12" s="3" customFormat="1" ht="18">
      <c r="B50" s="186" t="s">
        <v>59</v>
      </c>
      <c r="C50" s="188"/>
      <c r="D50" s="193"/>
      <c r="E50" s="199"/>
      <c r="F50" s="200"/>
      <c r="G50" s="187"/>
      <c r="H50" s="137"/>
      <c r="I50" s="215"/>
      <c r="J50" s="121"/>
      <c r="L50" s="24"/>
    </row>
    <row r="51" spans="2:12" s="3" customFormat="1" ht="18">
      <c r="B51" s="258" t="s">
        <v>137</v>
      </c>
      <c r="C51" s="218"/>
      <c r="D51" s="253"/>
      <c r="E51" s="182" t="s">
        <v>65</v>
      </c>
      <c r="F51" s="183"/>
      <c r="G51" s="229">
        <v>5</v>
      </c>
      <c r="H51" s="230" t="s">
        <v>56</v>
      </c>
      <c r="I51" s="231">
        <v>5541</v>
      </c>
      <c r="J51" s="121">
        <f aca="true" t="shared" si="3" ref="J51:J56">G51*I51</f>
        <v>27705</v>
      </c>
      <c r="L51" s="24"/>
    </row>
    <row r="52" spans="2:12" s="3" customFormat="1" ht="18">
      <c r="B52" s="258" t="s">
        <v>138</v>
      </c>
      <c r="C52" s="185"/>
      <c r="D52" s="259"/>
      <c r="E52" s="260"/>
      <c r="F52" s="237"/>
      <c r="G52" s="229">
        <v>4</v>
      </c>
      <c r="H52" s="230" t="s">
        <v>37</v>
      </c>
      <c r="I52" s="263">
        <v>11500</v>
      </c>
      <c r="J52" s="121">
        <f t="shared" si="3"/>
        <v>46000</v>
      </c>
      <c r="L52" s="24"/>
    </row>
    <row r="53" spans="2:12" s="3" customFormat="1" ht="18">
      <c r="B53" s="258" t="s">
        <v>139</v>
      </c>
      <c r="C53" s="185"/>
      <c r="D53" s="259"/>
      <c r="E53" s="182" t="s">
        <v>69</v>
      </c>
      <c r="F53" s="183"/>
      <c r="G53" s="229">
        <v>12</v>
      </c>
      <c r="H53" s="230" t="s">
        <v>56</v>
      </c>
      <c r="I53" s="263">
        <v>7800</v>
      </c>
      <c r="J53" s="121">
        <f t="shared" si="3"/>
        <v>93600</v>
      </c>
      <c r="L53" s="24"/>
    </row>
    <row r="54" spans="2:12" s="3" customFormat="1" ht="18">
      <c r="B54" s="258" t="s">
        <v>140</v>
      </c>
      <c r="C54" s="185"/>
      <c r="D54" s="259"/>
      <c r="E54" s="260"/>
      <c r="F54" s="237"/>
      <c r="G54" s="229">
        <v>3</v>
      </c>
      <c r="H54" s="230" t="s">
        <v>56</v>
      </c>
      <c r="I54" s="263">
        <v>4954</v>
      </c>
      <c r="J54" s="121">
        <f t="shared" si="3"/>
        <v>14862</v>
      </c>
      <c r="L54" s="24"/>
    </row>
    <row r="55" spans="2:12" s="3" customFormat="1" ht="18">
      <c r="B55" s="258" t="s">
        <v>141</v>
      </c>
      <c r="C55" s="185"/>
      <c r="D55" s="256"/>
      <c r="E55" s="236" t="s">
        <v>101</v>
      </c>
      <c r="F55" s="237"/>
      <c r="G55" s="229">
        <v>3</v>
      </c>
      <c r="H55" s="230" t="s">
        <v>37</v>
      </c>
      <c r="I55" s="263">
        <v>3250</v>
      </c>
      <c r="J55" s="121">
        <f t="shared" si="3"/>
        <v>9750</v>
      </c>
      <c r="L55" s="24"/>
    </row>
    <row r="56" spans="2:12" s="3" customFormat="1" ht="18">
      <c r="B56" s="258" t="s">
        <v>142</v>
      </c>
      <c r="C56" s="218"/>
      <c r="D56" s="253"/>
      <c r="E56" s="182" t="s">
        <v>65</v>
      </c>
      <c r="F56" s="183"/>
      <c r="G56" s="229">
        <v>2</v>
      </c>
      <c r="H56" s="230" t="s">
        <v>37</v>
      </c>
      <c r="I56" s="231">
        <v>2800</v>
      </c>
      <c r="J56" s="121">
        <f t="shared" si="3"/>
        <v>5600</v>
      </c>
      <c r="L56" s="24"/>
    </row>
    <row r="57" spans="2:12" s="3" customFormat="1" ht="18">
      <c r="B57" s="186" t="s">
        <v>50</v>
      </c>
      <c r="C57" s="188"/>
      <c r="D57" s="256"/>
      <c r="E57" s="182"/>
      <c r="F57" s="183"/>
      <c r="G57" s="139"/>
      <c r="H57" s="137"/>
      <c r="I57" s="121"/>
      <c r="J57" s="121"/>
      <c r="L57" s="24"/>
    </row>
    <row r="58" spans="2:12" s="3" customFormat="1" ht="18">
      <c r="B58" s="258" t="s">
        <v>143</v>
      </c>
      <c r="C58" s="232"/>
      <c r="D58" s="253"/>
      <c r="E58" s="182" t="s">
        <v>82</v>
      </c>
      <c r="F58" s="183"/>
      <c r="G58" s="187">
        <v>15</v>
      </c>
      <c r="H58" s="233" t="s">
        <v>37</v>
      </c>
      <c r="I58" s="231">
        <v>9700</v>
      </c>
      <c r="J58" s="121">
        <f>G58*I58</f>
        <v>145500</v>
      </c>
      <c r="L58" s="24"/>
    </row>
    <row r="59" spans="2:12" s="3" customFormat="1" ht="18">
      <c r="B59" s="258" t="s">
        <v>144</v>
      </c>
      <c r="C59" s="219"/>
      <c r="D59" s="256"/>
      <c r="E59" s="182" t="s">
        <v>78</v>
      </c>
      <c r="F59" s="183"/>
      <c r="G59" s="221">
        <v>5</v>
      </c>
      <c r="H59" s="223" t="s">
        <v>56</v>
      </c>
      <c r="I59" s="222">
        <v>1790</v>
      </c>
      <c r="J59" s="121">
        <f>G59*I59</f>
        <v>8950</v>
      </c>
      <c r="L59" s="24"/>
    </row>
    <row r="60" spans="2:12" s="3" customFormat="1" ht="18">
      <c r="B60" s="258" t="s">
        <v>145</v>
      </c>
      <c r="C60" s="234"/>
      <c r="D60" s="253"/>
      <c r="E60" s="182" t="s">
        <v>65</v>
      </c>
      <c r="F60" s="183"/>
      <c r="G60" s="187">
        <v>25</v>
      </c>
      <c r="H60" s="233" t="s">
        <v>56</v>
      </c>
      <c r="I60" s="231">
        <v>1696</v>
      </c>
      <c r="J60" s="121">
        <f>G60*I60</f>
        <v>42400</v>
      </c>
      <c r="L60" s="24"/>
    </row>
    <row r="61" spans="2:12" s="3" customFormat="1" ht="18">
      <c r="B61" s="258" t="s">
        <v>146</v>
      </c>
      <c r="C61" s="234"/>
      <c r="D61" s="253"/>
      <c r="E61" s="182" t="s">
        <v>70</v>
      </c>
      <c r="F61" s="183"/>
      <c r="G61" s="187">
        <v>1</v>
      </c>
      <c r="H61" s="233" t="s">
        <v>56</v>
      </c>
      <c r="I61" s="231">
        <v>79200</v>
      </c>
      <c r="J61" s="121">
        <f>G61*I61</f>
        <v>79200</v>
      </c>
      <c r="L61" s="24"/>
    </row>
    <row r="62" spans="2:12" s="3" customFormat="1" ht="18">
      <c r="B62" s="142" t="s">
        <v>25</v>
      </c>
      <c r="C62" s="143"/>
      <c r="D62" s="143"/>
      <c r="E62" s="182"/>
      <c r="F62" s="183"/>
      <c r="G62" s="139"/>
      <c r="H62" s="137"/>
      <c r="I62" s="121"/>
      <c r="J62" s="121"/>
      <c r="L62" s="24"/>
    </row>
    <row r="63" spans="2:12" s="3" customFormat="1" ht="18">
      <c r="B63" s="258" t="s">
        <v>148</v>
      </c>
      <c r="C63" s="234"/>
      <c r="D63" s="253"/>
      <c r="E63" s="236" t="s">
        <v>78</v>
      </c>
      <c r="F63" s="237"/>
      <c r="G63" s="229">
        <v>30</v>
      </c>
      <c r="H63" s="230" t="s">
        <v>56</v>
      </c>
      <c r="I63" s="231">
        <v>1260</v>
      </c>
      <c r="J63" s="121">
        <f>G63*I63</f>
        <v>37800</v>
      </c>
      <c r="L63" s="24"/>
    </row>
    <row r="64" spans="2:12" s="3" customFormat="1" ht="18">
      <c r="B64" s="258" t="s">
        <v>147</v>
      </c>
      <c r="C64" s="219"/>
      <c r="D64" s="143"/>
      <c r="E64" s="182" t="s">
        <v>98</v>
      </c>
      <c r="F64" s="183"/>
      <c r="G64" s="221">
        <v>2</v>
      </c>
      <c r="H64" s="223" t="s">
        <v>56</v>
      </c>
      <c r="I64" s="222">
        <v>11475</v>
      </c>
      <c r="J64" s="121">
        <f>G64*I64</f>
        <v>22950</v>
      </c>
      <c r="L64" s="24"/>
    </row>
    <row r="65" spans="2:12" s="3" customFormat="1" ht="18">
      <c r="B65" s="258" t="s">
        <v>149</v>
      </c>
      <c r="C65" s="219"/>
      <c r="D65" s="141"/>
      <c r="E65" s="182" t="s">
        <v>71</v>
      </c>
      <c r="F65" s="183"/>
      <c r="G65" s="221">
        <v>0.6</v>
      </c>
      <c r="H65" s="223" t="s">
        <v>56</v>
      </c>
      <c r="I65" s="222">
        <v>35920</v>
      </c>
      <c r="J65" s="121">
        <f>G65*I65</f>
        <v>21552</v>
      </c>
      <c r="L65" s="24"/>
    </row>
    <row r="66" spans="2:12" s="3" customFormat="1" ht="18">
      <c r="B66" s="198" t="s">
        <v>49</v>
      </c>
      <c r="C66" s="189"/>
      <c r="D66" s="189"/>
      <c r="E66" s="182"/>
      <c r="F66" s="183"/>
      <c r="G66" s="144"/>
      <c r="H66" s="138"/>
      <c r="I66" s="121"/>
      <c r="J66" s="121"/>
      <c r="L66" s="24"/>
    </row>
    <row r="67" spans="2:12" s="3" customFormat="1" ht="18">
      <c r="B67" s="258" t="s">
        <v>150</v>
      </c>
      <c r="C67" s="219"/>
      <c r="D67" s="219"/>
      <c r="E67" s="182" t="s">
        <v>72</v>
      </c>
      <c r="F67" s="183"/>
      <c r="G67" s="221">
        <v>5</v>
      </c>
      <c r="H67" s="223" t="s">
        <v>56</v>
      </c>
      <c r="I67" s="222">
        <v>8900</v>
      </c>
      <c r="J67" s="121">
        <f>G67*I67</f>
        <v>44500</v>
      </c>
      <c r="L67" s="24"/>
    </row>
    <row r="68" spans="2:12" s="3" customFormat="1" ht="19.5" customHeight="1">
      <c r="B68" s="258" t="s">
        <v>151</v>
      </c>
      <c r="C68" s="219"/>
      <c r="D68" s="219"/>
      <c r="E68" s="182" t="s">
        <v>73</v>
      </c>
      <c r="F68" s="183"/>
      <c r="G68" s="221">
        <v>4</v>
      </c>
      <c r="H68" s="223" t="s">
        <v>56</v>
      </c>
      <c r="I68" s="222">
        <v>4034</v>
      </c>
      <c r="J68" s="121">
        <f>G68*I68</f>
        <v>16136</v>
      </c>
      <c r="L68" s="24"/>
    </row>
    <row r="69" spans="2:12" s="3" customFormat="1" ht="18">
      <c r="B69" s="142" t="s">
        <v>54</v>
      </c>
      <c r="C69" s="141"/>
      <c r="D69" s="141"/>
      <c r="E69" s="182"/>
      <c r="F69" s="183"/>
      <c r="G69" s="144"/>
      <c r="H69" s="138"/>
      <c r="I69" s="121"/>
      <c r="J69" s="121"/>
      <c r="L69" s="24"/>
    </row>
    <row r="70" spans="2:12" s="3" customFormat="1" ht="18">
      <c r="B70" s="258" t="s">
        <v>152</v>
      </c>
      <c r="C70" s="224"/>
      <c r="D70" s="224"/>
      <c r="E70" s="182" t="s">
        <v>102</v>
      </c>
      <c r="F70" s="225"/>
      <c r="G70" s="220">
        <v>1</v>
      </c>
      <c r="H70" s="138" t="s">
        <v>36</v>
      </c>
      <c r="I70" s="222">
        <v>150000</v>
      </c>
      <c r="J70" s="121">
        <f aca="true" t="shared" si="4" ref="J70:J77">G70*I70</f>
        <v>150000</v>
      </c>
      <c r="L70" s="24"/>
    </row>
    <row r="71" spans="2:12" s="3" customFormat="1" ht="18">
      <c r="B71" s="258" t="s">
        <v>112</v>
      </c>
      <c r="C71" s="224"/>
      <c r="D71" s="224"/>
      <c r="E71" s="182" t="s">
        <v>84</v>
      </c>
      <c r="F71" s="225"/>
      <c r="G71" s="220">
        <v>1</v>
      </c>
      <c r="H71" s="138" t="s">
        <v>57</v>
      </c>
      <c r="I71" s="222">
        <v>70000</v>
      </c>
      <c r="J71" s="121">
        <f>G71*I71</f>
        <v>70000</v>
      </c>
      <c r="L71" s="24"/>
    </row>
    <row r="72" spans="2:12" s="3" customFormat="1" ht="18">
      <c r="B72" s="258" t="s">
        <v>111</v>
      </c>
      <c r="C72" s="224"/>
      <c r="D72" s="224"/>
      <c r="E72" s="182" t="s">
        <v>66</v>
      </c>
      <c r="F72" s="225"/>
      <c r="G72" s="220">
        <v>8</v>
      </c>
      <c r="H72" s="138" t="s">
        <v>57</v>
      </c>
      <c r="I72" s="222">
        <v>12000</v>
      </c>
      <c r="J72" s="121">
        <f t="shared" si="4"/>
        <v>96000</v>
      </c>
      <c r="L72" s="24"/>
    </row>
    <row r="73" spans="2:12" s="3" customFormat="1" ht="18">
      <c r="B73" s="258" t="s">
        <v>110</v>
      </c>
      <c r="C73" s="224"/>
      <c r="D73" s="224"/>
      <c r="E73" s="182" t="s">
        <v>74</v>
      </c>
      <c r="F73" s="225"/>
      <c r="G73" s="220">
        <v>3</v>
      </c>
      <c r="H73" s="138" t="s">
        <v>57</v>
      </c>
      <c r="I73" s="222">
        <v>3000</v>
      </c>
      <c r="J73" s="121">
        <f t="shared" si="4"/>
        <v>9000</v>
      </c>
      <c r="L73" s="24"/>
    </row>
    <row r="74" spans="2:12" s="3" customFormat="1" ht="18">
      <c r="B74" s="258" t="s">
        <v>153</v>
      </c>
      <c r="C74" s="254"/>
      <c r="D74" s="255"/>
      <c r="E74" s="192" t="s">
        <v>108</v>
      </c>
      <c r="F74" s="271"/>
      <c r="G74" s="229">
        <v>10</v>
      </c>
      <c r="H74" s="138" t="s">
        <v>57</v>
      </c>
      <c r="I74" s="261">
        <v>16000</v>
      </c>
      <c r="J74" s="152">
        <f t="shared" si="4"/>
        <v>160000</v>
      </c>
      <c r="L74" s="24"/>
    </row>
    <row r="75" spans="2:12" s="3" customFormat="1" ht="18">
      <c r="B75" s="258" t="s">
        <v>154</v>
      </c>
      <c r="C75" s="254"/>
      <c r="D75" s="255"/>
      <c r="E75" s="192" t="s">
        <v>109</v>
      </c>
      <c r="F75" s="271"/>
      <c r="G75" s="229">
        <v>200</v>
      </c>
      <c r="H75" s="230" t="s">
        <v>99</v>
      </c>
      <c r="I75" s="261">
        <v>1200</v>
      </c>
      <c r="J75" s="152">
        <f t="shared" si="4"/>
        <v>240000</v>
      </c>
      <c r="L75" s="24"/>
    </row>
    <row r="76" spans="2:12" s="3" customFormat="1" ht="18">
      <c r="B76" s="258" t="s">
        <v>155</v>
      </c>
      <c r="C76" s="224"/>
      <c r="D76" s="224"/>
      <c r="E76" s="182" t="s">
        <v>74</v>
      </c>
      <c r="F76" s="225"/>
      <c r="G76" s="220">
        <v>170</v>
      </c>
      <c r="H76" s="138" t="s">
        <v>57</v>
      </c>
      <c r="I76" s="222">
        <v>1000</v>
      </c>
      <c r="J76" s="121">
        <f t="shared" si="4"/>
        <v>170000</v>
      </c>
      <c r="L76" s="24"/>
    </row>
    <row r="77" spans="2:12" s="3" customFormat="1" ht="18" customHeight="1">
      <c r="B77" s="258" t="s">
        <v>157</v>
      </c>
      <c r="C77" s="224"/>
      <c r="D77" s="224"/>
      <c r="E77" s="182" t="s">
        <v>75</v>
      </c>
      <c r="F77" s="183"/>
      <c r="G77" s="220">
        <v>1</v>
      </c>
      <c r="H77" s="138" t="s">
        <v>36</v>
      </c>
      <c r="I77" s="222">
        <v>30000</v>
      </c>
      <c r="J77" s="125">
        <f t="shared" si="4"/>
        <v>30000</v>
      </c>
      <c r="L77" s="24"/>
    </row>
    <row r="78" spans="2:14" s="3" customFormat="1" ht="18">
      <c r="B78" s="163" t="s">
        <v>11</v>
      </c>
      <c r="C78" s="164"/>
      <c r="D78" s="164"/>
      <c r="E78" s="164"/>
      <c r="F78" s="164"/>
      <c r="G78" s="164"/>
      <c r="H78" s="164"/>
      <c r="I78" s="164"/>
      <c r="J78" s="119">
        <f>SUM(J45:J77)</f>
        <v>1922955</v>
      </c>
      <c r="K78" s="16"/>
      <c r="M78" s="16"/>
      <c r="N78" s="16"/>
    </row>
    <row r="79" spans="2:14" s="3" customFormat="1" ht="18">
      <c r="B79" s="29"/>
      <c r="C79" s="29"/>
      <c r="D79" s="29"/>
      <c r="E79" s="29"/>
      <c r="F79" s="29"/>
      <c r="G79" s="30"/>
      <c r="H79" s="29"/>
      <c r="I79" s="29"/>
      <c r="J79" s="31"/>
      <c r="K79" s="16"/>
      <c r="M79" s="16"/>
      <c r="N79" s="16"/>
    </row>
    <row r="80" spans="2:16" s="3" customFormat="1" ht="18" customHeight="1">
      <c r="B80" s="165" t="s">
        <v>40</v>
      </c>
      <c r="C80" s="166"/>
      <c r="D80" s="166"/>
      <c r="E80" s="177"/>
      <c r="F80" s="177"/>
      <c r="G80" s="133" t="s">
        <v>5</v>
      </c>
      <c r="H80" s="134" t="s">
        <v>6</v>
      </c>
      <c r="I80" s="135"/>
      <c r="J80" s="136" t="s">
        <v>1</v>
      </c>
      <c r="K80" s="16"/>
      <c r="M80" s="16"/>
      <c r="N80" s="16"/>
      <c r="O80" s="9"/>
      <c r="P80" s="9"/>
    </row>
    <row r="81" spans="2:14" s="3" customFormat="1" ht="18">
      <c r="B81" s="201" t="s">
        <v>48</v>
      </c>
      <c r="C81" s="202"/>
      <c r="D81" s="203"/>
      <c r="E81" s="204"/>
      <c r="F81" s="205"/>
      <c r="G81" s="274">
        <v>0.05</v>
      </c>
      <c r="H81" s="206" t="s">
        <v>35</v>
      </c>
      <c r="I81" s="207"/>
      <c r="J81" s="207">
        <f>(J31+J42+J78)*G81</f>
        <v>220347.75</v>
      </c>
      <c r="K81" s="16"/>
      <c r="M81" s="16"/>
      <c r="N81" s="16"/>
    </row>
    <row r="82" spans="11:14" s="3" customFormat="1" ht="18">
      <c r="K82" s="16"/>
      <c r="M82" s="16"/>
      <c r="N82" s="16"/>
    </row>
    <row r="83" spans="2:14" s="3" customFormat="1" ht="18">
      <c r="B83" s="167" t="s">
        <v>41</v>
      </c>
      <c r="C83" s="168"/>
      <c r="D83" s="168"/>
      <c r="E83" s="168"/>
      <c r="F83" s="168"/>
      <c r="G83" s="168"/>
      <c r="H83" s="168"/>
      <c r="I83" s="168"/>
      <c r="J83" s="99">
        <f>J31+J42+J78+J81</f>
        <v>4627302.75</v>
      </c>
      <c r="K83" s="16"/>
      <c r="M83" s="16"/>
      <c r="N83" s="16"/>
    </row>
    <row r="84" spans="2:14" s="3" customFormat="1" ht="18">
      <c r="B84" s="124"/>
      <c r="C84" s="124"/>
      <c r="D84" s="124"/>
      <c r="E84" s="124"/>
      <c r="F84" s="124"/>
      <c r="G84" s="32"/>
      <c r="H84" s="124"/>
      <c r="I84" s="124"/>
      <c r="J84" s="27"/>
      <c r="K84" s="16"/>
      <c r="M84" s="16"/>
      <c r="N84" s="16"/>
    </row>
    <row r="85" spans="2:14" s="3" customFormat="1" ht="20.25">
      <c r="B85" s="114" t="s">
        <v>43</v>
      </c>
      <c r="C85" s="113"/>
      <c r="D85" s="113"/>
      <c r="E85" s="20"/>
      <c r="F85" s="20"/>
      <c r="G85" s="21"/>
      <c r="H85" s="22"/>
      <c r="I85" s="23"/>
      <c r="J85" s="23"/>
      <c r="K85" s="16"/>
      <c r="M85" s="16"/>
      <c r="N85" s="16"/>
    </row>
    <row r="86" spans="2:14" s="3" customFormat="1" ht="18" customHeight="1">
      <c r="B86" s="275" t="s">
        <v>31</v>
      </c>
      <c r="C86" s="177"/>
      <c r="D86" s="177"/>
      <c r="E86" s="320"/>
      <c r="F86" s="320"/>
      <c r="G86" s="133" t="s">
        <v>5</v>
      </c>
      <c r="H86" s="134" t="s">
        <v>6</v>
      </c>
      <c r="I86" s="135"/>
      <c r="J86" s="136" t="s">
        <v>1</v>
      </c>
      <c r="K86" s="16"/>
      <c r="M86" s="16"/>
      <c r="N86" s="16"/>
    </row>
    <row r="87" spans="2:15" s="3" customFormat="1" ht="18" customHeight="1">
      <c r="B87" s="210" t="s">
        <v>120</v>
      </c>
      <c r="C87" s="158"/>
      <c r="D87" s="158"/>
      <c r="E87" s="180"/>
      <c r="F87" s="181"/>
      <c r="G87" s="145">
        <f>E16</f>
        <v>0.015</v>
      </c>
      <c r="H87" s="146" t="s">
        <v>35</v>
      </c>
      <c r="I87" s="160"/>
      <c r="J87" s="11">
        <f>J83*E16*E17*0.5</f>
        <v>416457.24749999994</v>
      </c>
      <c r="K87" s="16"/>
      <c r="L87" s="324"/>
      <c r="M87" s="324"/>
      <c r="N87" s="324"/>
      <c r="O87" s="324"/>
    </row>
    <row r="88" spans="2:18" ht="18" customHeight="1" outlineLevel="1">
      <c r="B88" s="140" t="s">
        <v>51</v>
      </c>
      <c r="C88" s="141"/>
      <c r="D88" s="141"/>
      <c r="E88" s="156"/>
      <c r="F88" s="150"/>
      <c r="G88" s="151"/>
      <c r="H88" s="158"/>
      <c r="I88" s="161"/>
      <c r="J88" s="152"/>
      <c r="L88"/>
      <c r="M88"/>
      <c r="N88"/>
      <c r="O88"/>
      <c r="P88"/>
      <c r="Q88"/>
      <c r="R88"/>
    </row>
    <row r="89" spans="2:18" ht="18" customHeight="1" outlineLevel="1">
      <c r="B89" s="140" t="s">
        <v>52</v>
      </c>
      <c r="C89" s="141"/>
      <c r="D89" s="141"/>
      <c r="E89" s="156"/>
      <c r="F89" s="150"/>
      <c r="G89" s="151"/>
      <c r="H89" s="158"/>
      <c r="I89" s="161"/>
      <c r="J89" s="152"/>
      <c r="L89"/>
      <c r="M89"/>
      <c r="N89"/>
      <c r="O89"/>
      <c r="P89"/>
      <c r="Q89"/>
      <c r="R89"/>
    </row>
    <row r="90" spans="2:18" ht="18" customHeight="1" outlineLevel="1">
      <c r="B90" s="81" t="s">
        <v>53</v>
      </c>
      <c r="C90" s="122"/>
      <c r="D90" s="122"/>
      <c r="E90" s="157"/>
      <c r="F90" s="153"/>
      <c r="G90" s="154"/>
      <c r="H90" s="159"/>
      <c r="I90" s="162"/>
      <c r="J90" s="155"/>
      <c r="L90"/>
      <c r="M90"/>
      <c r="N90"/>
      <c r="O90"/>
      <c r="P90"/>
      <c r="Q90"/>
      <c r="R90"/>
    </row>
    <row r="91" spans="2:14" ht="18">
      <c r="B91" s="169" t="s">
        <v>28</v>
      </c>
      <c r="C91" s="170"/>
      <c r="D91" s="170"/>
      <c r="E91" s="170"/>
      <c r="F91" s="170"/>
      <c r="G91" s="170"/>
      <c r="H91" s="170"/>
      <c r="I91" s="170"/>
      <c r="J91" s="99">
        <f>SUM(J87:J90)</f>
        <v>416457.24749999994</v>
      </c>
      <c r="K91" s="16"/>
      <c r="M91" s="16"/>
      <c r="N91" s="16"/>
    </row>
    <row r="92" spans="2:12" s="3" customFormat="1" ht="18">
      <c r="B92" s="83"/>
      <c r="C92" s="83"/>
      <c r="D92" s="83"/>
      <c r="E92" s="83"/>
      <c r="F92" s="83"/>
      <c r="G92" s="25"/>
      <c r="H92" s="83"/>
      <c r="I92" s="83"/>
      <c r="J92" s="27"/>
      <c r="K92" s="16"/>
      <c r="L92" s="16"/>
    </row>
    <row r="93" spans="2:12" ht="18">
      <c r="B93" s="171" t="s">
        <v>13</v>
      </c>
      <c r="C93" s="172"/>
      <c r="D93" s="172"/>
      <c r="E93" s="172"/>
      <c r="F93" s="172"/>
      <c r="G93" s="172"/>
      <c r="H93" s="172"/>
      <c r="I93" s="172"/>
      <c r="J93" s="175">
        <f>J83+J91</f>
        <v>5043759.9975</v>
      </c>
      <c r="K93" s="16"/>
      <c r="L93" s="16"/>
    </row>
    <row r="94" spans="2:12" s="3" customFormat="1" ht="18">
      <c r="B94" s="173"/>
      <c r="C94" s="174"/>
      <c r="D94" s="174"/>
      <c r="E94" s="174"/>
      <c r="F94" s="174"/>
      <c r="G94" s="174"/>
      <c r="H94" s="174"/>
      <c r="I94" s="174"/>
      <c r="J94" s="176"/>
      <c r="K94" s="16"/>
      <c r="L94" s="16"/>
    </row>
    <row r="95" spans="2:12" s="3" customFormat="1" ht="18" customHeight="1">
      <c r="B95" s="127"/>
      <c r="C95" s="127"/>
      <c r="D95" s="127"/>
      <c r="E95" s="127"/>
      <c r="F95" s="127"/>
      <c r="G95" s="127"/>
      <c r="H95" s="127"/>
      <c r="I95" s="127"/>
      <c r="J95" s="128"/>
      <c r="K95" s="16"/>
      <c r="L95" s="16"/>
    </row>
    <row r="96" spans="2:12" ht="18" customHeight="1">
      <c r="B96" s="325" t="s">
        <v>121</v>
      </c>
      <c r="C96" s="326"/>
      <c r="D96" s="326"/>
      <c r="E96" s="326"/>
      <c r="F96" s="326"/>
      <c r="G96" s="326"/>
      <c r="H96" s="326"/>
      <c r="I96" s="326"/>
      <c r="J96" s="327"/>
      <c r="K96" s="16"/>
      <c r="L96" s="24"/>
    </row>
    <row r="97" spans="2:12" ht="18" customHeight="1">
      <c r="B97" s="328" t="s">
        <v>38</v>
      </c>
      <c r="C97" s="329"/>
      <c r="D97" s="329"/>
      <c r="E97" s="329"/>
      <c r="F97" s="329"/>
      <c r="G97" s="329"/>
      <c r="H97" s="329"/>
      <c r="I97" s="329"/>
      <c r="J97" s="330"/>
      <c r="K97" s="16"/>
      <c r="L97" s="24"/>
    </row>
    <row r="98" spans="2:12" s="3" customFormat="1" ht="18" customHeight="1">
      <c r="B98" s="298" t="s">
        <v>60</v>
      </c>
      <c r="C98" s="299"/>
      <c r="D98" s="300"/>
      <c r="E98" s="304" t="s">
        <v>61</v>
      </c>
      <c r="F98" s="305"/>
      <c r="G98" s="305"/>
      <c r="H98" s="305"/>
      <c r="I98" s="305"/>
      <c r="J98" s="306"/>
      <c r="K98" s="16"/>
      <c r="L98" s="24"/>
    </row>
    <row r="99" spans="2:12" s="3" customFormat="1" ht="18" customHeight="1">
      <c r="B99" s="301"/>
      <c r="C99" s="302"/>
      <c r="D99" s="303"/>
      <c r="E99" s="281">
        <f>G99*0.9</f>
        <v>810</v>
      </c>
      <c r="F99" s="283"/>
      <c r="G99" s="307">
        <f>E14</f>
        <v>900</v>
      </c>
      <c r="H99" s="308"/>
      <c r="I99" s="281">
        <f>G99*1.1</f>
        <v>990.0000000000001</v>
      </c>
      <c r="J99" s="283"/>
      <c r="K99" s="16"/>
      <c r="L99" s="24"/>
    </row>
    <row r="100" spans="2:12" s="3" customFormat="1" ht="18" customHeight="1">
      <c r="B100" s="281">
        <f>+B101*0.9</f>
        <v>5715</v>
      </c>
      <c r="C100" s="282"/>
      <c r="D100" s="283"/>
      <c r="E100" s="296">
        <f>E$99*$B$100-$J$93</f>
        <v>-414609.9974999996</v>
      </c>
      <c r="F100" s="297"/>
      <c r="G100" s="296">
        <f>G$99*$B$100-$J$93</f>
        <v>99740.00250000041</v>
      </c>
      <c r="H100" s="297"/>
      <c r="I100" s="296">
        <f>I$99*$B$100-$J$93</f>
        <v>614090.0025000013</v>
      </c>
      <c r="J100" s="297"/>
      <c r="K100" s="16"/>
      <c r="L100" s="24"/>
    </row>
    <row r="101" spans="2:12" s="3" customFormat="1" ht="18" customHeight="1">
      <c r="B101" s="281">
        <f>+E13</f>
        <v>6350</v>
      </c>
      <c r="C101" s="282"/>
      <c r="D101" s="283"/>
      <c r="E101" s="296">
        <f>E$99*$B$101-$J$93</f>
        <v>99740.00250000041</v>
      </c>
      <c r="F101" s="297"/>
      <c r="G101" s="296">
        <f>G$99*$B$101-$J$93</f>
        <v>671240.0025000004</v>
      </c>
      <c r="H101" s="297"/>
      <c r="I101" s="296">
        <f>I$99*$B$101-$J$93</f>
        <v>1242740.0025000013</v>
      </c>
      <c r="J101" s="297"/>
      <c r="K101" s="16"/>
      <c r="L101" s="24"/>
    </row>
    <row r="102" spans="2:12" s="3" customFormat="1" ht="18" customHeight="1">
      <c r="B102" s="281">
        <f>+B101*1.1</f>
        <v>6985.000000000001</v>
      </c>
      <c r="C102" s="282"/>
      <c r="D102" s="283"/>
      <c r="E102" s="296">
        <f>E$99*$B$102-$J$93</f>
        <v>614090.0025000013</v>
      </c>
      <c r="F102" s="297"/>
      <c r="G102" s="296">
        <f>G$99*$B$102-$J$93</f>
        <v>1242740.0025000013</v>
      </c>
      <c r="H102" s="297"/>
      <c r="I102" s="296">
        <f>I$99*$B$102-$J$93</f>
        <v>1871390.0025000023</v>
      </c>
      <c r="J102" s="297"/>
      <c r="K102" s="16"/>
      <c r="L102" s="24"/>
    </row>
    <row r="103" spans="2:12" s="3" customFormat="1" ht="18" customHeight="1">
      <c r="B103" s="34"/>
      <c r="C103" s="34"/>
      <c r="D103" s="35"/>
      <c r="E103" s="35"/>
      <c r="F103" s="35"/>
      <c r="G103" s="36"/>
      <c r="H103" s="12"/>
      <c r="I103" s="15"/>
      <c r="J103" s="15"/>
      <c r="K103" s="16"/>
      <c r="L103" s="24"/>
    </row>
    <row r="104" spans="2:12" s="3" customFormat="1" ht="18" customHeight="1">
      <c r="B104" s="331" t="s">
        <v>158</v>
      </c>
      <c r="C104" s="332"/>
      <c r="D104" s="332"/>
      <c r="E104" s="332"/>
      <c r="F104" s="332"/>
      <c r="G104" s="332"/>
      <c r="H104" s="332"/>
      <c r="I104" s="332"/>
      <c r="J104" s="333"/>
      <c r="K104" s="16"/>
      <c r="L104" s="24"/>
    </row>
    <row r="105" spans="2:12" s="3" customFormat="1" ht="18" customHeight="1">
      <c r="B105" s="334"/>
      <c r="C105" s="335"/>
      <c r="D105" s="335"/>
      <c r="E105" s="335"/>
      <c r="F105" s="335"/>
      <c r="G105" s="335"/>
      <c r="H105" s="335"/>
      <c r="I105" s="335"/>
      <c r="J105" s="336"/>
      <c r="K105" s="16"/>
      <c r="L105" s="24"/>
    </row>
    <row r="106" spans="2:12" s="3" customFormat="1" ht="18" customHeight="1">
      <c r="B106" s="284" t="s">
        <v>60</v>
      </c>
      <c r="C106" s="276"/>
      <c r="D106" s="276"/>
      <c r="E106" s="276">
        <f>G106*0.9</f>
        <v>5715</v>
      </c>
      <c r="F106" s="276"/>
      <c r="G106" s="276">
        <f>E13</f>
        <v>6350</v>
      </c>
      <c r="H106" s="276"/>
      <c r="I106" s="276">
        <f>G106*1.1</f>
        <v>6985.000000000001</v>
      </c>
      <c r="J106" s="294"/>
      <c r="K106" s="16"/>
      <c r="L106" s="24"/>
    </row>
    <row r="107" spans="2:12" s="3" customFormat="1" ht="18" customHeight="1">
      <c r="B107" s="285"/>
      <c r="C107" s="277"/>
      <c r="D107" s="277"/>
      <c r="E107" s="277"/>
      <c r="F107" s="277"/>
      <c r="G107" s="277"/>
      <c r="H107" s="277"/>
      <c r="I107" s="277"/>
      <c r="J107" s="295"/>
      <c r="K107" s="16"/>
      <c r="L107" s="24"/>
    </row>
    <row r="108" spans="2:12" s="3" customFormat="1" ht="18" customHeight="1">
      <c r="B108" s="286" t="s">
        <v>62</v>
      </c>
      <c r="C108" s="287"/>
      <c r="D108" s="287"/>
      <c r="E108" s="290">
        <f>$J$93/E106</f>
        <v>882.5476811023622</v>
      </c>
      <c r="F108" s="290"/>
      <c r="G108" s="290">
        <f>$J$93/G106</f>
        <v>794.2929129921259</v>
      </c>
      <c r="H108" s="290"/>
      <c r="I108" s="290">
        <f>$J$93/I106</f>
        <v>722.0844663564781</v>
      </c>
      <c r="J108" s="291"/>
      <c r="K108" s="16"/>
      <c r="L108" s="24"/>
    </row>
    <row r="109" spans="2:12" s="3" customFormat="1" ht="18" customHeight="1">
      <c r="B109" s="288"/>
      <c r="C109" s="289"/>
      <c r="D109" s="289"/>
      <c r="E109" s="292"/>
      <c r="F109" s="292"/>
      <c r="G109" s="292"/>
      <c r="H109" s="292"/>
      <c r="I109" s="292"/>
      <c r="J109" s="293"/>
      <c r="K109" s="16"/>
      <c r="L109" s="24"/>
    </row>
    <row r="110" spans="2:12" s="3" customFormat="1" ht="18" customHeight="1">
      <c r="B110" s="46"/>
      <c r="C110" s="1"/>
      <c r="F110" s="148"/>
      <c r="G110" s="148"/>
      <c r="H110" s="148"/>
      <c r="I110" s="15"/>
      <c r="J110" s="15"/>
      <c r="K110" s="16"/>
      <c r="L110" s="24"/>
    </row>
    <row r="111" spans="2:11" s="3" customFormat="1" ht="18" customHeight="1">
      <c r="B111" s="337" t="s">
        <v>15</v>
      </c>
      <c r="C111" s="338"/>
      <c r="D111" s="338"/>
      <c r="E111" s="338"/>
      <c r="F111" s="338"/>
      <c r="G111" s="338"/>
      <c r="H111" s="338"/>
      <c r="I111" s="338"/>
      <c r="J111" s="339"/>
      <c r="K111" s="79"/>
    </row>
    <row r="112" spans="2:11" s="3" customFormat="1" ht="18" customHeight="1">
      <c r="B112" s="278" t="s">
        <v>115</v>
      </c>
      <c r="C112" s="279"/>
      <c r="D112" s="279"/>
      <c r="E112" s="279"/>
      <c r="F112" s="279"/>
      <c r="G112" s="279"/>
      <c r="H112" s="279"/>
      <c r="I112" s="279"/>
      <c r="J112" s="280"/>
      <c r="K112" s="79"/>
    </row>
    <row r="113" spans="2:14" s="3" customFormat="1" ht="18.75" customHeight="1">
      <c r="B113" s="340" t="s">
        <v>159</v>
      </c>
      <c r="C113" s="341"/>
      <c r="D113" s="341"/>
      <c r="E113" s="341"/>
      <c r="F113" s="341"/>
      <c r="G113" s="341"/>
      <c r="H113" s="341"/>
      <c r="I113" s="341"/>
      <c r="J113" s="342"/>
      <c r="K113" s="79"/>
      <c r="N113" s="100"/>
    </row>
    <row r="114" spans="2:14" s="3" customFormat="1" ht="18.75" customHeight="1">
      <c r="B114" s="343" t="s">
        <v>160</v>
      </c>
      <c r="C114" s="344"/>
      <c r="D114" s="344"/>
      <c r="E114" s="344"/>
      <c r="F114" s="344"/>
      <c r="G114" s="344"/>
      <c r="H114" s="344"/>
      <c r="I114" s="344"/>
      <c r="J114" s="345"/>
      <c r="K114" s="79"/>
      <c r="N114" s="100"/>
    </row>
    <row r="115" spans="2:11" s="3" customFormat="1" ht="15.75" customHeight="1">
      <c r="B115" s="310" t="s">
        <v>161</v>
      </c>
      <c r="C115" s="311"/>
      <c r="D115" s="311"/>
      <c r="E115" s="311"/>
      <c r="F115" s="311"/>
      <c r="G115" s="311"/>
      <c r="H115" s="311"/>
      <c r="I115" s="311"/>
      <c r="J115" s="312"/>
      <c r="K115" s="80"/>
    </row>
    <row r="116" spans="2:11" s="3" customFormat="1" ht="43.5" customHeight="1">
      <c r="B116" s="310" t="s">
        <v>162</v>
      </c>
      <c r="C116" s="313"/>
      <c r="D116" s="313"/>
      <c r="E116" s="313"/>
      <c r="F116" s="313"/>
      <c r="G116" s="313"/>
      <c r="H116" s="313"/>
      <c r="I116" s="313"/>
      <c r="J116" s="312"/>
      <c r="K116" s="80"/>
    </row>
    <row r="117" spans="2:11" s="3" customFormat="1" ht="16.5" customHeight="1">
      <c r="B117" s="314" t="s">
        <v>163</v>
      </c>
      <c r="C117" s="315"/>
      <c r="D117" s="315"/>
      <c r="E117" s="315"/>
      <c r="F117" s="315"/>
      <c r="G117" s="315"/>
      <c r="H117" s="315"/>
      <c r="I117" s="315"/>
      <c r="J117" s="316"/>
      <c r="K117" s="79"/>
    </row>
    <row r="118" spans="2:11" s="3" customFormat="1" ht="18" customHeight="1">
      <c r="B118" s="310" t="s">
        <v>164</v>
      </c>
      <c r="C118" s="313"/>
      <c r="D118" s="313"/>
      <c r="E118" s="313"/>
      <c r="F118" s="313"/>
      <c r="G118" s="313"/>
      <c r="H118" s="313"/>
      <c r="I118" s="313"/>
      <c r="J118" s="312"/>
      <c r="K118" s="79"/>
    </row>
    <row r="119" spans="2:11" s="3" customFormat="1" ht="18">
      <c r="B119" s="317" t="s">
        <v>165</v>
      </c>
      <c r="C119" s="318"/>
      <c r="D119" s="318"/>
      <c r="E119" s="318"/>
      <c r="F119" s="318"/>
      <c r="G119" s="318"/>
      <c r="H119" s="318"/>
      <c r="I119" s="318"/>
      <c r="J119" s="319"/>
      <c r="K119" s="79"/>
    </row>
    <row r="120" spans="2:11" s="3" customFormat="1" ht="18.75" customHeight="1">
      <c r="B120" s="321" t="s">
        <v>166</v>
      </c>
      <c r="C120" s="322"/>
      <c r="D120" s="322"/>
      <c r="E120" s="322"/>
      <c r="F120" s="322"/>
      <c r="G120" s="322"/>
      <c r="H120" s="322"/>
      <c r="I120" s="322"/>
      <c r="J120" s="323"/>
      <c r="K120" s="79"/>
    </row>
    <row r="121" spans="2:11" s="3" customFormat="1" ht="18" customHeight="1">
      <c r="B121" s="190"/>
      <c r="C121" s="190"/>
      <c r="D121" s="190"/>
      <c r="E121" s="190"/>
      <c r="F121" s="190"/>
      <c r="G121" s="190"/>
      <c r="H121" s="190"/>
      <c r="I121" s="190"/>
      <c r="J121" s="190"/>
      <c r="K121" s="80"/>
    </row>
    <row r="122" spans="2:11" s="3" customFormat="1" ht="18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3"/>
    </row>
    <row r="123" spans="2:11" s="3" customFormat="1" ht="16.5" customHeight="1">
      <c r="B123" s="39"/>
      <c r="C123" s="39"/>
      <c r="D123" s="39"/>
      <c r="E123" s="39"/>
      <c r="F123" s="39"/>
      <c r="G123" s="40"/>
      <c r="H123" s="39"/>
      <c r="I123" s="39"/>
      <c r="J123" s="39"/>
      <c r="K123" s="9"/>
    </row>
    <row r="124" spans="2:11" s="3" customFormat="1" ht="15">
      <c r="B124" s="4"/>
      <c r="C124" s="4"/>
      <c r="D124" s="4"/>
      <c r="E124" s="4"/>
      <c r="F124" s="4"/>
      <c r="G124" s="5"/>
      <c r="H124" s="4"/>
      <c r="I124" s="4"/>
      <c r="J124" s="4"/>
      <c r="K124" s="9"/>
    </row>
    <row r="125" spans="2:11" s="3" customFormat="1" ht="15">
      <c r="B125" s="6"/>
      <c r="C125" s="6"/>
      <c r="D125" s="6"/>
      <c r="E125" s="6"/>
      <c r="F125" s="6"/>
      <c r="G125" s="7"/>
      <c r="H125" s="6"/>
      <c r="I125" s="6"/>
      <c r="J125" s="6"/>
      <c r="K125" s="9"/>
    </row>
    <row r="126" spans="2:11" s="3" customFormat="1" ht="15">
      <c r="B126" s="6"/>
      <c r="C126" s="6"/>
      <c r="D126" s="6"/>
      <c r="E126" s="6"/>
      <c r="F126" s="6"/>
      <c r="G126" s="7"/>
      <c r="H126" s="6"/>
      <c r="I126" s="6"/>
      <c r="J126" s="6"/>
      <c r="K126" s="9"/>
    </row>
    <row r="127" spans="2:11" s="3" customFormat="1" ht="15">
      <c r="B127" s="6"/>
      <c r="C127" s="6"/>
      <c r="D127" s="6"/>
      <c r="E127" s="6"/>
      <c r="F127" s="6"/>
      <c r="G127" s="7"/>
      <c r="H127" s="6"/>
      <c r="I127" s="6"/>
      <c r="J127" s="6"/>
      <c r="K127" s="9"/>
    </row>
    <row r="128" spans="2:12" s="3" customFormat="1" ht="15">
      <c r="B128" s="67"/>
      <c r="C128" s="67"/>
      <c r="D128" s="67"/>
      <c r="E128" s="67"/>
      <c r="F128" s="67"/>
      <c r="G128" s="68"/>
      <c r="H128" s="67"/>
      <c r="I128" s="67"/>
      <c r="J128" s="67"/>
      <c r="K128" s="69"/>
      <c r="L128" s="67"/>
    </row>
    <row r="129" spans="2:12" s="3" customFormat="1" ht="15">
      <c r="B129" s="67"/>
      <c r="C129" s="67"/>
      <c r="D129" s="67"/>
      <c r="E129" s="67"/>
      <c r="F129" s="67"/>
      <c r="G129" s="68"/>
      <c r="H129" s="67"/>
      <c r="I129" s="67"/>
      <c r="J129" s="67"/>
      <c r="K129" s="69"/>
      <c r="L129" s="67"/>
    </row>
    <row r="130" spans="2:12" s="3" customFormat="1" ht="15">
      <c r="B130" s="67"/>
      <c r="C130" s="67"/>
      <c r="D130" s="67"/>
      <c r="E130" s="67"/>
      <c r="F130" s="67"/>
      <c r="G130" s="68"/>
      <c r="H130" s="67"/>
      <c r="I130" s="67"/>
      <c r="J130" s="67"/>
      <c r="K130" s="69"/>
      <c r="L130" s="67"/>
    </row>
    <row r="131" spans="2:12" s="3" customFormat="1" ht="15">
      <c r="B131" s="67"/>
      <c r="C131" s="67"/>
      <c r="D131" s="67"/>
      <c r="E131" s="67"/>
      <c r="F131" s="67"/>
      <c r="G131" s="68"/>
      <c r="H131" s="67"/>
      <c r="I131" s="67"/>
      <c r="J131" s="67"/>
      <c r="K131" s="69"/>
      <c r="L131" s="67"/>
    </row>
    <row r="132" spans="2:12" s="3" customFormat="1" ht="18">
      <c r="B132" s="56"/>
      <c r="C132" s="56"/>
      <c r="D132" s="57"/>
      <c r="E132" s="57"/>
      <c r="F132" s="58"/>
      <c r="G132" s="58"/>
      <c r="H132" s="58"/>
      <c r="I132" s="67"/>
      <c r="J132" s="67"/>
      <c r="K132" s="69"/>
      <c r="L132" s="67"/>
    </row>
    <row r="133" spans="2:12" s="3" customFormat="1" ht="18">
      <c r="B133" s="56"/>
      <c r="C133" s="59"/>
      <c r="D133" s="59"/>
      <c r="E133" s="60"/>
      <c r="F133" s="59"/>
      <c r="G133" s="61"/>
      <c r="H133" s="62"/>
      <c r="I133" s="67"/>
      <c r="J133" s="67"/>
      <c r="K133" s="69"/>
      <c r="L133" s="67"/>
    </row>
    <row r="134" spans="2:12" s="3" customFormat="1" ht="18">
      <c r="B134" s="57"/>
      <c r="C134" s="57"/>
      <c r="D134" s="57"/>
      <c r="E134" s="57"/>
      <c r="F134" s="57"/>
      <c r="G134" s="57"/>
      <c r="H134" s="57"/>
      <c r="I134" s="67"/>
      <c r="J134" s="67"/>
      <c r="K134" s="69"/>
      <c r="L134" s="67"/>
    </row>
    <row r="135" spans="2:12" s="3" customFormat="1" ht="18">
      <c r="B135" s="56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s="3" customFormat="1" ht="18">
      <c r="B136" s="70"/>
      <c r="C136" s="71"/>
      <c r="D136" s="71"/>
      <c r="E136" s="63"/>
      <c r="F136" s="63"/>
      <c r="G136" s="63"/>
      <c r="H136" s="63"/>
      <c r="I136" s="67"/>
      <c r="J136" s="69"/>
      <c r="K136" s="69"/>
      <c r="L136" s="67"/>
    </row>
    <row r="137" spans="2:12" s="3" customFormat="1" ht="18">
      <c r="B137" s="70"/>
      <c r="C137" s="71"/>
      <c r="D137" s="71"/>
      <c r="E137" s="63"/>
      <c r="F137" s="63"/>
      <c r="G137" s="63"/>
      <c r="H137" s="63"/>
      <c r="I137" s="67"/>
      <c r="J137" s="69"/>
      <c r="K137" s="69"/>
      <c r="L137" s="67"/>
    </row>
    <row r="138" spans="2:12" s="3" customFormat="1" ht="18">
      <c r="B138" s="64"/>
      <c r="C138" s="65"/>
      <c r="D138" s="65"/>
      <c r="E138" s="64"/>
      <c r="F138" s="64"/>
      <c r="G138" s="64"/>
      <c r="H138" s="66"/>
      <c r="I138" s="67"/>
      <c r="J138" s="67"/>
      <c r="K138" s="69"/>
      <c r="L138" s="67"/>
    </row>
    <row r="139" spans="2:12" s="3" customFormat="1" ht="18">
      <c r="B139" s="57"/>
      <c r="C139" s="57"/>
      <c r="D139" s="57"/>
      <c r="E139" s="57"/>
      <c r="F139" s="57"/>
      <c r="G139" s="57"/>
      <c r="H139" s="57"/>
      <c r="I139" s="67"/>
      <c r="J139" s="67"/>
      <c r="K139" s="69"/>
      <c r="L139" s="67"/>
    </row>
    <row r="140" spans="2:12" s="3" customFormat="1" ht="18">
      <c r="B140" s="56"/>
      <c r="C140" s="57"/>
      <c r="D140" s="57"/>
      <c r="E140" s="57"/>
      <c r="F140" s="57"/>
      <c r="G140" s="57"/>
      <c r="H140" s="57"/>
      <c r="I140" s="67"/>
      <c r="J140" s="67"/>
      <c r="K140" s="69"/>
      <c r="L140" s="67"/>
    </row>
    <row r="141" spans="2:12" s="3" customFormat="1" ht="18">
      <c r="B141" s="191"/>
      <c r="C141" s="72"/>
      <c r="D141" s="73"/>
      <c r="E141" s="74"/>
      <c r="F141" s="73"/>
      <c r="G141" s="75"/>
      <c r="H141" s="75"/>
      <c r="I141" s="67"/>
      <c r="J141" s="67"/>
      <c r="K141" s="69"/>
      <c r="L141" s="67"/>
    </row>
    <row r="142" spans="2:12" s="3" customFormat="1" ht="18">
      <c r="B142" s="191"/>
      <c r="C142" s="72"/>
      <c r="D142" s="73"/>
      <c r="E142" s="74"/>
      <c r="F142" s="73"/>
      <c r="G142" s="75"/>
      <c r="H142" s="75"/>
      <c r="I142" s="67"/>
      <c r="J142" s="67"/>
      <c r="K142" s="69"/>
      <c r="L142" s="67"/>
    </row>
    <row r="143" spans="2:12" s="3" customFormat="1" ht="18">
      <c r="B143" s="309"/>
      <c r="C143" s="309"/>
      <c r="D143" s="73"/>
      <c r="E143" s="74"/>
      <c r="F143" s="73"/>
      <c r="G143" s="75"/>
      <c r="H143" s="75"/>
      <c r="I143" s="67"/>
      <c r="J143" s="67"/>
      <c r="K143" s="69"/>
      <c r="L143" s="67"/>
    </row>
    <row r="144" spans="2:12" s="3" customFormat="1" ht="18">
      <c r="B144" s="191"/>
      <c r="C144" s="72"/>
      <c r="D144" s="73"/>
      <c r="E144" s="74"/>
      <c r="F144" s="73"/>
      <c r="G144" s="75"/>
      <c r="H144" s="75"/>
      <c r="I144" s="67"/>
      <c r="J144" s="67"/>
      <c r="K144" s="69"/>
      <c r="L144" s="67"/>
    </row>
    <row r="145" spans="2:12" s="3" customFormat="1" ht="18">
      <c r="B145" s="191"/>
      <c r="C145" s="72"/>
      <c r="D145" s="73"/>
      <c r="E145" s="74"/>
      <c r="F145" s="73"/>
      <c r="G145" s="75"/>
      <c r="H145" s="75"/>
      <c r="I145" s="67"/>
      <c r="J145" s="67"/>
      <c r="K145" s="69"/>
      <c r="L145" s="67"/>
    </row>
    <row r="146" spans="2:12" s="3" customFormat="1" ht="18">
      <c r="B146" s="191"/>
      <c r="C146" s="72"/>
      <c r="D146" s="73"/>
      <c r="E146" s="74"/>
      <c r="F146" s="73"/>
      <c r="G146" s="75"/>
      <c r="H146" s="75"/>
      <c r="I146" s="67"/>
      <c r="J146" s="67"/>
      <c r="K146" s="69"/>
      <c r="L146" s="67"/>
    </row>
    <row r="147" spans="2:12" s="3" customFormat="1" ht="18">
      <c r="B147" s="191"/>
      <c r="C147" s="72"/>
      <c r="D147" s="73"/>
      <c r="E147" s="74"/>
      <c r="F147" s="73"/>
      <c r="G147" s="75"/>
      <c r="H147" s="75"/>
      <c r="I147" s="67"/>
      <c r="J147" s="67"/>
      <c r="K147" s="69"/>
      <c r="L147" s="67"/>
    </row>
    <row r="148" spans="2:12" s="3" customFormat="1" ht="18">
      <c r="B148" s="191"/>
      <c r="C148" s="72"/>
      <c r="D148" s="73"/>
      <c r="E148" s="74"/>
      <c r="F148" s="73"/>
      <c r="G148" s="75"/>
      <c r="H148" s="75"/>
      <c r="I148" s="67"/>
      <c r="J148" s="67"/>
      <c r="K148" s="69"/>
      <c r="L148" s="67"/>
    </row>
    <row r="149" spans="2:12" s="3" customFormat="1" ht="18">
      <c r="B149" s="191"/>
      <c r="C149" s="72"/>
      <c r="D149" s="73"/>
      <c r="E149" s="74"/>
      <c r="F149" s="73"/>
      <c r="G149" s="75"/>
      <c r="H149" s="75"/>
      <c r="I149" s="67"/>
      <c r="J149" s="67"/>
      <c r="K149" s="69"/>
      <c r="L149" s="67"/>
    </row>
    <row r="150" spans="2:12" s="3" customFormat="1" ht="18">
      <c r="B150" s="191"/>
      <c r="C150" s="72"/>
      <c r="D150" s="73"/>
      <c r="E150" s="74"/>
      <c r="F150" s="73"/>
      <c r="G150" s="75"/>
      <c r="H150" s="75"/>
      <c r="I150" s="67"/>
      <c r="J150" s="67"/>
      <c r="K150" s="69"/>
      <c r="L150" s="67"/>
    </row>
    <row r="151" spans="2:12" s="3" customFormat="1" ht="18">
      <c r="B151" s="191"/>
      <c r="C151" s="72"/>
      <c r="D151" s="73"/>
      <c r="E151" s="74"/>
      <c r="F151" s="73"/>
      <c r="G151" s="75"/>
      <c r="H151" s="75"/>
      <c r="I151" s="67"/>
      <c r="J151" s="67"/>
      <c r="K151" s="69"/>
      <c r="L151" s="67"/>
    </row>
    <row r="152" spans="2:12" s="3" customFormat="1" ht="18">
      <c r="B152" s="191"/>
      <c r="C152" s="72"/>
      <c r="D152" s="73"/>
      <c r="E152" s="74"/>
      <c r="F152" s="73"/>
      <c r="G152" s="75"/>
      <c r="H152" s="75"/>
      <c r="I152" s="67"/>
      <c r="J152" s="67"/>
      <c r="K152" s="69"/>
      <c r="L152" s="67"/>
    </row>
    <row r="153" spans="2:12" s="3" customFormat="1" ht="18">
      <c r="B153" s="191"/>
      <c r="C153" s="72"/>
      <c r="D153" s="73"/>
      <c r="E153" s="74"/>
      <c r="F153" s="73"/>
      <c r="G153" s="75"/>
      <c r="H153" s="75"/>
      <c r="I153" s="67"/>
      <c r="J153" s="67"/>
      <c r="K153" s="69"/>
      <c r="L153" s="67"/>
    </row>
    <row r="154" spans="2:12" s="3" customFormat="1" ht="18">
      <c r="B154" s="64"/>
      <c r="C154" s="65"/>
      <c r="D154" s="65"/>
      <c r="E154" s="64"/>
      <c r="F154" s="64"/>
      <c r="G154" s="64"/>
      <c r="H154" s="66"/>
      <c r="I154" s="67"/>
      <c r="J154" s="67"/>
      <c r="K154" s="69"/>
      <c r="L154" s="67"/>
    </row>
    <row r="155" spans="2:12" s="3" customFormat="1" ht="18">
      <c r="B155" s="57"/>
      <c r="C155" s="57"/>
      <c r="D155" s="57"/>
      <c r="E155" s="57"/>
      <c r="F155" s="57"/>
      <c r="G155" s="57"/>
      <c r="H155" s="57"/>
      <c r="I155" s="67"/>
      <c r="J155" s="67"/>
      <c r="K155" s="69"/>
      <c r="L155" s="67"/>
    </row>
    <row r="156" spans="2:12" s="3" customFormat="1" ht="18">
      <c r="B156" s="64"/>
      <c r="C156" s="65"/>
      <c r="D156" s="65"/>
      <c r="E156" s="64"/>
      <c r="F156" s="64"/>
      <c r="G156" s="64"/>
      <c r="H156" s="66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76"/>
      <c r="C167" s="76"/>
      <c r="D167" s="76"/>
      <c r="E167" s="76"/>
      <c r="F167" s="76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9"/>
      <c r="D170" s="69"/>
      <c r="E170" s="69"/>
      <c r="F170" s="69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9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9"/>
      <c r="D177" s="69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8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9"/>
      <c r="C190" s="69"/>
      <c r="D190" s="69"/>
      <c r="E190" s="69"/>
      <c r="F190" s="69"/>
      <c r="G190" s="69"/>
      <c r="H190" s="69"/>
      <c r="I190" s="69"/>
      <c r="J190" s="67"/>
      <c r="K190" s="69"/>
      <c r="L190" s="67"/>
    </row>
    <row r="191" spans="2:12" s="3" customFormat="1" ht="15">
      <c r="B191" s="69"/>
      <c r="C191" s="69"/>
      <c r="D191" s="69"/>
      <c r="E191" s="69"/>
      <c r="F191" s="69"/>
      <c r="G191" s="77"/>
      <c r="H191" s="69"/>
      <c r="I191" s="69"/>
      <c r="J191" s="67"/>
      <c r="K191" s="69"/>
      <c r="L191" s="77"/>
    </row>
    <row r="192" spans="2:12" s="3" customFormat="1" ht="15">
      <c r="B192" s="69"/>
      <c r="C192" s="69"/>
      <c r="D192" s="69"/>
      <c r="E192" s="69"/>
      <c r="F192" s="69"/>
      <c r="G192" s="69"/>
      <c r="H192" s="69"/>
      <c r="I192" s="78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9"/>
      <c r="I200" s="69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9"/>
      <c r="I201" s="69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9"/>
      <c r="I208" s="69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9"/>
      <c r="I209" s="69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9"/>
      <c r="I210" s="69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s="3" customFormat="1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s="3" customFormat="1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s="3" customFormat="1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s="3" customFormat="1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s="3" customFormat="1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s="3" customFormat="1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s="3" customFormat="1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s="3" customFormat="1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s="3" customFormat="1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s="3" customFormat="1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s="3" customFormat="1" ht="1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s="3" customFormat="1" ht="1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s="3" customFormat="1" ht="1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s="3" customFormat="1" ht="1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  <row r="333" spans="2:12" s="3" customFormat="1" ht="15">
      <c r="B333" s="67"/>
      <c r="C333" s="67"/>
      <c r="D333" s="67"/>
      <c r="E333" s="67"/>
      <c r="F333" s="67"/>
      <c r="G333" s="68"/>
      <c r="H333" s="67"/>
      <c r="I333" s="67"/>
      <c r="J333" s="67"/>
      <c r="K333" s="69"/>
      <c r="L333" s="67"/>
    </row>
    <row r="334" spans="2:12" s="3" customFormat="1" ht="15">
      <c r="B334" s="67"/>
      <c r="C334" s="67"/>
      <c r="D334" s="67"/>
      <c r="E334" s="67"/>
      <c r="F334" s="67"/>
      <c r="G334" s="68"/>
      <c r="H334" s="67"/>
      <c r="I334" s="67"/>
      <c r="J334" s="67"/>
      <c r="K334" s="69"/>
      <c r="L334" s="67"/>
    </row>
    <row r="335" spans="2:12" s="3" customFormat="1" ht="15">
      <c r="B335" s="67"/>
      <c r="C335" s="67"/>
      <c r="D335" s="67"/>
      <c r="E335" s="67"/>
      <c r="F335" s="67"/>
      <c r="G335" s="68"/>
      <c r="H335" s="67"/>
      <c r="I335" s="67"/>
      <c r="J335" s="67"/>
      <c r="K335" s="69"/>
      <c r="L335" s="67"/>
    </row>
  </sheetData>
  <sheetProtection/>
  <mergeCells count="48">
    <mergeCell ref="E20:F20"/>
    <mergeCell ref="D2:J2"/>
    <mergeCell ref="D3:J3"/>
    <mergeCell ref="D4:J4"/>
    <mergeCell ref="D6:J6"/>
    <mergeCell ref="B12:E12"/>
    <mergeCell ref="G12:J12"/>
    <mergeCell ref="E86:F86"/>
    <mergeCell ref="B120:J120"/>
    <mergeCell ref="L87:O87"/>
    <mergeCell ref="B96:J96"/>
    <mergeCell ref="B97:J97"/>
    <mergeCell ref="B104:J105"/>
    <mergeCell ref="B111:J111"/>
    <mergeCell ref="B113:J113"/>
    <mergeCell ref="B114:J114"/>
    <mergeCell ref="B143:C143"/>
    <mergeCell ref="B115:J115"/>
    <mergeCell ref="B116:J116"/>
    <mergeCell ref="B117:J117"/>
    <mergeCell ref="B118:J118"/>
    <mergeCell ref="B119:J119"/>
    <mergeCell ref="B98:D99"/>
    <mergeCell ref="E98:J98"/>
    <mergeCell ref="I102:J102"/>
    <mergeCell ref="I101:J101"/>
    <mergeCell ref="I100:J100"/>
    <mergeCell ref="I99:J99"/>
    <mergeCell ref="G102:H102"/>
    <mergeCell ref="G101:H101"/>
    <mergeCell ref="G100:H100"/>
    <mergeCell ref="G99:H99"/>
    <mergeCell ref="G108:H109"/>
    <mergeCell ref="E108:F109"/>
    <mergeCell ref="E102:F102"/>
    <mergeCell ref="E101:F101"/>
    <mergeCell ref="E100:F100"/>
    <mergeCell ref="E99:F99"/>
    <mergeCell ref="E106:F107"/>
    <mergeCell ref="B112:J112"/>
    <mergeCell ref="B102:D102"/>
    <mergeCell ref="B101:D101"/>
    <mergeCell ref="B100:D100"/>
    <mergeCell ref="B106:D107"/>
    <mergeCell ref="B108:D109"/>
    <mergeCell ref="I108:J109"/>
    <mergeCell ref="I106:J107"/>
    <mergeCell ref="G106:H10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1" r:id="rId2"/>
  <rowBreaks count="1" manualBreakCount="1">
    <brk id="68" max="10" man="1"/>
  </rowBreaks>
  <ignoredErrors>
    <ignoredError sqref="I23:I30 G39:G4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 t="e">
        <f>((#REF!-45000)/45000)+1</f>
        <v>#REF!</v>
      </c>
    </row>
    <row r="3" ht="18">
      <c r="B3" s="13"/>
    </row>
    <row r="4" spans="2:3" ht="18">
      <c r="B4" s="359" t="s">
        <v>18</v>
      </c>
      <c r="C4" s="359"/>
    </row>
    <row r="5" spans="2:5" ht="18">
      <c r="B5" s="81" t="s">
        <v>32</v>
      </c>
      <c r="C5" s="122"/>
      <c r="D5" s="82"/>
      <c r="E5" s="3">
        <v>45000</v>
      </c>
    </row>
    <row r="6" spans="2:4" ht="15">
      <c r="B6" s="26"/>
      <c r="C6" s="26"/>
      <c r="D6" s="26"/>
    </row>
    <row r="14" spans="2:4" ht="15">
      <c r="B14" s="360" t="s">
        <v>14</v>
      </c>
      <c r="C14" s="360"/>
      <c r="D14" s="360"/>
    </row>
    <row r="16" spans="2:4" ht="18">
      <c r="B16" s="49" t="s">
        <v>16</v>
      </c>
      <c r="C16" s="48" t="e">
        <f>#REF!</f>
        <v>#REF!</v>
      </c>
      <c r="D16" s="48" t="e">
        <f>#REF!</f>
        <v>#REF!</v>
      </c>
    </row>
    <row r="17" ht="15">
      <c r="B17" s="24"/>
    </row>
    <row r="18" spans="2:4" ht="15">
      <c r="B18" s="47" t="s">
        <v>17</v>
      </c>
      <c r="C18" s="50" t="e">
        <f>((C16-#REF!)/#REF!)+1</f>
        <v>#REF!</v>
      </c>
      <c r="D18" s="50" t="e">
        <f>((D16-#REF!)/#REF!)+1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 t="e">
        <f>SUM(#REF!)</f>
        <v>#REF!</v>
      </c>
      <c r="D21" s="9" t="e">
        <f>SUM(#REF!)</f>
        <v>#REF!</v>
      </c>
    </row>
    <row r="22" spans="2:4" ht="18">
      <c r="B22" s="51" t="s">
        <v>20</v>
      </c>
      <c r="C22" s="52" t="e">
        <f>C18*#REF!*#REF!</f>
        <v>#REF!</v>
      </c>
      <c r="D22" s="52" t="e">
        <f>D18*#REF!*#REF!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 t="e">
        <f>SUM(#REF!)</f>
        <v>#REF!</v>
      </c>
      <c r="D26" s="9" t="e">
        <f>SUM(#REF!)</f>
        <v>#REF!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 t="e">
        <f>SUM(C26:C27)</f>
        <v>#REF!</v>
      </c>
      <c r="D28" s="9" t="e">
        <f>SUM(D26:D27)</f>
        <v>#REF!</v>
      </c>
    </row>
    <row r="30" ht="18">
      <c r="B30" s="49" t="s">
        <v>22</v>
      </c>
    </row>
    <row r="31" spans="2:4" ht="18">
      <c r="B31" s="17" t="s">
        <v>19</v>
      </c>
      <c r="C31" s="9" t="e">
        <f>SUM(#REF!)</f>
        <v>#REF!</v>
      </c>
      <c r="D31" s="9" t="e">
        <f>SUM(#REF!)</f>
        <v>#REF!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 t="e">
        <f>SUM(C31:C32)</f>
        <v>#REF!</v>
      </c>
      <c r="D33" s="9" t="e">
        <f>SUM(D31:D32)</f>
        <v>#REF!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C35*#REF!</f>
        <v>#REF!</v>
      </c>
      <c r="D37" s="9" t="e">
        <f>D35*D18*#REF!</f>
        <v>#REF!</v>
      </c>
    </row>
    <row r="38" spans="2:4" ht="18">
      <c r="B38" s="53" t="s">
        <v>12</v>
      </c>
      <c r="C38" s="9" t="e">
        <f>C35*#REF!*#REF!*0.5</f>
        <v>#REF!</v>
      </c>
      <c r="D38" s="9" t="e">
        <f>D35*#REF!*#REF!*0.5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2021-01-21T15:51:24Z</dcterms:modified>
  <cp:category/>
  <cp:version/>
  <cp:contentType/>
  <cp:contentStatus/>
</cp:coreProperties>
</file>