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380" windowHeight="8475" activeTab="0"/>
  </bookViews>
  <sheets>
    <sheet name="Esparrago" sheetId="1" r:id="rId1"/>
    <sheet name="Hoja2" sheetId="2" r:id="rId2"/>
    <sheet name="Hoja1" sheetId="3" state="hidden" r:id="rId3"/>
  </sheets>
  <definedNames>
    <definedName name="_xlnm.Print_Area" localSheetId="0">'Esparrago'!$A$1:$K$100</definedName>
  </definedNames>
  <calcPr fullCalcOnLoad="1"/>
</workbook>
</file>

<file path=xl/sharedStrings.xml><?xml version="1.0" encoding="utf-8"?>
<sst xmlns="http://schemas.openxmlformats.org/spreadsheetml/2006/main" count="171" uniqueCount="121">
  <si>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</si>
  <si>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</si>
  <si>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</si>
  <si>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</si>
  <si>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</si>
  <si>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</si>
  <si>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</si>
  <si>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</si>
  <si>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</si>
  <si>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</si>
  <si>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</si>
  <si>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</si>
  <si>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</si>
  <si>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</si>
  <si>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</si>
  <si>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</si>
  <si>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</si>
  <si>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</si>
  <si>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</si>
  <si>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</si>
  <si>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</si>
  <si>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</si>
  <si>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</si>
  <si>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</si>
  <si>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</si>
  <si>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</si>
  <si>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</si>
  <si>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</si>
  <si>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</si>
  <si>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</si>
  <si>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</si>
  <si>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</si>
  <si>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</si>
  <si>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</si>
  <si>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</si>
  <si>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</si>
  <si>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</si>
  <si>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unidad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</si>
  <si>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</si>
  <si>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</si>
  <si>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</si>
  <si>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</si>
  <si>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</si>
  <si>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</si>
  <si>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</si>
  <si>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</si>
  <si>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</si>
  <si>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</si>
  <si>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</si>
  <si>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</si>
  <si>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</si>
  <si>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</si>
  <si>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</si>
  <si>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</si>
  <si>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Destino de producción: consumo fresco</t>
  </si>
  <si>
    <t>Tecnología: media</t>
  </si>
  <si>
    <t>septiembre - octubre</t>
  </si>
  <si>
    <t>septiembre - enero</t>
  </si>
  <si>
    <t>septiembre - noviembre</t>
  </si>
  <si>
    <t>agosto</t>
  </si>
  <si>
    <t>agosto - septiembre</t>
  </si>
  <si>
    <t>octubre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</si>
  <si>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</si>
  <si>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</si>
  <si>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</si>
  <si>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</si>
  <si>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</si>
  <si>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</si>
  <si>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</si>
  <si>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</si>
  <si>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</si>
  <si>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</si>
  <si>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</si>
  <si>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</si>
  <si>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(6) 1,5% mensual simple sobre el 50% de los costos directos, tasa de interés promedio de las empresas distribuidoras de insumos.</t>
  </si>
  <si>
    <t>Espárrago</t>
  </si>
  <si>
    <t>Región del Biobío</t>
  </si>
  <si>
    <t>Tecnología de riego: por surco</t>
  </si>
  <si>
    <t>Variedad:  U. C. 157 F1</t>
  </si>
  <si>
    <t>Rendimiento (kilos/hectárea):</t>
  </si>
  <si>
    <t xml:space="preserve">Riego </t>
  </si>
  <si>
    <t>Aplicación de fertilizante</t>
  </si>
  <si>
    <t>Limpia manual</t>
  </si>
  <si>
    <t>Aplicacción fitosanitarios</t>
  </si>
  <si>
    <t>Selección y cargar</t>
  </si>
  <si>
    <t>octubre - febrero</t>
  </si>
  <si>
    <t xml:space="preserve">jornada hombre </t>
  </si>
  <si>
    <t xml:space="preserve">kilo </t>
  </si>
  <si>
    <t>Aplicación fitosanitario</t>
  </si>
  <si>
    <t>cortar restos de cosecha</t>
  </si>
  <si>
    <t>Apolca para el riego</t>
  </si>
  <si>
    <t>Trompo abonador</t>
  </si>
  <si>
    <t>Acequiadura</t>
  </si>
  <si>
    <t>Acarreo de cosecha</t>
  </si>
  <si>
    <t>Flete</t>
  </si>
  <si>
    <t>junio - julio</t>
  </si>
  <si>
    <t>Mezcla</t>
  </si>
  <si>
    <t>Urea</t>
  </si>
  <si>
    <t>MTD 600</t>
  </si>
  <si>
    <t>Sencor 480 SC (sellante suelo antes de cosecha)</t>
  </si>
  <si>
    <t>Fertilizantes foliares:</t>
  </si>
  <si>
    <t>Fosfimax  40 20</t>
  </si>
  <si>
    <t>Otros:</t>
  </si>
  <si>
    <t>Agua de riego</t>
  </si>
  <si>
    <t>Baños químicos</t>
  </si>
  <si>
    <t>diciembre</t>
  </si>
  <si>
    <t>noviembre - diciembre</t>
  </si>
  <si>
    <t>anual</t>
  </si>
  <si>
    <t>enero</t>
  </si>
  <si>
    <t xml:space="preserve">(1) El precio del  kilo de espárrago corresponde al promedio estimado de la región a nivel predial al momento de la cosecha, durante la temporada  2016. </t>
  </si>
  <si>
    <t xml:space="preserve">(2) El Costo cosecha está expresado por kilo cosechado de espárrago.      </t>
  </si>
  <si>
    <r>
      <t xml:space="preserve">Precio de venta a productor ($/kilo): </t>
    </r>
    <r>
      <rPr>
        <b/>
        <vertAlign val="superscript"/>
        <sz val="14"/>
        <rFont val="Arial"/>
        <family val="2"/>
      </rPr>
      <t>(1)</t>
    </r>
  </si>
  <si>
    <r>
      <t>Cosecha</t>
    </r>
    <r>
      <rPr>
        <vertAlign val="superscript"/>
        <sz val="14"/>
        <rFont val="Arial"/>
        <family val="2"/>
      </rPr>
      <t>(2)</t>
    </r>
  </si>
  <si>
    <r>
      <t xml:space="preserve">Análisis foliar, fertilidad completa </t>
    </r>
    <r>
      <rPr>
        <vertAlign val="superscript"/>
        <sz val="14"/>
        <rFont val="Arial"/>
        <family val="2"/>
      </rPr>
      <t>(5)</t>
    </r>
  </si>
  <si>
    <t>Rendimiento (kilos/hectárea)</t>
  </si>
  <si>
    <t>Precio ($/kilo)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</si>
  <si>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</si>
  <si>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Costo unitario ($/kilo)</t>
  </si>
  <si>
    <t>1 hectárea septiembre 2016</t>
  </si>
  <si>
    <t>Producción: plena producción</t>
  </si>
  <si>
    <t>Fecha de cosecha: septiembre - noviembre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</si>
</sst>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7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8" fillId="34" borderId="17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 horizontal="left" indent="1"/>
      <protection locked="0"/>
    </xf>
    <xf numFmtId="0" fontId="10" fillId="34" borderId="19" xfId="56" applyFont="1" applyFill="1" applyBorder="1" applyAlignment="1" applyProtection="1">
      <alignment horizontal="left" indent="1"/>
      <protection locked="0"/>
    </xf>
    <xf numFmtId="0" fontId="10" fillId="34" borderId="15" xfId="67" applyNumberFormat="1" applyFont="1" applyFill="1" applyBorder="1" applyAlignment="1" applyProtection="1">
      <alignment horizontal="left" indent="1"/>
      <protection locked="0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628650</xdr:colOff>
      <xdr:row>99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8028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2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4"/>
      <c r="C2" s="144"/>
      <c r="D2" s="305" t="s">
        <v>33</v>
      </c>
      <c r="E2" s="305"/>
      <c r="F2" s="305"/>
      <c r="G2" s="305"/>
      <c r="H2" s="305"/>
      <c r="I2" s="305"/>
      <c r="J2" s="305"/>
    </row>
    <row r="3" spans="2:11" s="3" customFormat="1" ht="18" customHeight="1">
      <c r="B3" s="94"/>
      <c r="C3" s="117"/>
      <c r="D3" s="306" t="s">
        <v>75</v>
      </c>
      <c r="E3" s="306"/>
      <c r="F3" s="306"/>
      <c r="G3" s="306"/>
      <c r="H3" s="306"/>
      <c r="I3" s="306"/>
      <c r="J3" s="306"/>
      <c r="K3" s="14"/>
    </row>
    <row r="4" spans="2:11" s="3" customFormat="1" ht="18" customHeight="1">
      <c r="B4" s="94"/>
      <c r="C4" s="117"/>
      <c r="D4" s="306" t="s">
        <v>76</v>
      </c>
      <c r="E4" s="306"/>
      <c r="F4" s="306"/>
      <c r="G4" s="306"/>
      <c r="H4" s="306"/>
      <c r="I4" s="306"/>
      <c r="J4" s="306"/>
      <c r="K4" s="14"/>
    </row>
    <row r="5" spans="2:11" s="3" customFormat="1" ht="18" customHeight="1">
      <c r="B5" s="42"/>
      <c r="C5" s="42"/>
      <c r="D5" s="118"/>
      <c r="E5" s="44"/>
      <c r="F5" s="139"/>
      <c r="G5" s="139"/>
      <c r="H5" s="139"/>
      <c r="I5" s="139"/>
      <c r="J5" s="139"/>
      <c r="K5" s="16"/>
    </row>
    <row r="6" spans="2:11" s="3" customFormat="1" ht="18" customHeight="1">
      <c r="B6" s="42"/>
      <c r="C6" s="42"/>
      <c r="D6" s="314" t="s">
        <v>29</v>
      </c>
      <c r="E6" s="315"/>
      <c r="F6" s="315"/>
      <c r="G6" s="315"/>
      <c r="H6" s="315"/>
      <c r="I6" s="315"/>
      <c r="J6" s="316"/>
      <c r="K6" s="16"/>
    </row>
    <row r="7" spans="2:11" s="3" customFormat="1" ht="18" customHeight="1">
      <c r="B7" s="42"/>
      <c r="C7" s="42"/>
      <c r="D7" s="85" t="s">
        <v>118</v>
      </c>
      <c r="E7" s="86"/>
      <c r="F7" s="86"/>
      <c r="G7" s="87" t="s">
        <v>78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77</v>
      </c>
      <c r="E8" s="92"/>
      <c r="F8" s="92"/>
      <c r="G8" s="93" t="s">
        <v>54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119</v>
      </c>
      <c r="E9" s="170"/>
      <c r="F9" s="92"/>
      <c r="G9" s="93" t="s">
        <v>55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/>
      <c r="E10" s="98"/>
      <c r="F10" s="98"/>
      <c r="G10" s="99" t="s">
        <v>120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07" t="s">
        <v>30</v>
      </c>
      <c r="C12" s="308"/>
      <c r="D12" s="308"/>
      <c r="E12" s="309"/>
      <c r="F12" s="41"/>
      <c r="G12" s="310" t="s">
        <v>4</v>
      </c>
      <c r="H12" s="311"/>
      <c r="I12" s="311"/>
      <c r="J12" s="312"/>
      <c r="K12" s="16"/>
    </row>
    <row r="13" spans="2:11" ht="18">
      <c r="B13" s="107" t="s">
        <v>79</v>
      </c>
      <c r="C13" s="108"/>
      <c r="D13" s="86"/>
      <c r="E13" s="109">
        <v>5500</v>
      </c>
      <c r="F13" s="42"/>
      <c r="G13" s="113" t="s">
        <v>49</v>
      </c>
      <c r="H13" s="86"/>
      <c r="I13" s="86"/>
      <c r="J13" s="145">
        <f>E13*E14</f>
        <v>4400000</v>
      </c>
      <c r="K13" s="16"/>
    </row>
    <row r="14" spans="2:13" ht="18" customHeight="1">
      <c r="B14" s="210" t="s">
        <v>111</v>
      </c>
      <c r="C14" s="211"/>
      <c r="D14" s="211"/>
      <c r="E14" s="148">
        <v>800</v>
      </c>
      <c r="F14" s="42"/>
      <c r="G14" s="114" t="s">
        <v>46</v>
      </c>
      <c r="H14" s="42"/>
      <c r="I14" s="42"/>
      <c r="J14" s="146">
        <f>J28+J38+J54+J57</f>
        <v>3288379.5</v>
      </c>
      <c r="K14" s="16"/>
      <c r="M14" s="196"/>
    </row>
    <row r="15" spans="2:11" ht="18">
      <c r="B15" s="135" t="s">
        <v>34</v>
      </c>
      <c r="C15" s="43"/>
      <c r="D15" s="42"/>
      <c r="E15" s="148">
        <v>13000</v>
      </c>
      <c r="F15" s="42"/>
      <c r="G15" s="114" t="s">
        <v>48</v>
      </c>
      <c r="H15" s="44"/>
      <c r="I15" s="42"/>
      <c r="J15" s="146">
        <f>J28+J38+J54+J57+J67</f>
        <v>3436356.5775</v>
      </c>
      <c r="K15" s="16"/>
    </row>
    <row r="16" spans="2:11" ht="18">
      <c r="B16" s="135" t="s">
        <v>2</v>
      </c>
      <c r="C16" s="45"/>
      <c r="D16" s="42"/>
      <c r="E16" s="110">
        <v>0.015</v>
      </c>
      <c r="F16" s="42"/>
      <c r="G16" s="114" t="s">
        <v>50</v>
      </c>
      <c r="H16" s="42"/>
      <c r="I16" s="42"/>
      <c r="J16" s="146">
        <f>J13-J14</f>
        <v>1111620.5</v>
      </c>
      <c r="K16" s="16"/>
    </row>
    <row r="17" spans="2:11" ht="18">
      <c r="B17" s="135" t="s">
        <v>3</v>
      </c>
      <c r="C17" s="45"/>
      <c r="D17" s="42"/>
      <c r="E17" s="275">
        <v>6</v>
      </c>
      <c r="F17" s="42"/>
      <c r="G17" s="114" t="s">
        <v>51</v>
      </c>
      <c r="H17" s="42"/>
      <c r="I17" s="42"/>
      <c r="J17" s="146">
        <f>J13-J15</f>
        <v>963643.4224999999</v>
      </c>
      <c r="K17" s="16"/>
    </row>
    <row r="18" spans="2:11" ht="18">
      <c r="B18" s="111"/>
      <c r="C18" s="112"/>
      <c r="D18" s="103"/>
      <c r="E18" s="274"/>
      <c r="F18" s="42"/>
      <c r="G18" s="115" t="s">
        <v>26</v>
      </c>
      <c r="H18" s="103"/>
      <c r="I18" s="116"/>
      <c r="J18" s="147">
        <f>G86</f>
        <v>624.792105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27</v>
      </c>
      <c r="C20" s="119"/>
      <c r="D20" s="119"/>
      <c r="E20" s="313"/>
      <c r="F20" s="313"/>
      <c r="G20" s="121"/>
      <c r="H20" s="122"/>
      <c r="I20" s="133"/>
      <c r="J20" s="123"/>
      <c r="K20" s="16"/>
    </row>
    <row r="21" spans="2:11" s="3" customFormat="1" ht="18" customHeight="1">
      <c r="B21" s="225" t="s">
        <v>7</v>
      </c>
      <c r="C21" s="226"/>
      <c r="D21" s="226"/>
      <c r="E21" s="257" t="s">
        <v>35</v>
      </c>
      <c r="F21" s="256"/>
      <c r="G21" s="149" t="s">
        <v>5</v>
      </c>
      <c r="H21" s="150" t="s">
        <v>6</v>
      </c>
      <c r="I21" s="151" t="s">
        <v>43</v>
      </c>
      <c r="J21" s="152" t="s">
        <v>1</v>
      </c>
      <c r="K21" s="16"/>
    </row>
    <row r="22" spans="2:10" s="3" customFormat="1" ht="18">
      <c r="B22" s="190" t="s">
        <v>80</v>
      </c>
      <c r="C22" s="191"/>
      <c r="D22" s="192"/>
      <c r="E22" s="218" t="s">
        <v>85</v>
      </c>
      <c r="F22" s="215"/>
      <c r="G22" s="161">
        <v>6</v>
      </c>
      <c r="H22" s="154" t="s">
        <v>86</v>
      </c>
      <c r="I22" s="132">
        <v>13000</v>
      </c>
      <c r="J22" s="183">
        <f aca="true" t="shared" si="0" ref="J22:J27">G22*I22</f>
        <v>78000</v>
      </c>
    </row>
    <row r="23" spans="2:10" s="3" customFormat="1" ht="18">
      <c r="B23" s="167" t="s">
        <v>81</v>
      </c>
      <c r="C23" s="213"/>
      <c r="D23" s="214"/>
      <c r="E23" s="219" t="s">
        <v>60</v>
      </c>
      <c r="F23" s="216"/>
      <c r="G23" s="162">
        <v>1</v>
      </c>
      <c r="H23" s="156" t="s">
        <v>86</v>
      </c>
      <c r="I23" s="127">
        <v>13000</v>
      </c>
      <c r="J23" s="10">
        <f t="shared" si="0"/>
        <v>13000</v>
      </c>
    </row>
    <row r="24" spans="2:10" s="3" customFormat="1" ht="18">
      <c r="B24" s="185" t="s">
        <v>82</v>
      </c>
      <c r="C24" s="186"/>
      <c r="D24" s="187"/>
      <c r="E24" s="219" t="s">
        <v>57</v>
      </c>
      <c r="F24" s="216"/>
      <c r="G24" s="162">
        <v>8</v>
      </c>
      <c r="H24" s="156" t="s">
        <v>86</v>
      </c>
      <c r="I24" s="127">
        <v>13000</v>
      </c>
      <c r="J24" s="10">
        <f t="shared" si="0"/>
        <v>104000</v>
      </c>
    </row>
    <row r="25" spans="2:10" s="3" customFormat="1" ht="18">
      <c r="B25" s="185" t="s">
        <v>83</v>
      </c>
      <c r="C25" s="186"/>
      <c r="D25" s="187"/>
      <c r="E25" s="219" t="s">
        <v>61</v>
      </c>
      <c r="F25" s="216"/>
      <c r="G25" s="162">
        <v>1</v>
      </c>
      <c r="H25" s="156" t="s">
        <v>86</v>
      </c>
      <c r="I25" s="127">
        <v>13000</v>
      </c>
      <c r="J25" s="10">
        <f t="shared" si="0"/>
        <v>13000</v>
      </c>
    </row>
    <row r="26" spans="2:10" s="3" customFormat="1" ht="21">
      <c r="B26" s="185" t="s">
        <v>112</v>
      </c>
      <c r="C26" s="169"/>
      <c r="D26" s="212"/>
      <c r="E26" s="219" t="s">
        <v>58</v>
      </c>
      <c r="F26" s="216"/>
      <c r="G26" s="162">
        <v>5500</v>
      </c>
      <c r="H26" s="156" t="s">
        <v>87</v>
      </c>
      <c r="I26" s="127">
        <v>270</v>
      </c>
      <c r="J26" s="10">
        <f t="shared" si="0"/>
        <v>1485000</v>
      </c>
    </row>
    <row r="27" spans="2:10" s="3" customFormat="1" ht="17.25" customHeight="1">
      <c r="B27" s="188" t="s">
        <v>84</v>
      </c>
      <c r="C27" s="131"/>
      <c r="D27" s="83"/>
      <c r="E27" s="220" t="s">
        <v>58</v>
      </c>
      <c r="F27" s="217"/>
      <c r="G27" s="164">
        <v>5500</v>
      </c>
      <c r="H27" s="158" t="s">
        <v>87</v>
      </c>
      <c r="I27" s="128">
        <v>60</v>
      </c>
      <c r="J27" s="184">
        <f t="shared" si="0"/>
        <v>330000</v>
      </c>
    </row>
    <row r="28" spans="2:11" ht="18">
      <c r="B28" s="230" t="s">
        <v>8</v>
      </c>
      <c r="C28" s="231"/>
      <c r="D28" s="231"/>
      <c r="E28" s="231"/>
      <c r="F28" s="231"/>
      <c r="G28" s="231"/>
      <c r="H28" s="231"/>
      <c r="I28" s="231"/>
      <c r="J28" s="104">
        <f>SUM(J22:J27)</f>
        <v>2023000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225" t="s">
        <v>63</v>
      </c>
      <c r="C30" s="226"/>
      <c r="D30" s="226"/>
      <c r="E30" s="257" t="s">
        <v>35</v>
      </c>
      <c r="F30" s="257"/>
      <c r="G30" s="149" t="s">
        <v>5</v>
      </c>
      <c r="H30" s="150" t="s">
        <v>6</v>
      </c>
      <c r="I30" s="151" t="s">
        <v>43</v>
      </c>
      <c r="J30" s="152" t="s">
        <v>1</v>
      </c>
      <c r="K30" s="3"/>
    </row>
    <row r="31" spans="2:10" s="3" customFormat="1" ht="18">
      <c r="B31" s="189" t="s">
        <v>88</v>
      </c>
      <c r="C31" s="221"/>
      <c r="D31" s="222"/>
      <c r="E31" s="218" t="s">
        <v>58</v>
      </c>
      <c r="F31" s="215"/>
      <c r="G31" s="165">
        <v>1</v>
      </c>
      <c r="H31" s="153" t="s">
        <v>38</v>
      </c>
      <c r="I31" s="136">
        <v>20000</v>
      </c>
      <c r="J31" s="129">
        <f>I31*G31</f>
        <v>20000</v>
      </c>
    </row>
    <row r="32" spans="2:10" s="3" customFormat="1" ht="18">
      <c r="B32" s="185" t="s">
        <v>89</v>
      </c>
      <c r="C32" s="169"/>
      <c r="D32" s="212"/>
      <c r="E32" s="219" t="s">
        <v>95</v>
      </c>
      <c r="F32" s="216"/>
      <c r="G32" s="166">
        <v>1</v>
      </c>
      <c r="H32" s="155" t="s">
        <v>38</v>
      </c>
      <c r="I32" s="137">
        <v>45000</v>
      </c>
      <c r="J32" s="130">
        <f aca="true" t="shared" si="1" ref="J32:J37">I32*G32</f>
        <v>45000</v>
      </c>
    </row>
    <row r="33" spans="2:10" s="3" customFormat="1" ht="18">
      <c r="B33" s="185" t="s">
        <v>90</v>
      </c>
      <c r="C33" s="169"/>
      <c r="D33" s="212"/>
      <c r="E33" s="219" t="s">
        <v>58</v>
      </c>
      <c r="F33" s="216"/>
      <c r="G33" s="166">
        <v>2</v>
      </c>
      <c r="H33" s="155" t="s">
        <v>38</v>
      </c>
      <c r="I33" s="137">
        <v>20000</v>
      </c>
      <c r="J33" s="130">
        <f t="shared" si="1"/>
        <v>40000</v>
      </c>
    </row>
    <row r="34" spans="2:10" s="3" customFormat="1" ht="18">
      <c r="B34" s="185" t="s">
        <v>91</v>
      </c>
      <c r="C34" s="186"/>
      <c r="D34" s="187"/>
      <c r="E34" s="219" t="s">
        <v>60</v>
      </c>
      <c r="F34" s="216"/>
      <c r="G34" s="166">
        <v>2</v>
      </c>
      <c r="H34" s="155" t="s">
        <v>38</v>
      </c>
      <c r="I34" s="137">
        <v>20000</v>
      </c>
      <c r="J34" s="130">
        <f t="shared" si="1"/>
        <v>40000</v>
      </c>
    </row>
    <row r="35" spans="2:10" s="3" customFormat="1" ht="18">
      <c r="B35" s="185" t="s">
        <v>92</v>
      </c>
      <c r="C35" s="186"/>
      <c r="D35" s="187"/>
      <c r="E35" s="219" t="s">
        <v>58</v>
      </c>
      <c r="F35" s="216"/>
      <c r="G35" s="166">
        <v>2</v>
      </c>
      <c r="H35" s="155" t="s">
        <v>38</v>
      </c>
      <c r="I35" s="137">
        <v>5000</v>
      </c>
      <c r="J35" s="130">
        <f t="shared" si="1"/>
        <v>10000</v>
      </c>
    </row>
    <row r="36" spans="2:10" s="3" customFormat="1" ht="18">
      <c r="B36" s="185" t="s">
        <v>93</v>
      </c>
      <c r="C36" s="169"/>
      <c r="D36" s="212"/>
      <c r="E36" s="219" t="s">
        <v>58</v>
      </c>
      <c r="F36" s="216"/>
      <c r="G36" s="166">
        <v>5500</v>
      </c>
      <c r="H36" s="155" t="s">
        <v>38</v>
      </c>
      <c r="I36" s="138">
        <v>60</v>
      </c>
      <c r="J36" s="130">
        <f t="shared" si="1"/>
        <v>330000</v>
      </c>
    </row>
    <row r="37" spans="2:10" s="3" customFormat="1" ht="18">
      <c r="B37" s="185" t="s">
        <v>94</v>
      </c>
      <c r="C37" s="169"/>
      <c r="D37" s="212"/>
      <c r="E37" s="219" t="s">
        <v>58</v>
      </c>
      <c r="F37" s="216"/>
      <c r="G37" s="166">
        <v>5500</v>
      </c>
      <c r="H37" s="155" t="s">
        <v>38</v>
      </c>
      <c r="I37" s="138">
        <v>20</v>
      </c>
      <c r="J37" s="130">
        <f t="shared" si="1"/>
        <v>110000</v>
      </c>
    </row>
    <row r="38" spans="2:12" ht="15.75" customHeight="1">
      <c r="B38" s="230" t="s">
        <v>10</v>
      </c>
      <c r="C38" s="231"/>
      <c r="D38" s="231"/>
      <c r="E38" s="231"/>
      <c r="F38" s="231"/>
      <c r="G38" s="231"/>
      <c r="H38" s="231"/>
      <c r="I38" s="231"/>
      <c r="J38" s="124">
        <f>SUM(J31:J37)</f>
        <v>595000</v>
      </c>
      <c r="K38" s="3"/>
      <c r="L38" s="16"/>
    </row>
    <row r="39" spans="2:12" s="3" customFormat="1" ht="18">
      <c r="B39" s="84"/>
      <c r="C39" s="84"/>
      <c r="D39" s="84"/>
      <c r="E39" s="84"/>
      <c r="F39" s="84"/>
      <c r="G39" s="25"/>
      <c r="H39" s="84"/>
      <c r="I39" s="84"/>
      <c r="J39" s="27"/>
      <c r="L39" s="19"/>
    </row>
    <row r="40" spans="2:12" s="3" customFormat="1" ht="18" customHeight="1">
      <c r="B40" s="225" t="s">
        <v>65</v>
      </c>
      <c r="C40" s="226"/>
      <c r="D40" s="226"/>
      <c r="E40" s="257" t="s">
        <v>35</v>
      </c>
      <c r="F40" s="257"/>
      <c r="G40" s="149" t="s">
        <v>5</v>
      </c>
      <c r="H40" s="150" t="s">
        <v>6</v>
      </c>
      <c r="I40" s="151" t="s">
        <v>43</v>
      </c>
      <c r="J40" s="152" t="s">
        <v>1</v>
      </c>
      <c r="L40" s="24"/>
    </row>
    <row r="41" spans="2:12" s="3" customFormat="1" ht="18">
      <c r="B41" s="284" t="s">
        <v>24</v>
      </c>
      <c r="C41" s="176"/>
      <c r="D41" s="176"/>
      <c r="E41" s="260"/>
      <c r="F41" s="261"/>
      <c r="G41" s="182"/>
      <c r="H41" s="159"/>
      <c r="I41" s="129"/>
      <c r="J41" s="129"/>
      <c r="L41" s="24"/>
    </row>
    <row r="42" spans="2:12" s="3" customFormat="1" ht="18">
      <c r="B42" s="285" t="s">
        <v>96</v>
      </c>
      <c r="C42" s="175"/>
      <c r="D42" s="175"/>
      <c r="E42" s="262" t="s">
        <v>60</v>
      </c>
      <c r="F42" s="263"/>
      <c r="G42" s="177">
        <v>350</v>
      </c>
      <c r="H42" s="160" t="s">
        <v>39</v>
      </c>
      <c r="I42" s="130">
        <v>395</v>
      </c>
      <c r="J42" s="130">
        <f aca="true" t="shared" si="2" ref="J42:J53">G42*I42</f>
        <v>138250</v>
      </c>
      <c r="L42" s="24"/>
    </row>
    <row r="43" spans="2:12" s="3" customFormat="1" ht="18">
      <c r="B43" s="285" t="s">
        <v>97</v>
      </c>
      <c r="C43" s="171"/>
      <c r="D43" s="171"/>
      <c r="E43" s="262" t="s">
        <v>59</v>
      </c>
      <c r="F43" s="263"/>
      <c r="G43" s="163">
        <v>150</v>
      </c>
      <c r="H43" s="157" t="s">
        <v>39</v>
      </c>
      <c r="I43" s="130">
        <v>360</v>
      </c>
      <c r="J43" s="130">
        <f t="shared" si="2"/>
        <v>54000</v>
      </c>
      <c r="L43" s="24"/>
    </row>
    <row r="44" spans="2:12" s="3" customFormat="1" ht="18">
      <c r="B44" s="172" t="s">
        <v>25</v>
      </c>
      <c r="C44" s="142"/>
      <c r="D44" s="142"/>
      <c r="E44" s="262"/>
      <c r="F44" s="263"/>
      <c r="G44" s="163"/>
      <c r="H44" s="157"/>
      <c r="I44" s="130"/>
      <c r="J44" s="130"/>
      <c r="L44" s="24"/>
    </row>
    <row r="45" spans="2:12" s="3" customFormat="1" ht="18">
      <c r="B45" s="286" t="s">
        <v>98</v>
      </c>
      <c r="C45" s="173"/>
      <c r="D45" s="173"/>
      <c r="E45" s="262" t="s">
        <v>105</v>
      </c>
      <c r="F45" s="263"/>
      <c r="G45" s="163">
        <v>1</v>
      </c>
      <c r="H45" s="157" t="s">
        <v>40</v>
      </c>
      <c r="I45" s="130">
        <v>7540</v>
      </c>
      <c r="J45" s="130">
        <f t="shared" si="2"/>
        <v>7540</v>
      </c>
      <c r="L45" s="24"/>
    </row>
    <row r="46" spans="2:12" s="3" customFormat="1" ht="18">
      <c r="B46" s="172" t="s">
        <v>53</v>
      </c>
      <c r="C46" s="26"/>
      <c r="D46" s="168"/>
      <c r="E46" s="262"/>
      <c r="F46" s="263"/>
      <c r="G46" s="163"/>
      <c r="H46" s="157"/>
      <c r="I46" s="130"/>
      <c r="J46" s="130"/>
      <c r="L46" s="24"/>
    </row>
    <row r="47" spans="2:12" s="3" customFormat="1" ht="18">
      <c r="B47" s="286" t="s">
        <v>99</v>
      </c>
      <c r="C47" s="26"/>
      <c r="D47" s="181"/>
      <c r="E47" s="262" t="s">
        <v>59</v>
      </c>
      <c r="F47" s="263"/>
      <c r="G47" s="163">
        <v>2</v>
      </c>
      <c r="H47" s="157" t="s">
        <v>40</v>
      </c>
      <c r="I47" s="130">
        <v>24500</v>
      </c>
      <c r="J47" s="130">
        <f t="shared" si="2"/>
        <v>49000</v>
      </c>
      <c r="L47" s="24"/>
    </row>
    <row r="48" spans="2:12" s="3" customFormat="1" ht="18">
      <c r="B48" s="172" t="s">
        <v>100</v>
      </c>
      <c r="C48" s="26"/>
      <c r="D48" s="181"/>
      <c r="E48" s="262"/>
      <c r="F48" s="263"/>
      <c r="G48" s="163"/>
      <c r="H48" s="157"/>
      <c r="I48" s="130"/>
      <c r="J48" s="130"/>
      <c r="L48" s="24"/>
    </row>
    <row r="49" spans="2:12" s="3" customFormat="1" ht="18">
      <c r="B49" s="286" t="s">
        <v>101</v>
      </c>
      <c r="C49" s="173"/>
      <c r="D49" s="173"/>
      <c r="E49" s="262" t="s">
        <v>106</v>
      </c>
      <c r="F49" s="263"/>
      <c r="G49" s="163">
        <v>2</v>
      </c>
      <c r="H49" s="157" t="s">
        <v>40</v>
      </c>
      <c r="I49" s="130">
        <v>8500</v>
      </c>
      <c r="J49" s="130">
        <f t="shared" si="2"/>
        <v>17000</v>
      </c>
      <c r="L49" s="24"/>
    </row>
    <row r="50" spans="2:12" s="3" customFormat="1" ht="18">
      <c r="B50" s="174" t="s">
        <v>102</v>
      </c>
      <c r="C50" s="169"/>
      <c r="D50" s="169"/>
      <c r="E50" s="262"/>
      <c r="F50" s="263"/>
      <c r="G50" s="177"/>
      <c r="H50" s="160"/>
      <c r="I50" s="130"/>
      <c r="J50" s="130"/>
      <c r="L50" s="24"/>
    </row>
    <row r="51" spans="2:12" s="3" customFormat="1" ht="18">
      <c r="B51" s="285" t="s">
        <v>103</v>
      </c>
      <c r="C51" s="168"/>
      <c r="D51" s="178"/>
      <c r="E51" s="262" t="s">
        <v>107</v>
      </c>
      <c r="F51" s="263"/>
      <c r="G51" s="177">
        <v>1</v>
      </c>
      <c r="H51" s="160" t="s">
        <v>38</v>
      </c>
      <c r="I51" s="130">
        <v>20000</v>
      </c>
      <c r="J51" s="130">
        <f t="shared" si="2"/>
        <v>20000</v>
      </c>
      <c r="L51" s="24"/>
    </row>
    <row r="52" spans="2:12" s="3" customFormat="1" ht="18">
      <c r="B52" s="285" t="s">
        <v>104</v>
      </c>
      <c r="C52" s="181"/>
      <c r="D52" s="181"/>
      <c r="E52" s="262" t="s">
        <v>56</v>
      </c>
      <c r="F52" s="263"/>
      <c r="G52" s="177">
        <v>2</v>
      </c>
      <c r="H52" s="160" t="s">
        <v>37</v>
      </c>
      <c r="I52" s="130">
        <v>100000</v>
      </c>
      <c r="J52" s="130">
        <f t="shared" si="2"/>
        <v>200000</v>
      </c>
      <c r="L52" s="24"/>
    </row>
    <row r="53" spans="2:12" s="3" customFormat="1" ht="21">
      <c r="B53" s="287" t="s">
        <v>113</v>
      </c>
      <c r="C53" s="181"/>
      <c r="D53" s="181"/>
      <c r="E53" s="262" t="s">
        <v>108</v>
      </c>
      <c r="F53" s="263"/>
      <c r="G53" s="177">
        <v>1</v>
      </c>
      <c r="H53" s="160" t="s">
        <v>41</v>
      </c>
      <c r="I53" s="130">
        <v>28000</v>
      </c>
      <c r="J53" s="130">
        <f t="shared" si="2"/>
        <v>28000</v>
      </c>
      <c r="L53" s="24"/>
    </row>
    <row r="54" spans="2:14" ht="18">
      <c r="B54" s="223" t="s">
        <v>11</v>
      </c>
      <c r="C54" s="224"/>
      <c r="D54" s="224"/>
      <c r="E54" s="224"/>
      <c r="F54" s="224"/>
      <c r="G54" s="224"/>
      <c r="H54" s="224"/>
      <c r="I54" s="224"/>
      <c r="J54" s="125">
        <f>SUM(J41:J53)</f>
        <v>513790</v>
      </c>
      <c r="K54" s="16"/>
      <c r="M54" s="16"/>
      <c r="N54" s="16"/>
    </row>
    <row r="55" spans="2:14" s="3" customFormat="1" ht="18">
      <c r="B55" s="29"/>
      <c r="C55" s="29"/>
      <c r="D55" s="29"/>
      <c r="E55" s="29"/>
      <c r="F55" s="29"/>
      <c r="G55" s="30"/>
      <c r="H55" s="29"/>
      <c r="I55" s="29"/>
      <c r="J55" s="31"/>
      <c r="K55" s="16"/>
      <c r="M55" s="16"/>
      <c r="N55" s="16"/>
    </row>
    <row r="56" spans="2:16" ht="18" customHeight="1">
      <c r="B56" s="225" t="s">
        <v>44</v>
      </c>
      <c r="C56" s="226"/>
      <c r="D56" s="226"/>
      <c r="E56" s="255"/>
      <c r="F56" s="255"/>
      <c r="G56" s="149" t="s">
        <v>5</v>
      </c>
      <c r="H56" s="150" t="s">
        <v>6</v>
      </c>
      <c r="I56" s="151"/>
      <c r="J56" s="152" t="s">
        <v>1</v>
      </c>
      <c r="K56" s="16"/>
      <c r="M56" s="16"/>
      <c r="N56" s="16"/>
      <c r="O56" s="9"/>
      <c r="P56" s="9"/>
    </row>
    <row r="57" spans="2:14" s="3" customFormat="1" ht="18">
      <c r="B57" s="276" t="s">
        <v>52</v>
      </c>
      <c r="C57" s="277"/>
      <c r="D57" s="278"/>
      <c r="E57" s="279"/>
      <c r="F57" s="280"/>
      <c r="G57" s="283">
        <v>0.05</v>
      </c>
      <c r="H57" s="281" t="s">
        <v>36</v>
      </c>
      <c r="I57" s="282"/>
      <c r="J57" s="282">
        <f>(J28+J38+J54)*G57</f>
        <v>156589.5</v>
      </c>
      <c r="K57" s="16"/>
      <c r="M57" s="16"/>
      <c r="N57" s="16"/>
    </row>
    <row r="58" spans="11:14" s="3" customFormat="1" ht="18">
      <c r="K58" s="16"/>
      <c r="M58" s="16"/>
      <c r="N58" s="16"/>
    </row>
    <row r="59" spans="2:14" s="3" customFormat="1" ht="18">
      <c r="B59" s="227" t="s">
        <v>45</v>
      </c>
      <c r="C59" s="228"/>
      <c r="D59" s="228"/>
      <c r="E59" s="228"/>
      <c r="F59" s="228"/>
      <c r="G59" s="228"/>
      <c r="H59" s="228"/>
      <c r="I59" s="228"/>
      <c r="J59" s="104">
        <f>J28+J38+J54+J57</f>
        <v>3288379.5</v>
      </c>
      <c r="K59" s="16"/>
      <c r="M59" s="16"/>
      <c r="N59" s="16"/>
    </row>
    <row r="60" spans="2:14" s="3" customFormat="1" ht="18">
      <c r="B60" s="134"/>
      <c r="C60" s="134"/>
      <c r="D60" s="134"/>
      <c r="E60" s="134"/>
      <c r="F60" s="134"/>
      <c r="G60" s="32"/>
      <c r="H60" s="134"/>
      <c r="I60" s="134"/>
      <c r="J60" s="27"/>
      <c r="K60" s="16"/>
      <c r="M60" s="16"/>
      <c r="N60" s="16"/>
    </row>
    <row r="61" spans="2:14" s="3" customFormat="1" ht="20.25">
      <c r="B61" s="120" t="s">
        <v>47</v>
      </c>
      <c r="C61" s="119"/>
      <c r="D61" s="119"/>
      <c r="E61" s="20"/>
      <c r="F61" s="20"/>
      <c r="G61" s="21"/>
      <c r="H61" s="22"/>
      <c r="I61" s="23"/>
      <c r="J61" s="23"/>
      <c r="K61" s="16"/>
      <c r="M61" s="16"/>
      <c r="N61" s="16"/>
    </row>
    <row r="62" spans="2:14" s="3" customFormat="1" ht="18" customHeight="1">
      <c r="B62" s="273" t="s">
        <v>31</v>
      </c>
      <c r="C62" s="255"/>
      <c r="D62" s="255"/>
      <c r="E62" s="255"/>
      <c r="F62" s="255"/>
      <c r="G62" s="149" t="s">
        <v>5</v>
      </c>
      <c r="H62" s="150" t="s">
        <v>6</v>
      </c>
      <c r="I62" s="151"/>
      <c r="J62" s="152" t="s">
        <v>1</v>
      </c>
      <c r="K62" s="16"/>
      <c r="M62" s="16"/>
      <c r="N62" s="16"/>
    </row>
    <row r="63" spans="2:15" s="3" customFormat="1" ht="18" customHeight="1">
      <c r="B63" s="229" t="s">
        <v>66</v>
      </c>
      <c r="C63" s="205"/>
      <c r="D63" s="205"/>
      <c r="E63" s="258"/>
      <c r="F63" s="259"/>
      <c r="G63" s="179">
        <f>E16</f>
        <v>0.015</v>
      </c>
      <c r="H63" s="180" t="s">
        <v>36</v>
      </c>
      <c r="I63" s="207"/>
      <c r="J63" s="11">
        <f>J59*E16*E17*0.5</f>
        <v>147977.07749999998</v>
      </c>
      <c r="K63" s="16"/>
      <c r="L63" s="317"/>
      <c r="M63" s="317"/>
      <c r="N63" s="317"/>
      <c r="O63" s="317"/>
    </row>
    <row r="64" spans="2:18" ht="18" customHeight="1" outlineLevel="1">
      <c r="B64" s="185" t="s">
        <v>71</v>
      </c>
      <c r="C64" s="169"/>
      <c r="D64" s="169"/>
      <c r="E64" s="203"/>
      <c r="F64" s="197"/>
      <c r="G64" s="198"/>
      <c r="H64" s="205"/>
      <c r="I64" s="208"/>
      <c r="J64" s="199"/>
      <c r="L64"/>
      <c r="M64"/>
      <c r="N64"/>
      <c r="O64"/>
      <c r="P64"/>
      <c r="Q64"/>
      <c r="R64"/>
    </row>
    <row r="65" spans="2:18" ht="18" customHeight="1" outlineLevel="1">
      <c r="B65" s="185" t="s">
        <v>72</v>
      </c>
      <c r="C65" s="169"/>
      <c r="D65" s="169"/>
      <c r="E65" s="203"/>
      <c r="F65" s="197"/>
      <c r="G65" s="198"/>
      <c r="H65" s="205"/>
      <c r="I65" s="208"/>
      <c r="J65" s="199"/>
      <c r="L65"/>
      <c r="M65"/>
      <c r="N65"/>
      <c r="O65"/>
      <c r="P65"/>
      <c r="Q65"/>
      <c r="R65"/>
    </row>
    <row r="66" spans="2:18" ht="18" customHeight="1" outlineLevel="1">
      <c r="B66" s="188" t="s">
        <v>73</v>
      </c>
      <c r="C66" s="131"/>
      <c r="D66" s="131"/>
      <c r="E66" s="204"/>
      <c r="F66" s="200"/>
      <c r="G66" s="201"/>
      <c r="H66" s="206"/>
      <c r="I66" s="209"/>
      <c r="J66" s="202"/>
      <c r="L66"/>
      <c r="M66"/>
      <c r="N66"/>
      <c r="O66"/>
      <c r="P66"/>
      <c r="Q66"/>
      <c r="R66"/>
    </row>
    <row r="67" spans="2:14" ht="18">
      <c r="B67" s="230" t="s">
        <v>28</v>
      </c>
      <c r="C67" s="231"/>
      <c r="D67" s="231"/>
      <c r="E67" s="231"/>
      <c r="F67" s="231"/>
      <c r="G67" s="231"/>
      <c r="H67" s="231"/>
      <c r="I67" s="231"/>
      <c r="J67" s="104">
        <f>SUM(J63:J66)</f>
        <v>147977.07749999998</v>
      </c>
      <c r="K67" s="16"/>
      <c r="M67" s="16"/>
      <c r="N67" s="16"/>
    </row>
    <row r="68" spans="2:12" s="3" customFormat="1" ht="18">
      <c r="B68" s="84"/>
      <c r="C68" s="84"/>
      <c r="D68" s="84"/>
      <c r="E68" s="84"/>
      <c r="F68" s="84"/>
      <c r="G68" s="25"/>
      <c r="H68" s="84"/>
      <c r="I68" s="84"/>
      <c r="J68" s="27"/>
      <c r="K68" s="16"/>
      <c r="L68" s="16"/>
    </row>
    <row r="69" spans="2:12" ht="18">
      <c r="B69" s="232" t="s">
        <v>13</v>
      </c>
      <c r="C69" s="233"/>
      <c r="D69" s="233"/>
      <c r="E69" s="233"/>
      <c r="F69" s="233"/>
      <c r="G69" s="233"/>
      <c r="H69" s="233"/>
      <c r="I69" s="233"/>
      <c r="J69" s="236">
        <f>J59+J67</f>
        <v>3436356.5775</v>
      </c>
      <c r="K69" s="16"/>
      <c r="L69" s="16"/>
    </row>
    <row r="70" spans="2:12" s="3" customFormat="1" ht="18">
      <c r="B70" s="234"/>
      <c r="C70" s="235"/>
      <c r="D70" s="235"/>
      <c r="E70" s="235"/>
      <c r="F70" s="235"/>
      <c r="G70" s="235"/>
      <c r="H70" s="235"/>
      <c r="I70" s="235"/>
      <c r="J70" s="237"/>
      <c r="K70" s="16"/>
      <c r="L70" s="16"/>
    </row>
    <row r="71" spans="2:12" s="3" customFormat="1" ht="18" customHeight="1">
      <c r="B71" s="140"/>
      <c r="C71" s="140"/>
      <c r="D71" s="140"/>
      <c r="E71" s="140"/>
      <c r="F71" s="140"/>
      <c r="G71" s="140"/>
      <c r="H71" s="140"/>
      <c r="I71" s="140"/>
      <c r="J71" s="141"/>
      <c r="K71" s="16"/>
      <c r="L71" s="16"/>
    </row>
    <row r="72" spans="2:12" s="3" customFormat="1" ht="18" customHeight="1">
      <c r="B72" s="140"/>
      <c r="C72" s="140"/>
      <c r="D72" s="140"/>
      <c r="E72" s="140"/>
      <c r="F72" s="140"/>
      <c r="G72" s="140"/>
      <c r="H72" s="140"/>
      <c r="I72" s="140"/>
      <c r="J72" s="141"/>
      <c r="K72" s="16"/>
      <c r="L72" s="16"/>
    </row>
    <row r="73" spans="2:12" s="3" customFormat="1" ht="18" customHeight="1">
      <c r="B73" s="140"/>
      <c r="C73" s="140"/>
      <c r="D73" s="140"/>
      <c r="E73" s="140"/>
      <c r="F73" s="140"/>
      <c r="G73" s="140"/>
      <c r="H73" s="140"/>
      <c r="I73" s="140"/>
      <c r="J73" s="141"/>
      <c r="K73" s="16"/>
      <c r="L73" s="16"/>
    </row>
    <row r="74" spans="2:12" ht="18" customHeight="1">
      <c r="B74" s="328" t="s">
        <v>67</v>
      </c>
      <c r="C74" s="329"/>
      <c r="D74" s="329"/>
      <c r="E74" s="329"/>
      <c r="F74" s="329"/>
      <c r="G74" s="329"/>
      <c r="H74" s="329"/>
      <c r="I74" s="329"/>
      <c r="J74" s="330"/>
      <c r="K74" s="16"/>
      <c r="L74" s="24"/>
    </row>
    <row r="75" spans="2:12" ht="18" customHeight="1">
      <c r="B75" s="297" t="s">
        <v>42</v>
      </c>
      <c r="C75" s="298"/>
      <c r="D75" s="298"/>
      <c r="E75" s="298"/>
      <c r="F75" s="298"/>
      <c r="G75" s="298"/>
      <c r="H75" s="298"/>
      <c r="I75" s="298"/>
      <c r="J75" s="299"/>
      <c r="K75" s="16"/>
      <c r="L75" s="24"/>
    </row>
    <row r="76" spans="2:12" s="3" customFormat="1" ht="18" customHeight="1">
      <c r="B76" s="269" t="s">
        <v>114</v>
      </c>
      <c r="C76" s="264"/>
      <c r="D76" s="265"/>
      <c r="E76" s="302" t="s">
        <v>115</v>
      </c>
      <c r="F76" s="303"/>
      <c r="G76" s="303"/>
      <c r="H76" s="303"/>
      <c r="I76" s="303"/>
      <c r="J76" s="304"/>
      <c r="K76" s="16"/>
      <c r="L76" s="24"/>
    </row>
    <row r="77" spans="2:12" s="3" customFormat="1" ht="18" customHeight="1">
      <c r="B77" s="266"/>
      <c r="C77" s="267"/>
      <c r="D77" s="268"/>
      <c r="E77" s="331">
        <f>ROUND(G77*0.9,0)</f>
        <v>720</v>
      </c>
      <c r="F77" s="332"/>
      <c r="G77" s="333">
        <f>E14</f>
        <v>800</v>
      </c>
      <c r="H77" s="334"/>
      <c r="I77" s="331">
        <f>ROUND(G77*1.1,0)</f>
        <v>880</v>
      </c>
      <c r="J77" s="332"/>
      <c r="K77" s="16"/>
      <c r="L77" s="24"/>
    </row>
    <row r="78" spans="2:12" s="3" customFormat="1" ht="18" customHeight="1">
      <c r="B78" s="238"/>
      <c r="C78" s="240">
        <f>ROUND(E13*0.9,0)</f>
        <v>4950</v>
      </c>
      <c r="D78" s="239"/>
      <c r="E78" s="300">
        <f>E$77*$C$78-$J$69</f>
        <v>127643.42249999987</v>
      </c>
      <c r="F78" s="301"/>
      <c r="G78" s="300">
        <f>G$77*$C$78-$J$69</f>
        <v>523643.42249999987</v>
      </c>
      <c r="H78" s="301"/>
      <c r="I78" s="300">
        <f>I$77*$C$78-$J$69</f>
        <v>919643.4224999999</v>
      </c>
      <c r="J78" s="301"/>
      <c r="K78" s="16"/>
      <c r="L78" s="24"/>
    </row>
    <row r="79" spans="2:12" s="3" customFormat="1" ht="18" customHeight="1">
      <c r="B79" s="238"/>
      <c r="C79" s="240">
        <f>E13</f>
        <v>5500</v>
      </c>
      <c r="D79" s="239"/>
      <c r="E79" s="300">
        <f>E$77*$C$79-$J$69</f>
        <v>523643.42249999987</v>
      </c>
      <c r="F79" s="301"/>
      <c r="G79" s="300">
        <f>G$77*$C$79-$J$69</f>
        <v>963643.4224999999</v>
      </c>
      <c r="H79" s="301"/>
      <c r="I79" s="300">
        <f>I$77*$C$79-$J$69</f>
        <v>1403643.4224999999</v>
      </c>
      <c r="J79" s="301"/>
      <c r="K79" s="16"/>
      <c r="L79" s="24"/>
    </row>
    <row r="80" spans="2:12" s="3" customFormat="1" ht="18" customHeight="1">
      <c r="B80" s="238"/>
      <c r="C80" s="240">
        <f>ROUND(E13*1.1,0)</f>
        <v>6050</v>
      </c>
      <c r="D80" s="239"/>
      <c r="E80" s="300">
        <f>E$77*$C$80-$J$69</f>
        <v>919643.4224999999</v>
      </c>
      <c r="F80" s="301"/>
      <c r="G80" s="300">
        <f>G$77*$C$80-$J$69</f>
        <v>1403643.4224999999</v>
      </c>
      <c r="H80" s="301"/>
      <c r="I80" s="300">
        <f>I$77*$C$80-$J$69</f>
        <v>1887643.4224999999</v>
      </c>
      <c r="J80" s="301"/>
      <c r="K80" s="16"/>
      <c r="L80" s="24"/>
    </row>
    <row r="81" spans="2:12" s="3" customFormat="1" ht="18" customHeight="1">
      <c r="B81" s="34"/>
      <c r="C81" s="34"/>
      <c r="D81" s="35"/>
      <c r="E81" s="35"/>
      <c r="F81" s="35"/>
      <c r="G81" s="36"/>
      <c r="H81" s="12"/>
      <c r="I81" s="15"/>
      <c r="J81" s="15"/>
      <c r="K81" s="16"/>
      <c r="L81" s="24"/>
    </row>
    <row r="82" spans="2:12" s="3" customFormat="1" ht="18" customHeight="1">
      <c r="B82" s="294" t="s">
        <v>116</v>
      </c>
      <c r="C82" s="295"/>
      <c r="D82" s="295"/>
      <c r="E82" s="295"/>
      <c r="F82" s="295"/>
      <c r="G82" s="295"/>
      <c r="H82" s="295"/>
      <c r="I82" s="295"/>
      <c r="J82" s="296"/>
      <c r="K82" s="16"/>
      <c r="L82" s="24"/>
    </row>
    <row r="83" spans="2:12" s="3" customFormat="1" ht="18" customHeight="1">
      <c r="B83" s="270"/>
      <c r="C83" s="271"/>
      <c r="D83" s="271"/>
      <c r="E83" s="271"/>
      <c r="F83" s="271"/>
      <c r="G83" s="271"/>
      <c r="H83" s="271"/>
      <c r="I83" s="271"/>
      <c r="J83" s="272"/>
      <c r="K83" s="16"/>
      <c r="L83" s="24"/>
    </row>
    <row r="84" spans="2:12" s="3" customFormat="1" ht="18" customHeight="1">
      <c r="B84" s="241" t="s">
        <v>114</v>
      </c>
      <c r="C84" s="242"/>
      <c r="D84" s="242"/>
      <c r="E84" s="194">
        <f>C78</f>
        <v>4950</v>
      </c>
      <c r="F84" s="242"/>
      <c r="G84" s="194">
        <f>E13</f>
        <v>5500</v>
      </c>
      <c r="H84" s="242"/>
      <c r="I84" s="194">
        <f>C80</f>
        <v>6050</v>
      </c>
      <c r="J84" s="249"/>
      <c r="K84" s="16"/>
      <c r="L84" s="24"/>
    </row>
    <row r="85" spans="2:12" ht="18" customHeight="1">
      <c r="B85" s="243"/>
      <c r="C85" s="244"/>
      <c r="D85" s="244"/>
      <c r="E85" s="195"/>
      <c r="F85" s="244"/>
      <c r="G85" s="195"/>
      <c r="H85" s="244"/>
      <c r="I85" s="195"/>
      <c r="J85" s="250"/>
      <c r="K85" s="16"/>
      <c r="L85" s="24"/>
    </row>
    <row r="86" spans="2:12" ht="18" customHeight="1">
      <c r="B86" s="245" t="s">
        <v>117</v>
      </c>
      <c r="C86" s="246"/>
      <c r="D86" s="246"/>
      <c r="E86" s="193">
        <f>$J$69/E84</f>
        <v>694.2134500000001</v>
      </c>
      <c r="F86" s="251"/>
      <c r="G86" s="193">
        <f>$J$69/G84</f>
        <v>624.792105</v>
      </c>
      <c r="H86" s="251"/>
      <c r="I86" s="193">
        <f>$J$69/I84</f>
        <v>567.9928227272727</v>
      </c>
      <c r="J86" s="253"/>
      <c r="K86" s="16"/>
      <c r="L86" s="24"/>
    </row>
    <row r="87" spans="2:12" ht="18" customHeight="1">
      <c r="B87" s="247"/>
      <c r="C87" s="248"/>
      <c r="D87" s="248"/>
      <c r="E87" s="252"/>
      <c r="F87" s="252"/>
      <c r="G87" s="252"/>
      <c r="H87" s="252"/>
      <c r="I87" s="252"/>
      <c r="J87" s="254"/>
      <c r="K87" s="16"/>
      <c r="L87" s="24"/>
    </row>
    <row r="88" spans="2:12" ht="18" customHeight="1">
      <c r="B88" s="46"/>
      <c r="C88" s="1"/>
      <c r="D88" s="3"/>
      <c r="E88" s="3"/>
      <c r="F88" s="105"/>
      <c r="G88" s="105"/>
      <c r="H88" s="105"/>
      <c r="I88" s="15"/>
      <c r="J88" s="15"/>
      <c r="K88" s="16"/>
      <c r="L88" s="24"/>
    </row>
    <row r="89" spans="2:11" s="3" customFormat="1" ht="18" customHeight="1">
      <c r="B89" s="318" t="s">
        <v>15</v>
      </c>
      <c r="C89" s="319"/>
      <c r="D89" s="319"/>
      <c r="E89" s="319"/>
      <c r="F89" s="319"/>
      <c r="G89" s="319"/>
      <c r="H89" s="319"/>
      <c r="I89" s="319"/>
      <c r="J89" s="320"/>
      <c r="K89" s="80"/>
    </row>
    <row r="90" spans="2:14" s="3" customFormat="1" ht="18">
      <c r="B90" s="291" t="s">
        <v>109</v>
      </c>
      <c r="C90" s="292"/>
      <c r="D90" s="292"/>
      <c r="E90" s="292"/>
      <c r="F90" s="292"/>
      <c r="G90" s="292"/>
      <c r="H90" s="292"/>
      <c r="I90" s="292"/>
      <c r="J90" s="293"/>
      <c r="K90" s="80"/>
      <c r="N90" s="106"/>
    </row>
    <row r="91" spans="2:11" s="3" customFormat="1" ht="15.75" customHeight="1">
      <c r="B91" s="291" t="s">
        <v>110</v>
      </c>
      <c r="C91" s="292"/>
      <c r="D91" s="292"/>
      <c r="E91" s="292"/>
      <c r="F91" s="292"/>
      <c r="G91" s="292"/>
      <c r="H91" s="292"/>
      <c r="I91" s="292"/>
      <c r="J91" s="293"/>
      <c r="K91" s="81"/>
    </row>
    <row r="92" spans="2:11" s="3" customFormat="1" ht="15.75" customHeight="1">
      <c r="B92" s="291" t="s">
        <v>64</v>
      </c>
      <c r="C92" s="292"/>
      <c r="D92" s="292"/>
      <c r="E92" s="292"/>
      <c r="F92" s="292"/>
      <c r="G92" s="292"/>
      <c r="H92" s="292"/>
      <c r="I92" s="292"/>
      <c r="J92" s="293"/>
      <c r="K92" s="81"/>
    </row>
    <row r="93" spans="2:11" s="3" customFormat="1" ht="30.75" customHeight="1">
      <c r="B93" s="322" t="s">
        <v>68</v>
      </c>
      <c r="C93" s="323"/>
      <c r="D93" s="323"/>
      <c r="E93" s="323"/>
      <c r="F93" s="323"/>
      <c r="G93" s="323"/>
      <c r="H93" s="323"/>
      <c r="I93" s="323"/>
      <c r="J93" s="324"/>
      <c r="K93" s="80"/>
    </row>
    <row r="94" spans="2:11" s="3" customFormat="1" ht="18" customHeight="1">
      <c r="B94" s="291" t="s">
        <v>69</v>
      </c>
      <c r="C94" s="292"/>
      <c r="D94" s="292"/>
      <c r="E94" s="292"/>
      <c r="F94" s="292"/>
      <c r="G94" s="292"/>
      <c r="H94" s="292"/>
      <c r="I94" s="292"/>
      <c r="J94" s="293"/>
      <c r="K94" s="80"/>
    </row>
    <row r="95" spans="2:11" s="3" customFormat="1" ht="18" customHeight="1">
      <c r="B95" s="291" t="s">
        <v>74</v>
      </c>
      <c r="C95" s="292"/>
      <c r="D95" s="292"/>
      <c r="E95" s="292"/>
      <c r="F95" s="292"/>
      <c r="G95" s="292"/>
      <c r="H95" s="292"/>
      <c r="I95" s="292"/>
      <c r="J95" s="293"/>
      <c r="K95" s="80"/>
    </row>
    <row r="96" spans="2:11" s="3" customFormat="1" ht="18">
      <c r="B96" s="325" t="s">
        <v>70</v>
      </c>
      <c r="C96" s="326"/>
      <c r="D96" s="326"/>
      <c r="E96" s="326"/>
      <c r="F96" s="326"/>
      <c r="G96" s="326"/>
      <c r="H96" s="326"/>
      <c r="I96" s="326"/>
      <c r="J96" s="327"/>
      <c r="K96" s="80"/>
    </row>
    <row r="97" spans="2:11" s="3" customFormat="1" ht="18.75" customHeight="1">
      <c r="B97" s="288" t="s">
        <v>62</v>
      </c>
      <c r="C97" s="289"/>
      <c r="D97" s="289"/>
      <c r="E97" s="289"/>
      <c r="F97" s="289"/>
      <c r="G97" s="289"/>
      <c r="H97" s="289"/>
      <c r="I97" s="289"/>
      <c r="J97" s="290"/>
      <c r="K97" s="80"/>
    </row>
    <row r="98" spans="2:11" s="3" customFormat="1" ht="18" customHeight="1">
      <c r="B98" s="143"/>
      <c r="C98" s="143"/>
      <c r="D98" s="143"/>
      <c r="E98" s="143"/>
      <c r="F98" s="143"/>
      <c r="G98" s="143"/>
      <c r="H98" s="143"/>
      <c r="I98" s="143"/>
      <c r="J98" s="143"/>
      <c r="K98" s="81"/>
    </row>
    <row r="99" spans="2:11" s="3" customFormat="1" ht="18" customHeight="1">
      <c r="B99" s="37"/>
      <c r="C99" s="38"/>
      <c r="D99" s="38"/>
      <c r="E99" s="38"/>
      <c r="F99" s="38"/>
      <c r="G99" s="38"/>
      <c r="H99" s="38"/>
      <c r="I99" s="38"/>
      <c r="J99" s="38"/>
      <c r="K99" s="33"/>
    </row>
    <row r="100" spans="2:11" s="3" customFormat="1" ht="16.5" customHeight="1">
      <c r="B100" s="39"/>
      <c r="C100" s="39"/>
      <c r="D100" s="39"/>
      <c r="E100" s="39"/>
      <c r="F100" s="39"/>
      <c r="G100" s="40"/>
      <c r="H100" s="39"/>
      <c r="I100" s="39"/>
      <c r="J100" s="39"/>
      <c r="K100" s="9"/>
    </row>
    <row r="101" spans="2:11" s="3" customFormat="1" ht="15">
      <c r="B101" s="4"/>
      <c r="C101" s="4"/>
      <c r="D101" s="4"/>
      <c r="E101" s="4"/>
      <c r="F101" s="4"/>
      <c r="G101" s="5"/>
      <c r="H101" s="4"/>
      <c r="I101" s="4"/>
      <c r="J101" s="4"/>
      <c r="K101" s="9"/>
    </row>
    <row r="102" spans="2:11" s="3" customFormat="1" ht="15">
      <c r="B102" s="6"/>
      <c r="C102" s="6"/>
      <c r="D102" s="6"/>
      <c r="E102" s="6"/>
      <c r="F102" s="6"/>
      <c r="G102" s="7"/>
      <c r="H102" s="6"/>
      <c r="I102" s="6"/>
      <c r="J102" s="6"/>
      <c r="K102" s="9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2" s="3" customFormat="1" ht="15">
      <c r="B105" s="67"/>
      <c r="C105" s="67"/>
      <c r="D105" s="67"/>
      <c r="E105" s="67"/>
      <c r="F105" s="67"/>
      <c r="G105" s="68"/>
      <c r="H105" s="67"/>
      <c r="I105" s="67"/>
      <c r="J105" s="67"/>
      <c r="K105" s="69"/>
      <c r="L105" s="67"/>
    </row>
    <row r="106" spans="2:12" s="3" customFormat="1" ht="15">
      <c r="B106" s="67"/>
      <c r="C106" s="67"/>
      <c r="D106" s="67"/>
      <c r="E106" s="67"/>
      <c r="F106" s="67"/>
      <c r="G106" s="68"/>
      <c r="H106" s="67"/>
      <c r="I106" s="67"/>
      <c r="J106" s="67"/>
      <c r="K106" s="69"/>
      <c r="L106" s="67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ht="18">
      <c r="B109" s="56"/>
      <c r="C109" s="56"/>
      <c r="D109" s="57"/>
      <c r="E109" s="57"/>
      <c r="F109" s="58"/>
      <c r="G109" s="58"/>
      <c r="H109" s="58"/>
      <c r="I109" s="67"/>
      <c r="J109" s="67"/>
      <c r="K109" s="69"/>
      <c r="L109" s="67"/>
    </row>
    <row r="110" spans="2:12" ht="18">
      <c r="B110" s="56"/>
      <c r="C110" s="59"/>
      <c r="D110" s="59"/>
      <c r="E110" s="60"/>
      <c r="F110" s="59"/>
      <c r="G110" s="61"/>
      <c r="H110" s="62"/>
      <c r="I110" s="67"/>
      <c r="J110" s="67"/>
      <c r="K110" s="69"/>
      <c r="L110" s="67"/>
    </row>
    <row r="111" spans="2:12" ht="18">
      <c r="B111" s="57"/>
      <c r="C111" s="57"/>
      <c r="D111" s="57"/>
      <c r="E111" s="57"/>
      <c r="F111" s="57"/>
      <c r="G111" s="57"/>
      <c r="H111" s="57"/>
      <c r="I111" s="67"/>
      <c r="J111" s="67"/>
      <c r="K111" s="69"/>
      <c r="L111" s="67"/>
    </row>
    <row r="112" spans="2:12" ht="18">
      <c r="B112" s="56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8">
      <c r="B113" s="70"/>
      <c r="C113" s="71"/>
      <c r="D113" s="71"/>
      <c r="E113" s="63"/>
      <c r="F113" s="63"/>
      <c r="G113" s="63"/>
      <c r="H113" s="63"/>
      <c r="I113" s="67"/>
      <c r="J113" s="69"/>
      <c r="K113" s="69"/>
      <c r="L113" s="67"/>
    </row>
    <row r="114" spans="2:12" ht="18">
      <c r="B114" s="70"/>
      <c r="C114" s="71"/>
      <c r="D114" s="71"/>
      <c r="E114" s="63"/>
      <c r="F114" s="63"/>
      <c r="G114" s="63"/>
      <c r="H114" s="63"/>
      <c r="I114" s="67"/>
      <c r="J114" s="69"/>
      <c r="K114" s="69"/>
      <c r="L114" s="67"/>
    </row>
    <row r="115" spans="2:12" ht="18">
      <c r="B115" s="64"/>
      <c r="C115" s="65"/>
      <c r="D115" s="65"/>
      <c r="E115" s="64"/>
      <c r="F115" s="64"/>
      <c r="G115" s="64"/>
      <c r="H115" s="66"/>
      <c r="I115" s="67"/>
      <c r="J115" s="67"/>
      <c r="K115" s="69"/>
      <c r="L115" s="67"/>
    </row>
    <row r="116" spans="2:12" ht="18">
      <c r="B116" s="57"/>
      <c r="C116" s="57"/>
      <c r="D116" s="57"/>
      <c r="E116" s="57"/>
      <c r="F116" s="57"/>
      <c r="G116" s="57"/>
      <c r="H116" s="57"/>
      <c r="I116" s="67"/>
      <c r="J116" s="67"/>
      <c r="K116" s="69"/>
      <c r="L116" s="67"/>
    </row>
    <row r="117" spans="2:12" ht="18">
      <c r="B117" s="56"/>
      <c r="C117" s="57"/>
      <c r="D117" s="57"/>
      <c r="E117" s="57"/>
      <c r="F117" s="57"/>
      <c r="G117" s="57"/>
      <c r="H117" s="57"/>
      <c r="I117" s="67"/>
      <c r="J117" s="67"/>
      <c r="K117" s="69"/>
      <c r="L117" s="67"/>
    </row>
    <row r="118" spans="2:12" ht="18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8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321"/>
      <c r="C120" s="321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64"/>
      <c r="C131" s="65"/>
      <c r="D131" s="65"/>
      <c r="E131" s="64"/>
      <c r="F131" s="64"/>
      <c r="G131" s="64"/>
      <c r="H131" s="66"/>
      <c r="I131" s="67"/>
      <c r="J131" s="67"/>
      <c r="K131" s="69"/>
      <c r="L131" s="67"/>
    </row>
    <row r="132" spans="2:12" ht="18">
      <c r="B132" s="57"/>
      <c r="C132" s="57"/>
      <c r="D132" s="57"/>
      <c r="E132" s="57"/>
      <c r="F132" s="57"/>
      <c r="G132" s="57"/>
      <c r="H132" s="57"/>
      <c r="I132" s="67"/>
      <c r="J132" s="67"/>
      <c r="K132" s="69"/>
      <c r="L132" s="67"/>
    </row>
    <row r="133" spans="2:12" ht="18">
      <c r="B133" s="64"/>
      <c r="C133" s="65"/>
      <c r="D133" s="65"/>
      <c r="E133" s="64"/>
      <c r="F133" s="64"/>
      <c r="G133" s="64"/>
      <c r="H133" s="66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77"/>
      <c r="C144" s="77"/>
      <c r="D144" s="77"/>
      <c r="E144" s="77"/>
      <c r="F144" s="7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9"/>
      <c r="D147" s="69"/>
      <c r="E147" s="69"/>
      <c r="F147" s="69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9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9"/>
      <c r="D154" s="69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8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9"/>
      <c r="C167" s="69"/>
      <c r="D167" s="69"/>
      <c r="E167" s="69"/>
      <c r="F167" s="69"/>
      <c r="G167" s="69"/>
      <c r="H167" s="69"/>
      <c r="I167" s="69"/>
      <c r="J167" s="67"/>
      <c r="K167" s="69"/>
      <c r="L167" s="67"/>
    </row>
    <row r="168" spans="2:12" s="3" customFormat="1" ht="15">
      <c r="B168" s="69"/>
      <c r="C168" s="69"/>
      <c r="D168" s="69"/>
      <c r="E168" s="69"/>
      <c r="F168" s="69"/>
      <c r="G168" s="78"/>
      <c r="H168" s="69"/>
      <c r="I168" s="69"/>
      <c r="J168" s="67"/>
      <c r="K168" s="69"/>
      <c r="L168" s="78"/>
    </row>
    <row r="169" spans="2:12" s="3" customFormat="1" ht="15">
      <c r="B169" s="69"/>
      <c r="C169" s="69"/>
      <c r="D169" s="69"/>
      <c r="E169" s="69"/>
      <c r="F169" s="69"/>
      <c r="G169" s="69"/>
      <c r="H169" s="69"/>
      <c r="I169" s="79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9"/>
      <c r="I176" s="69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9"/>
      <c r="I177" s="69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</sheetData>
  <sheetProtection/>
  <mergeCells count="34">
    <mergeCell ref="G80:H80"/>
    <mergeCell ref="I78:J78"/>
    <mergeCell ref="I79:J79"/>
    <mergeCell ref="I80:J80"/>
    <mergeCell ref="I77:J77"/>
    <mergeCell ref="G77:H77"/>
    <mergeCell ref="G78:H78"/>
    <mergeCell ref="L63:O63"/>
    <mergeCell ref="B89:J89"/>
    <mergeCell ref="B120:C120"/>
    <mergeCell ref="B90:J90"/>
    <mergeCell ref="B93:J93"/>
    <mergeCell ref="B96:J96"/>
    <mergeCell ref="B74:J74"/>
    <mergeCell ref="B95:J95"/>
    <mergeCell ref="E77:F77"/>
    <mergeCell ref="E78:F78"/>
    <mergeCell ref="D2:J2"/>
    <mergeCell ref="D3:J3"/>
    <mergeCell ref="D4:J4"/>
    <mergeCell ref="B12:E12"/>
    <mergeCell ref="G12:J12"/>
    <mergeCell ref="E20:F20"/>
    <mergeCell ref="D6:J6"/>
    <mergeCell ref="B97:J97"/>
    <mergeCell ref="B92:J92"/>
    <mergeCell ref="B82:J82"/>
    <mergeCell ref="B91:J91"/>
    <mergeCell ref="B94:J94"/>
    <mergeCell ref="B75:J75"/>
    <mergeCell ref="E79:F79"/>
    <mergeCell ref="E80:F80"/>
    <mergeCell ref="E76:J76"/>
    <mergeCell ref="G79:H7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((Esparrago!E13-45000)/45000)+1</f>
        <v>0.12222222222222223</v>
      </c>
    </row>
    <row r="3" ht="18">
      <c r="B3" s="13"/>
    </row>
    <row r="4" spans="2:3" ht="18">
      <c r="B4" s="335" t="s">
        <v>18</v>
      </c>
      <c r="C4" s="335"/>
    </row>
    <row r="5" spans="2:5" ht="18">
      <c r="B5" s="82" t="s">
        <v>32</v>
      </c>
      <c r="C5" s="131"/>
      <c r="D5" s="83"/>
      <c r="E5" s="3">
        <v>45000</v>
      </c>
    </row>
    <row r="6" spans="2:4" ht="15">
      <c r="B6" s="26"/>
      <c r="C6" s="26"/>
      <c r="D6" s="26"/>
    </row>
    <row r="14" spans="2:4" ht="15">
      <c r="B14" s="336" t="s">
        <v>14</v>
      </c>
      <c r="C14" s="336"/>
      <c r="D14" s="336"/>
    </row>
    <row r="16" spans="2:4" ht="18">
      <c r="B16" s="49" t="s">
        <v>16</v>
      </c>
      <c r="C16" s="48">
        <f>Esparrago!B78</f>
        <v>0</v>
      </c>
      <c r="D16" s="48">
        <f>Esparrago!B80</f>
        <v>0</v>
      </c>
    </row>
    <row r="17" ht="15">
      <c r="B17" s="24"/>
    </row>
    <row r="18" spans="2:4" ht="15">
      <c r="B18" s="47" t="s">
        <v>17</v>
      </c>
      <c r="C18" s="50">
        <f>((C16-Esparrago!E13)/Esparrago!E13)+1</f>
        <v>0</v>
      </c>
      <c r="D18" s="50">
        <f>((D16-Esparrago!E13)/Esparrago!E13)+1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SUM(Esparrago!J22:J26)</f>
        <v>1693000</v>
      </c>
      <c r="D21" s="9">
        <f>SUM(Esparrago!J22:J26)</f>
        <v>1693000</v>
      </c>
    </row>
    <row r="22" spans="2:4" ht="18">
      <c r="B22" s="51" t="s">
        <v>20</v>
      </c>
      <c r="C22" s="52">
        <f>C18*Esparrago!G27*Esparrago!I27</f>
        <v>0</v>
      </c>
      <c r="D22" s="52">
        <f>D18*Esparrago!G27*Esparrago!I27</f>
        <v>0</v>
      </c>
    </row>
    <row r="23" spans="2:4" ht="18">
      <c r="B23" s="17" t="s">
        <v>21</v>
      </c>
      <c r="C23" s="9">
        <f>SUM(C21:C22)</f>
        <v>1693000</v>
      </c>
      <c r="D23" s="9">
        <f>SUM(D21:D22)</f>
        <v>1693000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SUM(Esparrago!J31:J37)</f>
        <v>595000</v>
      </c>
      <c r="D26" s="9">
        <f>SUM(Esparrago!J31:J37)</f>
        <v>595000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595000</v>
      </c>
      <c r="D28" s="9">
        <f>SUM(D26:D27)</f>
        <v>595000</v>
      </c>
    </row>
    <row r="30" ht="18">
      <c r="B30" s="49" t="s">
        <v>22</v>
      </c>
    </row>
    <row r="31" spans="2:4" ht="18">
      <c r="B31" s="17" t="s">
        <v>19</v>
      </c>
      <c r="C31" s="9">
        <f>SUM(Esparrago!J41:J53)</f>
        <v>513790</v>
      </c>
      <c r="D31" s="9">
        <f>SUM(Esparrago!J41:J53)</f>
        <v>513790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513790</v>
      </c>
      <c r="D33" s="9">
        <f>SUM(D31:D32)</f>
        <v>513790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2801790</v>
      </c>
      <c r="D35" s="55">
        <f>D23+D28+D33</f>
        <v>2801790</v>
      </c>
    </row>
    <row r="36" ht="15">
      <c r="B36" s="24"/>
    </row>
    <row r="37" spans="2:4" ht="18">
      <c r="B37" s="53" t="s">
        <v>0</v>
      </c>
      <c r="C37" s="9">
        <f>C35*Esparrago!G57</f>
        <v>140089.5</v>
      </c>
      <c r="D37" s="9">
        <f>D35*D18*Esparrago!G57</f>
        <v>0</v>
      </c>
    </row>
    <row r="38" spans="2:4" ht="18">
      <c r="B38" s="53" t="s">
        <v>12</v>
      </c>
      <c r="C38" s="9">
        <f>C35*Esparrago!E16*Esparrago!E17*0.5</f>
        <v>126080.54999999999</v>
      </c>
      <c r="D38" s="9">
        <f>D35*Esparrago!E16*Esparrago!E17*0.5</f>
        <v>126080.54999999999</v>
      </c>
    </row>
    <row r="39" ht="15">
      <c r="B39" s="24"/>
    </row>
    <row r="40" spans="2:4" ht="18">
      <c r="B40" s="54" t="s">
        <v>13</v>
      </c>
      <c r="C40" s="55">
        <f>C35+C37+C38</f>
        <v>3067960.05</v>
      </c>
      <c r="D40" s="55">
        <f>D35+D37+D38</f>
        <v>2927870.55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2019-06-10T21:24:06Z</cp:lastPrinted>
  <dcterms:created xsi:type="dcterms:W3CDTF">2012-07-09T18:51:50Z</dcterms:created>
  <dcterms:modified xsi:type="dcterms:W3CDTF">2019-11-07T19:22:01Z</dcterms:modified>
  <cp:category/>
  <cp:version/>
  <cp:contentType/>
  <cp:contentStatus/>
</cp:coreProperties>
</file>