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frambuesa" sheetId="1" r:id="rId1"/>
    <sheet name="rdto_variable" sheetId="2" r:id="rId2"/>
  </sheets>
  <definedNames>
    <definedName name="_xlfn.IFERROR" hidden="1">#NAME?</definedName>
    <definedName name="_xlnm.Print_Area" localSheetId="0">'frambuesa'!$A$1:$K$104</definedName>
    <definedName name="costo_financiero">'frambuesa'!$J$74</definedName>
    <definedName name="imprevistos">'frambuesa'!$J$70</definedName>
    <definedName name="meses_financiamiento">'frambuesa'!$E$17</definedName>
    <definedName name="precio_de_venta">'frambuesa'!$E$14</definedName>
    <definedName name="rendimiento">'frambuesa'!$E$13</definedName>
    <definedName name="tasa_interes_mensual">'frambuesa'!$E$16</definedName>
    <definedName name="total_costos">'frambuesa'!$J$80</definedName>
    <definedName name="total_costos_directos">'frambuesa'!$J$68</definedName>
    <definedName name="total_costos_indirectos">'frambuesa'!$J$78</definedName>
    <definedName name="total_insumos">'frambuesa'!$J$66</definedName>
    <definedName name="total_mano_obra">'frambuesa'!$J$30</definedName>
    <definedName name="total_maquinaria">'frambuesa'!$J$36</definedName>
  </definedNames>
  <calcPr fullCalcOnLoad="1"/>
</workbook>
</file>

<file path=xl/sharedStrings.xml><?xml version="1.0" encoding="utf-8"?>
<sst xmlns="http://schemas.openxmlformats.org/spreadsheetml/2006/main" count="199" uniqueCount="144">
  <si>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</si>
  <si>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</si>
  <si>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</si>
  <si>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</si>
  <si>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</si>
  <si>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</si>
  <si>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</si>
  <si>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</si>
  <si>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</si>
  <si>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</si>
  <si>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</si>
  <si>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</si>
  <si>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</si>
  <si>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</si>
  <si>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</si>
  <si>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</si>
  <si>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</si>
  <si>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</si>
  <si>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</si>
  <si>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</si>
  <si>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</si>
  <si>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</si>
  <si>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</si>
  <si>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</si>
  <si>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</si>
  <si>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</si>
  <si>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</si>
  <si>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</si>
  <si>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</si>
  <si>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</si>
  <si>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</si>
  <si>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</si>
  <si>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</si>
  <si>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</si>
  <si>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</si>
  <si>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</si>
  <si>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</si>
  <si>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</si>
  <si>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</si>
  <si>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</si>
  <si>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</si>
  <si>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</si>
  <si>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</si>
  <si>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</si>
  <si>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</si>
  <si>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</si>
  <si>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</si>
  <si>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</si>
  <si>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</si>
  <si>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</si>
  <si>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</si>
  <si>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</si>
  <si>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</si>
  <si>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</si>
  <si>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</si>
  <si>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</si>
  <si>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</si>
  <si>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</si>
  <si>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</si>
  <si>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</si>
  <si>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</si>
  <si>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</si>
  <si>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</si>
  <si>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</si>
  <si>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</si>
  <si>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</si>
  <si>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</si>
  <si>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</si>
  <si>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</si>
  <si>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</si>
  <si>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</si>
  <si>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</si>
  <si>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Rdto original ficha</t>
  </si>
  <si>
    <t>Ponderador/variación</t>
  </si>
  <si>
    <t>Mano de Obra</t>
  </si>
  <si>
    <t>Maquinaria</t>
  </si>
  <si>
    <t>Insumos</t>
  </si>
  <si>
    <t>Costo variable Maquinaria 1</t>
  </si>
  <si>
    <t>Costo variable Insumos 1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</si>
  <si>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</si>
  <si>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</si>
  <si>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</si>
  <si>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</si>
  <si>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</si>
  <si>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</si>
  <si>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Junio-agosto</t>
  </si>
  <si>
    <t>U</t>
  </si>
  <si>
    <t>(3) La dosis de fertilización promedio podría variar de acuerdo a los resultados del análisis foliar.</t>
  </si>
  <si>
    <t>Aplicación fitosanitarios</t>
  </si>
  <si>
    <t>Herbicida:</t>
  </si>
  <si>
    <t>Septiembre-enero</t>
  </si>
  <si>
    <t>Aplicación de pesticidas</t>
  </si>
  <si>
    <t>Cosecha</t>
  </si>
  <si>
    <t>Acarreo de insumos</t>
  </si>
  <si>
    <t>Bravo 720</t>
  </si>
  <si>
    <t>Septiembre-noviembre</t>
  </si>
  <si>
    <t>Frutaliv</t>
  </si>
  <si>
    <t>Terrasorb foliar</t>
  </si>
  <si>
    <t>Agosto-septiembre</t>
  </si>
  <si>
    <t xml:space="preserve">Spectro 33 EC </t>
  </si>
  <si>
    <t>Frambuesa</t>
  </si>
  <si>
    <t>1 hectárea mayo 2016</t>
  </si>
  <si>
    <t>Variedad: Heritage</t>
  </si>
  <si>
    <t>Sacar restos de podas</t>
  </si>
  <si>
    <t>Aplicación de fertilizantes</t>
  </si>
  <si>
    <t>Control de malezas, alrededor de la planta</t>
  </si>
  <si>
    <t>Superfosfato Triple</t>
  </si>
  <si>
    <t>Fosfato Diamonico</t>
  </si>
  <si>
    <t>Oxicloruro de cobre</t>
  </si>
  <si>
    <t>Mayo</t>
  </si>
  <si>
    <t>Enero</t>
  </si>
  <si>
    <t>Troya 4 EC</t>
  </si>
  <si>
    <t>Julio-agosto</t>
  </si>
  <si>
    <t>Julio-diciembre</t>
  </si>
  <si>
    <t>Junio-febrero</t>
  </si>
  <si>
    <t>Junio-enero</t>
  </si>
  <si>
    <t>Diciembre-febrero</t>
  </si>
  <si>
    <t>Agosto-diciembre</t>
  </si>
  <si>
    <t>Junio-Julio</t>
  </si>
  <si>
    <t>Agosto-noviembre</t>
  </si>
  <si>
    <t>Noviembre-febrero</t>
  </si>
  <si>
    <t>Octubre-febrero</t>
  </si>
  <si>
    <t>Región del Maule</t>
  </si>
  <si>
    <t>Junio-julio</t>
  </si>
  <si>
    <t xml:space="preserve">Control de cosecha, almacenaje y carga </t>
  </si>
  <si>
    <t>Triturar poda</t>
  </si>
  <si>
    <t>Farmon</t>
  </si>
  <si>
    <r>
      <t>Análisis foliar</t>
    </r>
    <r>
      <rPr>
        <vertAlign val="superscript"/>
        <sz val="14"/>
        <rFont val="Arial"/>
        <family val="2"/>
      </rPr>
      <t>(3)</t>
    </r>
  </si>
  <si>
    <t>Fosfimax 40 20</t>
  </si>
  <si>
    <t>Karate con tecnología Zeon</t>
  </si>
  <si>
    <t>(4) 1,5% mensual simple, tasa de interés promedio de las empresas distribuidoras de insumos.</t>
  </si>
  <si>
    <t>Tecnología de riego: surco</t>
  </si>
  <si>
    <t>(6) Representa el precio de venta mínimo para cubrir los costos totales de producción.</t>
  </si>
  <si>
    <t>(5) Margen neto corresponde a ingresos totales (precio venta x rendimiento) menos los costos totales.</t>
  </si>
  <si>
    <t>Densidad (Plantas/ha): 26.000 (2,5m x 0,15m)</t>
  </si>
  <si>
    <t>Captan 80 WP</t>
  </si>
  <si>
    <t>Zero 5 EC</t>
  </si>
  <si>
    <t>(1) El precio del kilo de frambuesa utilizado en el análisis de sensibilidad, corresponde al promedio de la región durante el periodo de cosecha en la temporada 2015/16, pagado a productor.</t>
  </si>
  <si>
    <t>Huerto en plena producción</t>
  </si>
  <si>
    <t>Cosecha: enero-marzo</t>
  </si>
  <si>
    <t>Poda de invierno (a piso)</t>
  </si>
  <si>
    <t>Reponer infraestructura y replantar</t>
  </si>
  <si>
    <r>
      <t>Análisis suelo</t>
    </r>
    <r>
      <rPr>
        <vertAlign val="superscript"/>
        <sz val="14"/>
        <rFont val="Arial"/>
        <family val="2"/>
      </rPr>
      <t>(3)</t>
    </r>
  </si>
  <si>
    <t>Julio-septiembre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</si>
</sst>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21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1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1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0" fontId="9" fillId="34" borderId="20" xfId="69" applyFont="1" applyFill="1" applyBorder="1" applyAlignment="1" applyProtection="1">
      <alignment/>
      <protection locked="0"/>
    </xf>
    <xf numFmtId="180" fontId="9" fillId="34" borderId="18" xfId="69" applyFont="1" applyFill="1" applyBorder="1" applyAlignment="1" applyProtection="1">
      <alignment/>
      <protection locked="0"/>
    </xf>
    <xf numFmtId="181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1" fontId="9" fillId="34" borderId="11" xfId="69" applyNumberFormat="1" applyFont="1" applyFill="1" applyBorder="1" applyAlignment="1" applyProtection="1">
      <alignment horizontal="right"/>
      <protection locked="0"/>
    </xf>
    <xf numFmtId="180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1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1" fontId="9" fillId="0" borderId="17" xfId="58" applyNumberFormat="1" applyFont="1" applyFill="1" applyBorder="1" applyAlignment="1" applyProtection="1">
      <alignment horizontal="right"/>
      <protection locked="0"/>
    </xf>
    <xf numFmtId="181" fontId="9" fillId="0" borderId="20" xfId="58" applyNumberFormat="1" applyFont="1" applyFill="1" applyBorder="1" applyAlignment="1" applyProtection="1">
      <alignment horizontal="right"/>
      <protection locked="0"/>
    </xf>
    <xf numFmtId="181" fontId="9" fillId="0" borderId="23" xfId="58" applyNumberFormat="1" applyFont="1" applyFill="1" applyBorder="1" applyAlignment="1" applyProtection="1">
      <alignment horizontal="right"/>
      <protection locked="0"/>
    </xf>
    <xf numFmtId="181" fontId="9" fillId="0" borderId="22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1" xfId="58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2" xfId="0" applyNumberFormat="1" applyFont="1" applyFill="1" applyBorder="1" applyAlignment="1">
      <alignment horizont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12" fillId="0" borderId="20" xfId="55" applyNumberFormat="1" applyFont="1" applyFill="1" applyBorder="1" applyAlignment="1" applyProtection="1">
      <alignment horizontal="left" vertical="top" wrapText="1"/>
      <protection locked="0"/>
    </xf>
    <xf numFmtId="3" fontId="12" fillId="0" borderId="0" xfId="55" applyNumberFormat="1" applyFont="1" applyFill="1" applyBorder="1" applyAlignment="1" applyProtection="1">
      <alignment horizontal="left" vertical="top" wrapText="1"/>
      <protection locked="0"/>
    </xf>
    <xf numFmtId="3" fontId="12" fillId="0" borderId="11" xfId="55" applyNumberFormat="1" applyFont="1" applyFill="1" applyBorder="1" applyAlignment="1" applyProtection="1">
      <alignment horizontal="left" vertical="top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18" xfId="58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7" fillId="38" borderId="12" xfId="0" applyFont="1" applyFill="1" applyBorder="1" applyAlignment="1">
      <alignment horizontal="center" vertical="center" wrapText="1"/>
    </xf>
    <xf numFmtId="183" fontId="9" fillId="34" borderId="12" xfId="0" applyNumberFormat="1" applyFont="1" applyFill="1" applyBorder="1" applyAlignment="1">
      <alignment horizont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65" fillId="23" borderId="25" xfId="58" applyFont="1" applyFill="1" applyBorder="1" applyAlignment="1" applyProtection="1">
      <alignment horizontal="center" vertical="center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180" fontId="65" fillId="0" borderId="0" xfId="69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21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21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4" fillId="41" borderId="17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21" xfId="57" applyFont="1" applyFill="1" applyBorder="1" applyAlignment="1">
      <alignment horizontal="center"/>
      <protection/>
    </xf>
    <xf numFmtId="0" fontId="64" fillId="41" borderId="25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0" fontId="64" fillId="23" borderId="25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17" fontId="64" fillId="41" borderId="25" xfId="69" applyNumberFormat="1" applyFont="1" applyFill="1" applyBorder="1" applyAlignment="1" applyProtection="1">
      <alignment horizontal="center"/>
      <protection/>
    </xf>
    <xf numFmtId="17" fontId="64" fillId="41" borderId="19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9" fillId="0" borderId="2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0" borderId="17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103</xdr:row>
      <xdr:rowOff>9525</xdr:rowOff>
    </xdr:from>
    <xdr:to>
      <xdr:col>2</xdr:col>
      <xdr:colOff>628650</xdr:colOff>
      <xdr:row>103</xdr:row>
      <xdr:rowOff>133350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3945850"/>
          <a:ext cx="1876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3"/>
  <sheetViews>
    <sheetView showGridLines="0" tabSelected="1" view="pageBreakPreview" zoomScale="70" zoomScaleNormal="85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94" t="s">
        <v>8</v>
      </c>
      <c r="C2" s="294"/>
      <c r="D2" s="294"/>
      <c r="E2" s="294"/>
      <c r="F2" s="294"/>
      <c r="G2" s="294"/>
      <c r="H2" s="294"/>
      <c r="I2" s="294"/>
      <c r="J2" s="294"/>
    </row>
    <row r="3" spans="2:11" s="3" customFormat="1" ht="18" customHeight="1">
      <c r="B3" s="77"/>
      <c r="C3" s="96"/>
      <c r="D3" s="232" t="s">
        <v>100</v>
      </c>
      <c r="E3" s="232"/>
      <c r="F3" s="232"/>
      <c r="G3" s="232"/>
      <c r="H3" s="232"/>
      <c r="I3" s="97"/>
      <c r="J3" s="96"/>
      <c r="K3" s="12"/>
    </row>
    <row r="4" spans="2:11" s="3" customFormat="1" ht="18" customHeight="1">
      <c r="B4" s="77"/>
      <c r="C4" s="96"/>
      <c r="D4" s="232" t="s">
        <v>122</v>
      </c>
      <c r="E4" s="232"/>
      <c r="F4" s="232"/>
      <c r="G4" s="232"/>
      <c r="H4" s="232"/>
      <c r="I4" s="96"/>
      <c r="J4" s="96"/>
      <c r="K4" s="12"/>
    </row>
    <row r="5" spans="2:11" s="3" customFormat="1" ht="18" customHeight="1">
      <c r="B5" s="35"/>
      <c r="C5" s="35"/>
      <c r="D5" s="98"/>
      <c r="E5" s="37"/>
      <c r="F5" s="37"/>
      <c r="G5" s="85"/>
      <c r="H5" s="37"/>
      <c r="I5" s="35"/>
      <c r="J5" s="99"/>
      <c r="K5" s="14"/>
    </row>
    <row r="6" spans="2:11" s="3" customFormat="1" ht="18" customHeight="1">
      <c r="B6" s="35"/>
      <c r="C6" s="35"/>
      <c r="D6" s="305" t="s">
        <v>50</v>
      </c>
      <c r="E6" s="306"/>
      <c r="F6" s="306"/>
      <c r="G6" s="306"/>
      <c r="H6" s="306"/>
      <c r="I6" s="306"/>
      <c r="J6" s="307"/>
      <c r="K6" s="14"/>
    </row>
    <row r="7" spans="2:11" s="3" customFormat="1" ht="18" customHeight="1">
      <c r="B7" s="35"/>
      <c r="C7" s="35"/>
      <c r="D7" s="168" t="s">
        <v>101</v>
      </c>
      <c r="E7" s="75"/>
      <c r="F7" s="75"/>
      <c r="G7" s="165" t="s">
        <v>102</v>
      </c>
      <c r="H7" s="109"/>
      <c r="I7" s="110"/>
      <c r="J7" s="111"/>
      <c r="K7" s="14"/>
    </row>
    <row r="8" spans="2:11" s="3" customFormat="1" ht="18" customHeight="1">
      <c r="B8" s="35"/>
      <c r="C8" s="35"/>
      <c r="D8" s="169" t="s">
        <v>131</v>
      </c>
      <c r="E8" s="76"/>
      <c r="F8" s="76"/>
      <c r="G8" s="166" t="s">
        <v>45</v>
      </c>
      <c r="H8" s="77"/>
      <c r="I8" s="78"/>
      <c r="J8" s="112"/>
      <c r="K8" s="14"/>
    </row>
    <row r="9" spans="2:11" s="3" customFormat="1" ht="18" customHeight="1">
      <c r="B9" s="35"/>
      <c r="C9" s="35"/>
      <c r="D9" s="169" t="s">
        <v>134</v>
      </c>
      <c r="E9" s="76"/>
      <c r="F9" s="76"/>
      <c r="G9" s="166" t="s">
        <v>46</v>
      </c>
      <c r="H9" s="77"/>
      <c r="I9" s="78"/>
      <c r="J9" s="112"/>
      <c r="K9" s="16"/>
    </row>
    <row r="10" spans="2:11" s="3" customFormat="1" ht="18" customHeight="1">
      <c r="B10" s="35"/>
      <c r="C10" s="35"/>
      <c r="D10" s="170" t="s">
        <v>138</v>
      </c>
      <c r="E10" s="113"/>
      <c r="F10" s="113"/>
      <c r="G10" s="167" t="s">
        <v>139</v>
      </c>
      <c r="H10" s="114"/>
      <c r="I10" s="115"/>
      <c r="J10" s="116"/>
      <c r="K10" s="16"/>
    </row>
    <row r="11" spans="2:11" s="3" customFormat="1" ht="18" customHeight="1">
      <c r="B11" s="35"/>
      <c r="C11" s="35"/>
      <c r="D11" s="24"/>
      <c r="E11" s="76"/>
      <c r="F11" s="76"/>
      <c r="G11" s="24"/>
      <c r="H11" s="77"/>
      <c r="I11" s="78"/>
      <c r="J11" s="106"/>
      <c r="K11" s="16"/>
    </row>
    <row r="12" spans="2:11" ht="18">
      <c r="B12" s="295" t="s">
        <v>51</v>
      </c>
      <c r="C12" s="296"/>
      <c r="D12" s="296"/>
      <c r="E12" s="297"/>
      <c r="F12" s="34"/>
      <c r="G12" s="298" t="s">
        <v>14</v>
      </c>
      <c r="H12" s="299"/>
      <c r="I12" s="299"/>
      <c r="J12" s="300"/>
      <c r="K12" s="14"/>
    </row>
    <row r="13" spans="2:11" ht="18">
      <c r="B13" s="88" t="s">
        <v>58</v>
      </c>
      <c r="C13" s="89"/>
      <c r="D13" s="75"/>
      <c r="E13" s="162">
        <v>9500</v>
      </c>
      <c r="F13" s="35"/>
      <c r="G13" s="151" t="s">
        <v>7</v>
      </c>
      <c r="H13" s="152"/>
      <c r="I13" s="152"/>
      <c r="J13" s="153">
        <f>rendimiento*precio_de_venta</f>
        <v>9500000</v>
      </c>
      <c r="K13" s="14"/>
    </row>
    <row r="14" spans="2:11" ht="21">
      <c r="B14" s="309" t="s">
        <v>64</v>
      </c>
      <c r="C14" s="310"/>
      <c r="D14" s="310"/>
      <c r="E14" s="163">
        <v>1000</v>
      </c>
      <c r="F14" s="35"/>
      <c r="G14" s="154" t="s">
        <v>10</v>
      </c>
      <c r="H14" s="155"/>
      <c r="I14" s="155"/>
      <c r="J14" s="156">
        <f>total_mano_obra+total_maquinaria+total_insumos+imprevistos</f>
        <v>6285392.4</v>
      </c>
      <c r="K14" s="14"/>
    </row>
    <row r="15" spans="2:11" ht="18">
      <c r="B15" s="108" t="s">
        <v>9</v>
      </c>
      <c r="C15" s="36"/>
      <c r="D15" s="35"/>
      <c r="E15" s="163">
        <v>13000</v>
      </c>
      <c r="F15" s="35"/>
      <c r="G15" s="154" t="s">
        <v>11</v>
      </c>
      <c r="H15" s="157"/>
      <c r="I15" s="155"/>
      <c r="J15" s="156">
        <f>total_mano_obra+total_maquinaria+total_insumos+imprevistos+total_costos_indirectos</f>
        <v>6599662.0200000005</v>
      </c>
      <c r="K15" s="14"/>
    </row>
    <row r="16" spans="2:11" ht="18">
      <c r="B16" s="108" t="s">
        <v>4</v>
      </c>
      <c r="C16" s="38"/>
      <c r="D16" s="35"/>
      <c r="E16" s="117">
        <v>0.015</v>
      </c>
      <c r="F16" s="35"/>
      <c r="G16" s="154" t="s">
        <v>12</v>
      </c>
      <c r="H16" s="155"/>
      <c r="I16" s="155"/>
      <c r="J16" s="156">
        <f>J13-J14</f>
        <v>3214607.5999999996</v>
      </c>
      <c r="K16" s="14"/>
    </row>
    <row r="17" spans="2:11" ht="18">
      <c r="B17" s="90" t="s">
        <v>5</v>
      </c>
      <c r="C17" s="91"/>
      <c r="D17" s="79"/>
      <c r="E17" s="164">
        <v>7</v>
      </c>
      <c r="F17" s="35"/>
      <c r="G17" s="154" t="s">
        <v>13</v>
      </c>
      <c r="H17" s="155"/>
      <c r="I17" s="155"/>
      <c r="J17" s="156">
        <f>J13-J15</f>
        <v>2900337.9799999995</v>
      </c>
      <c r="K17" s="14"/>
    </row>
    <row r="18" spans="2:11" ht="18">
      <c r="B18" s="118"/>
      <c r="C18" s="38"/>
      <c r="D18" s="35"/>
      <c r="E18" s="119"/>
      <c r="F18" s="35"/>
      <c r="G18" s="158" t="s">
        <v>47</v>
      </c>
      <c r="H18" s="159"/>
      <c r="I18" s="160"/>
      <c r="J18" s="161">
        <f>total_costos/rendimiento</f>
        <v>694.7012652631579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1" t="s">
        <v>48</v>
      </c>
      <c r="C20" s="100"/>
      <c r="D20" s="100"/>
      <c r="E20" s="308" t="s">
        <v>15</v>
      </c>
      <c r="F20" s="308"/>
      <c r="G20" s="120" t="s">
        <v>16</v>
      </c>
      <c r="H20" s="121" t="s">
        <v>17</v>
      </c>
      <c r="I20" s="122" t="s">
        <v>55</v>
      </c>
      <c r="J20" s="123" t="s">
        <v>3</v>
      </c>
      <c r="K20" s="14"/>
    </row>
    <row r="21" spans="2:11" s="3" customFormat="1" ht="18">
      <c r="B21" s="301" t="s">
        <v>19</v>
      </c>
      <c r="C21" s="302"/>
      <c r="D21" s="302"/>
      <c r="E21" s="253"/>
      <c r="F21" s="253"/>
      <c r="G21" s="92"/>
      <c r="H21" s="93"/>
      <c r="I21" s="94"/>
      <c r="J21" s="95"/>
      <c r="K21" s="14"/>
    </row>
    <row r="22" spans="2:11" s="3" customFormat="1" ht="18">
      <c r="B22" s="214" t="s">
        <v>140</v>
      </c>
      <c r="C22" s="215"/>
      <c r="D22" s="216"/>
      <c r="E22" s="303" t="s">
        <v>123</v>
      </c>
      <c r="F22" s="304"/>
      <c r="G22" s="171">
        <v>19</v>
      </c>
      <c r="H22" s="172" t="s">
        <v>6</v>
      </c>
      <c r="I22" s="173">
        <f aca="true" t="shared" si="0" ref="I22:I27">$E$15</f>
        <v>13000</v>
      </c>
      <c r="J22" s="125">
        <f>G22*I22</f>
        <v>247000</v>
      </c>
      <c r="K22" s="14"/>
    </row>
    <row r="23" spans="2:11" s="3" customFormat="1" ht="18">
      <c r="B23" s="204" t="s">
        <v>103</v>
      </c>
      <c r="C23" s="205"/>
      <c r="D23" s="206"/>
      <c r="E23" s="258" t="s">
        <v>112</v>
      </c>
      <c r="F23" s="259"/>
      <c r="G23" s="171">
        <v>2</v>
      </c>
      <c r="H23" s="172" t="s">
        <v>6</v>
      </c>
      <c r="I23" s="173">
        <f t="shared" si="0"/>
        <v>13000</v>
      </c>
      <c r="J23" s="125">
        <f aca="true" t="shared" si="1" ref="J23:J29">G23*I23</f>
        <v>26000</v>
      </c>
      <c r="K23" s="14"/>
    </row>
    <row r="24" spans="2:11" s="3" customFormat="1" ht="18">
      <c r="B24" s="207" t="s">
        <v>141</v>
      </c>
      <c r="C24" s="208"/>
      <c r="D24" s="209"/>
      <c r="E24" s="258" t="s">
        <v>112</v>
      </c>
      <c r="F24" s="259"/>
      <c r="G24" s="171">
        <v>5</v>
      </c>
      <c r="H24" s="172" t="s">
        <v>6</v>
      </c>
      <c r="I24" s="173">
        <f t="shared" si="0"/>
        <v>13000</v>
      </c>
      <c r="J24" s="125">
        <f t="shared" si="1"/>
        <v>65000</v>
      </c>
      <c r="K24" s="14"/>
    </row>
    <row r="25" spans="2:11" s="3" customFormat="1" ht="18">
      <c r="B25" s="207" t="s">
        <v>104</v>
      </c>
      <c r="C25" s="208"/>
      <c r="D25" s="209"/>
      <c r="E25" s="258" t="s">
        <v>113</v>
      </c>
      <c r="F25" s="259"/>
      <c r="G25" s="171">
        <v>3</v>
      </c>
      <c r="H25" s="172" t="s">
        <v>6</v>
      </c>
      <c r="I25" s="173">
        <f t="shared" si="0"/>
        <v>13000</v>
      </c>
      <c r="J25" s="125">
        <f t="shared" si="1"/>
        <v>39000</v>
      </c>
      <c r="K25" s="14"/>
    </row>
    <row r="26" spans="2:11" s="3" customFormat="1" ht="18">
      <c r="B26" s="204" t="s">
        <v>91</v>
      </c>
      <c r="C26" s="205"/>
      <c r="D26" s="206"/>
      <c r="E26" s="258" t="s">
        <v>114</v>
      </c>
      <c r="F26" s="259"/>
      <c r="G26" s="171">
        <v>2</v>
      </c>
      <c r="H26" s="172" t="s">
        <v>6</v>
      </c>
      <c r="I26" s="173">
        <f t="shared" si="0"/>
        <v>13000</v>
      </c>
      <c r="J26" s="125">
        <f t="shared" si="1"/>
        <v>26000</v>
      </c>
      <c r="K26" s="14"/>
    </row>
    <row r="27" spans="2:11" s="3" customFormat="1" ht="18">
      <c r="B27" s="207" t="s">
        <v>105</v>
      </c>
      <c r="C27" s="208"/>
      <c r="D27" s="209"/>
      <c r="E27" s="258" t="s">
        <v>115</v>
      </c>
      <c r="F27" s="259"/>
      <c r="G27" s="171">
        <v>2</v>
      </c>
      <c r="H27" s="172" t="s">
        <v>6</v>
      </c>
      <c r="I27" s="173">
        <f t="shared" si="0"/>
        <v>13000</v>
      </c>
      <c r="J27" s="125">
        <f t="shared" si="1"/>
        <v>26000</v>
      </c>
      <c r="K27" s="14"/>
    </row>
    <row r="28" spans="2:11" s="3" customFormat="1" ht="18">
      <c r="B28" s="204" t="s">
        <v>92</v>
      </c>
      <c r="C28" s="205"/>
      <c r="D28" s="206"/>
      <c r="E28" s="258" t="s">
        <v>116</v>
      </c>
      <c r="F28" s="259"/>
      <c r="G28" s="171">
        <f>rdto_variable!$C$2*rdto_variable!E5</f>
        <v>9500</v>
      </c>
      <c r="H28" s="172" t="s">
        <v>44</v>
      </c>
      <c r="I28" s="173">
        <v>450</v>
      </c>
      <c r="J28" s="125">
        <f t="shared" si="1"/>
        <v>4275000</v>
      </c>
      <c r="K28" s="14"/>
    </row>
    <row r="29" spans="2:11" s="3" customFormat="1" ht="18">
      <c r="B29" s="204" t="s">
        <v>124</v>
      </c>
      <c r="C29" s="217"/>
      <c r="D29" s="218"/>
      <c r="E29" s="258" t="s">
        <v>116</v>
      </c>
      <c r="F29" s="259"/>
      <c r="G29" s="171">
        <f>rdto_variable!$C$2*rdto_variable!E6</f>
        <v>9500</v>
      </c>
      <c r="H29" s="172" t="s">
        <v>44</v>
      </c>
      <c r="I29" s="173">
        <v>60</v>
      </c>
      <c r="J29" s="125">
        <f t="shared" si="1"/>
        <v>570000</v>
      </c>
      <c r="K29" s="14"/>
    </row>
    <row r="30" spans="2:11" ht="18">
      <c r="B30" s="311" t="s">
        <v>20</v>
      </c>
      <c r="C30" s="312"/>
      <c r="D30" s="312"/>
      <c r="E30" s="312"/>
      <c r="F30" s="312"/>
      <c r="G30" s="312"/>
      <c r="H30" s="312"/>
      <c r="I30" s="312"/>
      <c r="J30" s="80">
        <f>SUM(J22:J29)</f>
        <v>5274000</v>
      </c>
      <c r="K30" s="14"/>
    </row>
    <row r="31" spans="2:11" s="3" customFormat="1" ht="18">
      <c r="B31" s="18"/>
      <c r="C31" s="18"/>
      <c r="D31" s="18"/>
      <c r="E31" s="18"/>
      <c r="F31" s="18"/>
      <c r="G31" s="128"/>
      <c r="H31" s="18"/>
      <c r="I31" s="18"/>
      <c r="J31" s="129"/>
      <c r="K31" s="14"/>
    </row>
    <row r="32" spans="2:11" s="26" customFormat="1" ht="18">
      <c r="B32" s="301" t="s">
        <v>21</v>
      </c>
      <c r="C32" s="302"/>
      <c r="D32" s="302"/>
      <c r="E32" s="253"/>
      <c r="F32" s="253"/>
      <c r="G32" s="92"/>
      <c r="H32" s="93"/>
      <c r="I32" s="94"/>
      <c r="J32" s="136"/>
      <c r="K32" s="14"/>
    </row>
    <row r="33" spans="2:11" s="3" customFormat="1" ht="18">
      <c r="B33" s="315" t="s">
        <v>88</v>
      </c>
      <c r="C33" s="316"/>
      <c r="D33" s="316"/>
      <c r="E33" s="317" t="s">
        <v>115</v>
      </c>
      <c r="F33" s="318"/>
      <c r="G33" s="200">
        <v>2</v>
      </c>
      <c r="H33" s="202" t="s">
        <v>56</v>
      </c>
      <c r="I33" s="198">
        <v>30000</v>
      </c>
      <c r="J33" s="126">
        <f>G33*I33</f>
        <v>60000</v>
      </c>
      <c r="K33" s="14"/>
    </row>
    <row r="34" spans="2:11" s="3" customFormat="1" ht="18">
      <c r="B34" s="195" t="s">
        <v>125</v>
      </c>
      <c r="C34" s="196"/>
      <c r="D34" s="196"/>
      <c r="E34" s="313" t="s">
        <v>123</v>
      </c>
      <c r="F34" s="314"/>
      <c r="G34" s="201">
        <v>1</v>
      </c>
      <c r="H34" s="203" t="s">
        <v>56</v>
      </c>
      <c r="I34" s="199">
        <v>30000</v>
      </c>
      <c r="J34" s="124">
        <f>G34*I34</f>
        <v>30000</v>
      </c>
      <c r="K34" s="14"/>
    </row>
    <row r="35" spans="2:11" s="3" customFormat="1" ht="18">
      <c r="B35" s="195" t="s">
        <v>93</v>
      </c>
      <c r="C35" s="196"/>
      <c r="D35" s="196"/>
      <c r="E35" s="313" t="s">
        <v>114</v>
      </c>
      <c r="F35" s="314"/>
      <c r="G35" s="201">
        <v>1</v>
      </c>
      <c r="H35" s="203" t="s">
        <v>56</v>
      </c>
      <c r="I35" s="199">
        <v>80000</v>
      </c>
      <c r="J35" s="127">
        <f>G35*I35</f>
        <v>80000</v>
      </c>
      <c r="K35" s="14"/>
    </row>
    <row r="36" spans="2:12" ht="18">
      <c r="B36" s="311" t="s">
        <v>22</v>
      </c>
      <c r="C36" s="312"/>
      <c r="D36" s="312"/>
      <c r="E36" s="312"/>
      <c r="F36" s="312"/>
      <c r="G36" s="312"/>
      <c r="H36" s="312"/>
      <c r="I36" s="312"/>
      <c r="J36" s="102">
        <f>SUM(J33:J35)</f>
        <v>170000</v>
      </c>
      <c r="K36" s="14"/>
      <c r="L36" s="14"/>
    </row>
    <row r="37" spans="2:12" s="3" customFormat="1" ht="18">
      <c r="B37" s="73"/>
      <c r="C37" s="73"/>
      <c r="D37" s="73"/>
      <c r="E37" s="73"/>
      <c r="F37" s="73"/>
      <c r="G37" s="23" t="s">
        <v>57</v>
      </c>
      <c r="H37" s="73"/>
      <c r="I37" s="73"/>
      <c r="J37" s="25"/>
      <c r="K37" s="14"/>
      <c r="L37" s="17"/>
    </row>
    <row r="38" spans="2:12" s="3" customFormat="1" ht="21">
      <c r="B38" s="301" t="s">
        <v>65</v>
      </c>
      <c r="C38" s="302"/>
      <c r="D38" s="302"/>
      <c r="E38" s="253"/>
      <c r="F38" s="253"/>
      <c r="G38" s="92"/>
      <c r="H38" s="93"/>
      <c r="I38" s="94"/>
      <c r="J38" s="95"/>
      <c r="K38" s="14"/>
      <c r="L38" s="22"/>
    </row>
    <row r="39" spans="2:12" s="3" customFormat="1" ht="18">
      <c r="B39" s="180" t="s">
        <v>41</v>
      </c>
      <c r="C39" s="175"/>
      <c r="D39" s="176"/>
      <c r="E39" s="181"/>
      <c r="F39" s="182"/>
      <c r="G39" s="177"/>
      <c r="H39" s="178"/>
      <c r="I39" s="179"/>
      <c r="J39" s="9"/>
      <c r="K39" s="14"/>
      <c r="L39" s="22"/>
    </row>
    <row r="40" spans="2:12" s="3" customFormat="1" ht="18">
      <c r="B40" s="174" t="s">
        <v>106</v>
      </c>
      <c r="C40" s="183"/>
      <c r="D40" s="184"/>
      <c r="E40" s="258" t="s">
        <v>85</v>
      </c>
      <c r="F40" s="259"/>
      <c r="G40" s="185">
        <v>200</v>
      </c>
      <c r="H40" s="172" t="s">
        <v>44</v>
      </c>
      <c r="I40" s="179">
        <v>362</v>
      </c>
      <c r="J40" s="9">
        <f>G40*I40</f>
        <v>72400</v>
      </c>
      <c r="K40" s="14"/>
      <c r="L40" s="22"/>
    </row>
    <row r="41" spans="2:12" s="3" customFormat="1" ht="18">
      <c r="B41" s="174" t="s">
        <v>107</v>
      </c>
      <c r="C41" s="183"/>
      <c r="D41" s="184"/>
      <c r="E41" s="258" t="s">
        <v>112</v>
      </c>
      <c r="F41" s="259"/>
      <c r="G41" s="185">
        <v>150</v>
      </c>
      <c r="H41" s="172" t="s">
        <v>44</v>
      </c>
      <c r="I41" s="179">
        <v>455</v>
      </c>
      <c r="J41" s="9">
        <f>G41*I41</f>
        <v>68250</v>
      </c>
      <c r="K41" s="14"/>
      <c r="L41" s="22"/>
    </row>
    <row r="42" spans="2:12" s="3" customFormat="1" ht="18">
      <c r="B42" s="174" t="s">
        <v>71</v>
      </c>
      <c r="C42" s="183"/>
      <c r="D42" s="184"/>
      <c r="E42" s="258" t="s">
        <v>117</v>
      </c>
      <c r="F42" s="259"/>
      <c r="G42" s="185">
        <v>100</v>
      </c>
      <c r="H42" s="172" t="s">
        <v>44</v>
      </c>
      <c r="I42" s="179">
        <v>362</v>
      </c>
      <c r="J42" s="9">
        <f>G42*I42</f>
        <v>36200</v>
      </c>
      <c r="K42" s="14"/>
      <c r="L42" s="22"/>
    </row>
    <row r="43" spans="2:12" s="3" customFormat="1" ht="18">
      <c r="B43" s="204"/>
      <c r="C43" s="205"/>
      <c r="D43" s="206"/>
      <c r="E43" s="187"/>
      <c r="F43" s="188"/>
      <c r="G43" s="185"/>
      <c r="H43" s="172"/>
      <c r="I43" s="179"/>
      <c r="J43" s="9"/>
      <c r="K43" s="14"/>
      <c r="L43" s="22"/>
    </row>
    <row r="44" spans="2:12" s="3" customFormat="1" ht="18">
      <c r="B44" s="189" t="s">
        <v>42</v>
      </c>
      <c r="C44" s="190"/>
      <c r="D44" s="191"/>
      <c r="E44" s="186"/>
      <c r="F44" s="182"/>
      <c r="G44" s="185"/>
      <c r="H44" s="172"/>
      <c r="I44" s="179"/>
      <c r="J44" s="9"/>
      <c r="K44" s="14"/>
      <c r="L44" s="22"/>
    </row>
    <row r="45" spans="2:12" s="3" customFormat="1" ht="18">
      <c r="B45" s="207" t="s">
        <v>108</v>
      </c>
      <c r="C45" s="212"/>
      <c r="D45" s="213"/>
      <c r="E45" s="258" t="s">
        <v>118</v>
      </c>
      <c r="F45" s="259"/>
      <c r="G45" s="185">
        <v>10</v>
      </c>
      <c r="H45" s="172" t="s">
        <v>44</v>
      </c>
      <c r="I45" s="179">
        <v>5500</v>
      </c>
      <c r="J45" s="9">
        <f aca="true" t="shared" si="2" ref="J45:J65">G45*I45</f>
        <v>55000</v>
      </c>
      <c r="K45" s="14"/>
      <c r="L45" s="22"/>
    </row>
    <row r="46" spans="2:12" s="3" customFormat="1" ht="18">
      <c r="B46" s="207" t="s">
        <v>94</v>
      </c>
      <c r="C46" s="210"/>
      <c r="D46" s="211"/>
      <c r="E46" s="258" t="s">
        <v>119</v>
      </c>
      <c r="F46" s="259"/>
      <c r="G46" s="185">
        <v>4</v>
      </c>
      <c r="H46" s="172" t="s">
        <v>40</v>
      </c>
      <c r="I46" s="179">
        <v>9152</v>
      </c>
      <c r="J46" s="9">
        <f t="shared" si="2"/>
        <v>36608</v>
      </c>
      <c r="K46" s="14"/>
      <c r="L46" s="22"/>
    </row>
    <row r="47" spans="2:12" s="3" customFormat="1" ht="18">
      <c r="B47" s="204" t="s">
        <v>135</v>
      </c>
      <c r="C47" s="205"/>
      <c r="D47" s="206"/>
      <c r="E47" s="258" t="s">
        <v>95</v>
      </c>
      <c r="F47" s="259"/>
      <c r="G47" s="185">
        <v>4</v>
      </c>
      <c r="H47" s="172" t="s">
        <v>44</v>
      </c>
      <c r="I47" s="179">
        <v>9983</v>
      </c>
      <c r="J47" s="9">
        <f t="shared" si="2"/>
        <v>39932</v>
      </c>
      <c r="K47" s="14"/>
      <c r="L47" s="22"/>
    </row>
    <row r="48" spans="2:12" s="3" customFormat="1" ht="18">
      <c r="B48" s="204"/>
      <c r="C48" s="205"/>
      <c r="D48" s="206"/>
      <c r="E48" s="186"/>
      <c r="F48" s="182"/>
      <c r="G48" s="185"/>
      <c r="H48" s="172"/>
      <c r="I48" s="179"/>
      <c r="J48" s="9"/>
      <c r="K48" s="14"/>
      <c r="L48" s="22"/>
    </row>
    <row r="49" spans="2:13" s="3" customFormat="1" ht="18">
      <c r="B49" s="189" t="s">
        <v>43</v>
      </c>
      <c r="C49" s="190"/>
      <c r="D49" s="191"/>
      <c r="E49" s="186"/>
      <c r="F49" s="182"/>
      <c r="G49" s="185"/>
      <c r="H49" s="172"/>
      <c r="I49" s="179"/>
      <c r="J49" s="9"/>
      <c r="K49" s="14"/>
      <c r="L49" s="22"/>
      <c r="M49" s="3" t="s">
        <v>57</v>
      </c>
    </row>
    <row r="50" spans="2:12" s="3" customFormat="1" ht="18">
      <c r="B50" s="207" t="s">
        <v>111</v>
      </c>
      <c r="C50" s="208"/>
      <c r="D50" s="209"/>
      <c r="E50" s="258" t="s">
        <v>98</v>
      </c>
      <c r="F50" s="259"/>
      <c r="G50" s="177">
        <v>1</v>
      </c>
      <c r="H50" s="178" t="s">
        <v>40</v>
      </c>
      <c r="I50" s="179">
        <v>8808</v>
      </c>
      <c r="J50" s="9">
        <f t="shared" si="2"/>
        <v>8808</v>
      </c>
      <c r="K50" s="14"/>
      <c r="L50" s="22"/>
    </row>
    <row r="51" spans="2:12" s="3" customFormat="1" ht="18">
      <c r="B51" s="207" t="s">
        <v>136</v>
      </c>
      <c r="C51" s="212"/>
      <c r="D51" s="213"/>
      <c r="E51" s="258" t="s">
        <v>95</v>
      </c>
      <c r="F51" s="259"/>
      <c r="G51" s="177">
        <v>0.5</v>
      </c>
      <c r="H51" s="178" t="s">
        <v>40</v>
      </c>
      <c r="I51" s="179">
        <v>25302</v>
      </c>
      <c r="J51" s="9">
        <f t="shared" si="2"/>
        <v>12651</v>
      </c>
      <c r="K51" s="14"/>
      <c r="L51" s="22"/>
    </row>
    <row r="52" spans="2:12" s="3" customFormat="1" ht="18">
      <c r="B52" s="207" t="s">
        <v>129</v>
      </c>
      <c r="C52" s="212"/>
      <c r="D52" s="213"/>
      <c r="E52" s="258" t="s">
        <v>120</v>
      </c>
      <c r="F52" s="259"/>
      <c r="G52" s="177">
        <v>0.5</v>
      </c>
      <c r="H52" s="178" t="s">
        <v>40</v>
      </c>
      <c r="I52" s="179">
        <v>34500</v>
      </c>
      <c r="J52" s="9">
        <f t="shared" si="2"/>
        <v>17250</v>
      </c>
      <c r="K52" s="14"/>
      <c r="L52" s="22"/>
    </row>
    <row r="53" spans="2:12" s="3" customFormat="1" ht="18">
      <c r="B53" s="204"/>
      <c r="C53" s="205"/>
      <c r="D53" s="206"/>
      <c r="E53" s="258"/>
      <c r="F53" s="259"/>
      <c r="G53" s="177"/>
      <c r="H53" s="178"/>
      <c r="I53" s="179"/>
      <c r="J53" s="9"/>
      <c r="K53" s="14"/>
      <c r="L53" s="22"/>
    </row>
    <row r="54" spans="2:12" s="3" customFormat="1" ht="18">
      <c r="B54" s="189" t="s">
        <v>89</v>
      </c>
      <c r="C54" s="205"/>
      <c r="D54" s="206"/>
      <c r="E54" s="187"/>
      <c r="F54" s="197"/>
      <c r="G54" s="177"/>
      <c r="H54" s="178"/>
      <c r="I54" s="179"/>
      <c r="J54" s="9"/>
      <c r="K54" s="14"/>
      <c r="L54" s="22"/>
    </row>
    <row r="55" spans="2:12" s="3" customFormat="1" ht="18">
      <c r="B55" s="207" t="s">
        <v>126</v>
      </c>
      <c r="C55" s="210"/>
      <c r="D55" s="211"/>
      <c r="E55" s="258" t="s">
        <v>85</v>
      </c>
      <c r="F55" s="259"/>
      <c r="G55" s="177">
        <v>2</v>
      </c>
      <c r="H55" s="178" t="s">
        <v>40</v>
      </c>
      <c r="I55" s="179">
        <v>10500</v>
      </c>
      <c r="J55" s="9">
        <f t="shared" si="2"/>
        <v>21000</v>
      </c>
      <c r="K55" s="14"/>
      <c r="L55" s="22"/>
    </row>
    <row r="56" spans="2:12" s="3" customFormat="1" ht="18">
      <c r="B56" s="204" t="s">
        <v>99</v>
      </c>
      <c r="C56" s="205"/>
      <c r="D56" s="206"/>
      <c r="E56" s="258" t="s">
        <v>143</v>
      </c>
      <c r="F56" s="259"/>
      <c r="G56" s="177">
        <v>3</v>
      </c>
      <c r="H56" s="178" t="s">
        <v>40</v>
      </c>
      <c r="I56" s="179">
        <v>8543</v>
      </c>
      <c r="J56" s="9">
        <f t="shared" si="2"/>
        <v>25629</v>
      </c>
      <c r="K56" s="14"/>
      <c r="L56" s="22"/>
    </row>
    <row r="57" spans="2:12" s="3" customFormat="1" ht="18">
      <c r="B57" s="204"/>
      <c r="C57" s="205"/>
      <c r="D57" s="206"/>
      <c r="E57" s="187"/>
      <c r="F57" s="188"/>
      <c r="G57" s="177"/>
      <c r="H57" s="178"/>
      <c r="I57" s="179"/>
      <c r="J57" s="9"/>
      <c r="K57" s="14"/>
      <c r="L57" s="22"/>
    </row>
    <row r="58" spans="2:12" s="3" customFormat="1" ht="18">
      <c r="B58" s="189" t="s">
        <v>69</v>
      </c>
      <c r="C58" s="205"/>
      <c r="D58" s="206"/>
      <c r="E58" s="187"/>
      <c r="F58" s="188"/>
      <c r="G58" s="177"/>
      <c r="H58" s="178"/>
      <c r="I58" s="179"/>
      <c r="J58" s="9"/>
      <c r="K58" s="14"/>
      <c r="L58" s="22"/>
    </row>
    <row r="59" spans="2:12" s="3" customFormat="1" ht="18">
      <c r="B59" s="207" t="s">
        <v>96</v>
      </c>
      <c r="C59" s="210"/>
      <c r="D59" s="211"/>
      <c r="E59" s="258" t="s">
        <v>90</v>
      </c>
      <c r="F59" s="259"/>
      <c r="G59" s="177">
        <v>4</v>
      </c>
      <c r="H59" s="178" t="s">
        <v>40</v>
      </c>
      <c r="I59" s="179">
        <v>9615</v>
      </c>
      <c r="J59" s="9">
        <f t="shared" si="2"/>
        <v>38460</v>
      </c>
      <c r="K59" s="14"/>
      <c r="L59" s="22"/>
    </row>
    <row r="60" spans="2:12" s="3" customFormat="1" ht="18">
      <c r="B60" s="207" t="s">
        <v>128</v>
      </c>
      <c r="C60" s="210"/>
      <c r="D60" s="211"/>
      <c r="E60" s="258" t="s">
        <v>90</v>
      </c>
      <c r="F60" s="259"/>
      <c r="G60" s="177">
        <v>4</v>
      </c>
      <c r="H60" s="178" t="s">
        <v>40</v>
      </c>
      <c r="I60" s="179">
        <v>8725</v>
      </c>
      <c r="J60" s="9">
        <f t="shared" si="2"/>
        <v>34900</v>
      </c>
      <c r="K60" s="14"/>
      <c r="L60" s="22"/>
    </row>
    <row r="61" spans="2:12" s="3" customFormat="1" ht="18">
      <c r="B61" s="207" t="s">
        <v>97</v>
      </c>
      <c r="C61" s="210"/>
      <c r="D61" s="211"/>
      <c r="E61" s="258" t="s">
        <v>121</v>
      </c>
      <c r="F61" s="259"/>
      <c r="G61" s="177">
        <v>4</v>
      </c>
      <c r="H61" s="178" t="s">
        <v>40</v>
      </c>
      <c r="I61" s="179">
        <v>5500</v>
      </c>
      <c r="J61" s="9">
        <f t="shared" si="2"/>
        <v>22000</v>
      </c>
      <c r="K61" s="14"/>
      <c r="L61" s="22"/>
    </row>
    <row r="62" spans="2:12" s="3" customFormat="1" ht="18">
      <c r="B62" s="174"/>
      <c r="C62" s="183"/>
      <c r="D62" s="184"/>
      <c r="E62" s="187"/>
      <c r="F62" s="188"/>
      <c r="G62" s="177"/>
      <c r="H62" s="178"/>
      <c r="I62" s="179"/>
      <c r="J62" s="9"/>
      <c r="K62" s="14"/>
      <c r="L62" s="22"/>
    </row>
    <row r="63" spans="2:12" s="3" customFormat="1" ht="18">
      <c r="B63" s="180" t="s">
        <v>70</v>
      </c>
      <c r="C63" s="183"/>
      <c r="D63" s="184"/>
      <c r="E63" s="187"/>
      <c r="F63" s="188"/>
      <c r="G63" s="177"/>
      <c r="H63" s="178"/>
      <c r="I63" s="179"/>
      <c r="J63" s="9"/>
      <c r="K63" s="14"/>
      <c r="L63" s="22"/>
    </row>
    <row r="64" spans="2:12" s="3" customFormat="1" ht="21">
      <c r="B64" s="174" t="s">
        <v>127</v>
      </c>
      <c r="C64" s="183"/>
      <c r="D64" s="184"/>
      <c r="E64" s="258" t="s">
        <v>110</v>
      </c>
      <c r="F64" s="259"/>
      <c r="G64" s="177">
        <v>1</v>
      </c>
      <c r="H64" s="178" t="s">
        <v>86</v>
      </c>
      <c r="I64" s="179">
        <v>28000</v>
      </c>
      <c r="J64" s="9">
        <f t="shared" si="2"/>
        <v>28000</v>
      </c>
      <c r="K64" s="14"/>
      <c r="L64" s="22"/>
    </row>
    <row r="65" spans="2:12" s="3" customFormat="1" ht="21">
      <c r="B65" s="192" t="s">
        <v>142</v>
      </c>
      <c r="C65" s="193"/>
      <c r="D65" s="194"/>
      <c r="E65" s="236" t="s">
        <v>109</v>
      </c>
      <c r="F65" s="237"/>
      <c r="G65" s="177">
        <v>1</v>
      </c>
      <c r="H65" s="178" t="s">
        <v>63</v>
      </c>
      <c r="I65" s="179">
        <v>25000</v>
      </c>
      <c r="J65" s="9">
        <f t="shared" si="2"/>
        <v>25000</v>
      </c>
      <c r="K65" s="14"/>
      <c r="L65" s="22"/>
    </row>
    <row r="66" spans="2:14" ht="18">
      <c r="B66" s="256" t="s">
        <v>23</v>
      </c>
      <c r="C66" s="257"/>
      <c r="D66" s="257"/>
      <c r="E66" s="257"/>
      <c r="F66" s="257"/>
      <c r="G66" s="257"/>
      <c r="H66" s="257"/>
      <c r="I66" s="257"/>
      <c r="J66" s="105">
        <f>SUM(J39:J65)</f>
        <v>542088</v>
      </c>
      <c r="K66" s="14"/>
      <c r="M66" s="14"/>
      <c r="N66" s="14"/>
    </row>
    <row r="67" spans="2:14" s="3" customFormat="1" ht="18">
      <c r="B67" s="27"/>
      <c r="C67" s="27"/>
      <c r="D67" s="27"/>
      <c r="E67" s="27"/>
      <c r="F67" s="27"/>
      <c r="G67" s="28"/>
      <c r="H67" s="27"/>
      <c r="I67" s="27"/>
      <c r="J67" s="29"/>
      <c r="K67" s="14"/>
      <c r="M67" s="14"/>
      <c r="N67" s="14"/>
    </row>
    <row r="68" spans="2:16" ht="18">
      <c r="B68" s="238" t="s">
        <v>24</v>
      </c>
      <c r="C68" s="239"/>
      <c r="D68" s="239"/>
      <c r="E68" s="239"/>
      <c r="F68" s="239"/>
      <c r="G68" s="239"/>
      <c r="H68" s="239"/>
      <c r="I68" s="239"/>
      <c r="J68" s="80">
        <f>total_mano_obra+total_maquinaria+total_insumos</f>
        <v>5986088</v>
      </c>
      <c r="K68" s="14"/>
      <c r="M68" s="14"/>
      <c r="N68" s="14"/>
      <c r="O68" s="8"/>
      <c r="P68" s="8"/>
    </row>
    <row r="69" spans="2:14" s="3" customFormat="1" ht="18">
      <c r="B69" s="74"/>
      <c r="C69" s="74"/>
      <c r="D69" s="74"/>
      <c r="E69" s="74"/>
      <c r="F69" s="74"/>
      <c r="G69" s="30"/>
      <c r="H69" s="74"/>
      <c r="I69" s="74"/>
      <c r="J69" s="25"/>
      <c r="K69" s="14"/>
      <c r="M69" s="14"/>
      <c r="N69" s="14"/>
    </row>
    <row r="70" spans="2:14" s="3" customFormat="1" ht="18">
      <c r="B70" s="130" t="s">
        <v>54</v>
      </c>
      <c r="C70" s="131"/>
      <c r="D70" s="132"/>
      <c r="E70" s="240" t="s">
        <v>62</v>
      </c>
      <c r="F70" s="240"/>
      <c r="G70" s="133">
        <v>0.05</v>
      </c>
      <c r="H70" s="134" t="s">
        <v>1</v>
      </c>
      <c r="I70" s="135"/>
      <c r="J70" s="135">
        <f>total_costos_directos*G70</f>
        <v>299304.4</v>
      </c>
      <c r="K70" s="14"/>
      <c r="M70" s="14"/>
      <c r="N70" s="14"/>
    </row>
    <row r="71" spans="2:14" s="3" customFormat="1" ht="18">
      <c r="B71" s="107"/>
      <c r="C71" s="107"/>
      <c r="D71" s="107"/>
      <c r="E71" s="107"/>
      <c r="F71" s="107"/>
      <c r="G71" s="30"/>
      <c r="H71" s="107"/>
      <c r="I71" s="107"/>
      <c r="J71" s="25"/>
      <c r="K71" s="14"/>
      <c r="M71" s="14"/>
      <c r="N71" s="14"/>
    </row>
    <row r="72" spans="2:14" s="3" customFormat="1" ht="20.25">
      <c r="B72" s="101" t="s">
        <v>53</v>
      </c>
      <c r="C72" s="100"/>
      <c r="D72" s="100"/>
      <c r="E72" s="18"/>
      <c r="F72" s="18"/>
      <c r="G72" s="19"/>
      <c r="H72" s="20"/>
      <c r="I72" s="21"/>
      <c r="J72" s="21"/>
      <c r="K72" s="14"/>
      <c r="M72" s="14"/>
      <c r="N72" s="14"/>
    </row>
    <row r="73" spans="2:14" s="3" customFormat="1" ht="18">
      <c r="B73" s="252" t="s">
        <v>52</v>
      </c>
      <c r="C73" s="253"/>
      <c r="D73" s="253"/>
      <c r="E73" s="253" t="s">
        <v>15</v>
      </c>
      <c r="F73" s="253"/>
      <c r="G73" s="92" t="s">
        <v>16</v>
      </c>
      <c r="H73" s="93" t="s">
        <v>17</v>
      </c>
      <c r="I73" s="94" t="s">
        <v>18</v>
      </c>
      <c r="J73" s="95" t="s">
        <v>3</v>
      </c>
      <c r="K73" s="14"/>
      <c r="M73" s="14"/>
      <c r="N73" s="14"/>
    </row>
    <row r="74" spans="2:15" s="3" customFormat="1" ht="21">
      <c r="B74" s="260" t="s">
        <v>66</v>
      </c>
      <c r="C74" s="261"/>
      <c r="D74" s="262"/>
      <c r="E74" s="269" t="s">
        <v>62</v>
      </c>
      <c r="F74" s="270"/>
      <c r="G74" s="103">
        <f>E16</f>
        <v>0.015</v>
      </c>
      <c r="H74" s="7" t="s">
        <v>1</v>
      </c>
      <c r="I74" s="104"/>
      <c r="J74" s="9">
        <f>total_costos_directos*tasa_interes_mensual*meses_financiamiento*0.5</f>
        <v>314269.62</v>
      </c>
      <c r="K74" s="14"/>
      <c r="L74" s="261"/>
      <c r="M74" s="261"/>
      <c r="N74" s="261"/>
      <c r="O74" s="261"/>
    </row>
    <row r="75" spans="2:14" s="3" customFormat="1" ht="18">
      <c r="B75" s="260" t="s">
        <v>26</v>
      </c>
      <c r="C75" s="261"/>
      <c r="D75" s="262"/>
      <c r="E75" s="254"/>
      <c r="F75" s="255"/>
      <c r="G75" s="81"/>
      <c r="H75" s="81"/>
      <c r="I75" s="81"/>
      <c r="J75" s="83"/>
      <c r="K75" s="14"/>
      <c r="M75" s="14"/>
      <c r="N75" s="14"/>
    </row>
    <row r="76" spans="2:14" s="3" customFormat="1" ht="18">
      <c r="B76" s="260" t="s">
        <v>2</v>
      </c>
      <c r="C76" s="261"/>
      <c r="D76" s="262"/>
      <c r="E76" s="254"/>
      <c r="F76" s="255"/>
      <c r="G76" s="81"/>
      <c r="H76" s="81"/>
      <c r="I76" s="81"/>
      <c r="J76" s="83"/>
      <c r="K76" s="14"/>
      <c r="M76" s="14"/>
      <c r="N76" s="14"/>
    </row>
    <row r="77" spans="2:14" s="3" customFormat="1" ht="18">
      <c r="B77" s="266" t="s">
        <v>27</v>
      </c>
      <c r="C77" s="267"/>
      <c r="D77" s="268"/>
      <c r="E77" s="289"/>
      <c r="F77" s="290"/>
      <c r="G77" s="82"/>
      <c r="H77" s="82"/>
      <c r="I77" s="82"/>
      <c r="J77" s="84"/>
      <c r="K77" s="14"/>
      <c r="M77" s="14"/>
      <c r="N77" s="14"/>
    </row>
    <row r="78" spans="2:14" ht="18">
      <c r="B78" s="246" t="s">
        <v>49</v>
      </c>
      <c r="C78" s="247"/>
      <c r="D78" s="247"/>
      <c r="E78" s="247"/>
      <c r="F78" s="247"/>
      <c r="G78" s="247"/>
      <c r="H78" s="247"/>
      <c r="I78" s="247"/>
      <c r="J78" s="102">
        <f>SUM(J74:J77)</f>
        <v>314269.62</v>
      </c>
      <c r="K78" s="14"/>
      <c r="M78" s="14"/>
      <c r="N78" s="14"/>
    </row>
    <row r="79" spans="2:12" s="3" customFormat="1" ht="18" customHeight="1">
      <c r="B79" s="73"/>
      <c r="C79" s="73"/>
      <c r="D79" s="73"/>
      <c r="E79" s="73"/>
      <c r="F79" s="73"/>
      <c r="G79" s="23"/>
      <c r="H79" s="73"/>
      <c r="I79" s="73"/>
      <c r="J79" s="25"/>
      <c r="K79" s="14"/>
      <c r="L79" s="14"/>
    </row>
    <row r="80" spans="2:12" ht="18" customHeight="1">
      <c r="B80" s="244" t="s">
        <v>28</v>
      </c>
      <c r="C80" s="245"/>
      <c r="D80" s="245"/>
      <c r="E80" s="245"/>
      <c r="F80" s="245"/>
      <c r="G80" s="245"/>
      <c r="H80" s="245"/>
      <c r="I80" s="245"/>
      <c r="J80" s="250">
        <f>total_costos_directos+imprevistos+total_costos_indirectos</f>
        <v>6599662.0200000005</v>
      </c>
      <c r="K80" s="14"/>
      <c r="L80" s="14"/>
    </row>
    <row r="81" spans="2:12" s="3" customFormat="1" ht="18" customHeight="1">
      <c r="B81" s="246"/>
      <c r="C81" s="247"/>
      <c r="D81" s="247"/>
      <c r="E81" s="247"/>
      <c r="F81" s="247"/>
      <c r="G81" s="247"/>
      <c r="H81" s="247"/>
      <c r="I81" s="247"/>
      <c r="J81" s="251"/>
      <c r="K81" s="14"/>
      <c r="L81" s="14"/>
    </row>
    <row r="82" spans="2:12" s="3" customFormat="1" ht="18" customHeight="1">
      <c r="B82" s="27"/>
      <c r="C82" s="27"/>
      <c r="D82" s="27"/>
      <c r="E82" s="27"/>
      <c r="F82" s="27"/>
      <c r="G82" s="28"/>
      <c r="H82" s="27"/>
      <c r="I82" s="27"/>
      <c r="J82" s="29"/>
      <c r="K82" s="14"/>
      <c r="L82" s="14"/>
    </row>
    <row r="83" spans="2:12" ht="18" customHeight="1">
      <c r="B83" s="279" t="s">
        <v>67</v>
      </c>
      <c r="C83" s="280"/>
      <c r="D83" s="280"/>
      <c r="E83" s="280"/>
      <c r="F83" s="280"/>
      <c r="G83" s="280"/>
      <c r="H83" s="280"/>
      <c r="I83" s="280"/>
      <c r="J83" s="281"/>
      <c r="K83" s="14"/>
      <c r="L83" s="22"/>
    </row>
    <row r="84" spans="2:12" ht="18" customHeight="1">
      <c r="B84" s="282" t="s">
        <v>34</v>
      </c>
      <c r="C84" s="283"/>
      <c r="D84" s="283"/>
      <c r="E84" s="283"/>
      <c r="F84" s="283"/>
      <c r="G84" s="283"/>
      <c r="H84" s="283"/>
      <c r="I84" s="283"/>
      <c r="J84" s="284"/>
      <c r="K84" s="14"/>
      <c r="L84" s="22"/>
    </row>
    <row r="85" spans="2:12" s="3" customFormat="1" ht="18" customHeight="1">
      <c r="B85" s="248" t="s">
        <v>60</v>
      </c>
      <c r="C85" s="248"/>
      <c r="D85" s="248"/>
      <c r="E85" s="291" t="s">
        <v>59</v>
      </c>
      <c r="F85" s="292"/>
      <c r="G85" s="292"/>
      <c r="H85" s="292"/>
      <c r="I85" s="292"/>
      <c r="J85" s="293"/>
      <c r="K85" s="14"/>
      <c r="L85" s="22"/>
    </row>
    <row r="86" spans="2:12" s="3" customFormat="1" ht="18" customHeight="1">
      <c r="B86" s="248"/>
      <c r="C86" s="248"/>
      <c r="D86" s="248"/>
      <c r="E86" s="226">
        <f>G86*0.9</f>
        <v>900</v>
      </c>
      <c r="F86" s="226"/>
      <c r="G86" s="226">
        <f>precio_de_venta</f>
        <v>1000</v>
      </c>
      <c r="H86" s="226"/>
      <c r="I86" s="226">
        <f>G86*1.1</f>
        <v>1100</v>
      </c>
      <c r="J86" s="226"/>
      <c r="K86" s="14"/>
      <c r="L86" s="22"/>
    </row>
    <row r="87" spans="2:12" s="3" customFormat="1" ht="18" customHeight="1">
      <c r="B87" s="226">
        <f>rendimiento*0.9</f>
        <v>8550</v>
      </c>
      <c r="C87" s="226"/>
      <c r="D87" s="226"/>
      <c r="E87" s="249">
        <f>E$86*$B$87-rdto_variable!$C$44</f>
        <v>1629499.2299999995</v>
      </c>
      <c r="F87" s="249"/>
      <c r="G87" s="249">
        <f>G$86*$B$87-rdto_variable!$C$44</f>
        <v>2484499.2299999995</v>
      </c>
      <c r="H87" s="249"/>
      <c r="I87" s="249">
        <f>I$86*$B$87-rdto_variable!$C$44</f>
        <v>3339499.2299999995</v>
      </c>
      <c r="J87" s="249"/>
      <c r="K87" s="14"/>
      <c r="L87" s="22"/>
    </row>
    <row r="88" spans="2:12" s="3" customFormat="1" ht="18" customHeight="1">
      <c r="B88" s="226">
        <f>rendimiento</f>
        <v>9500</v>
      </c>
      <c r="C88" s="226"/>
      <c r="D88" s="226"/>
      <c r="E88" s="249">
        <f>E$86*$B$88-total_costos</f>
        <v>1950337.9799999995</v>
      </c>
      <c r="F88" s="249"/>
      <c r="G88" s="249">
        <f>G$86*$B$88-total_costos</f>
        <v>2900337.9799999995</v>
      </c>
      <c r="H88" s="249"/>
      <c r="I88" s="249">
        <f>I$86*$B$88-total_costos</f>
        <v>3850337.9799999995</v>
      </c>
      <c r="J88" s="249"/>
      <c r="K88" s="14"/>
      <c r="L88" s="22"/>
    </row>
    <row r="89" spans="2:12" s="3" customFormat="1" ht="18" customHeight="1">
      <c r="B89" s="226">
        <f>rendimiento*1.1</f>
        <v>10450</v>
      </c>
      <c r="C89" s="226"/>
      <c r="D89" s="226"/>
      <c r="E89" s="249">
        <f>E$86*$B$89-rdto_variable!$D$44</f>
        <v>2271176.7299999995</v>
      </c>
      <c r="F89" s="249"/>
      <c r="G89" s="249">
        <f>G$86*$B$89-rdto_variable!$D$44</f>
        <v>3316176.7299999995</v>
      </c>
      <c r="H89" s="249"/>
      <c r="I89" s="249">
        <f>I$86*$B$89-rdto_variable!$D$44</f>
        <v>4361176.7299999995</v>
      </c>
      <c r="J89" s="249"/>
      <c r="K89" s="14"/>
      <c r="L89" s="22"/>
    </row>
    <row r="90" spans="2:12" s="3" customFormat="1" ht="18" customHeight="1">
      <c r="B90" s="31"/>
      <c r="C90" s="31"/>
      <c r="D90" s="32"/>
      <c r="E90" s="32"/>
      <c r="F90" s="32"/>
      <c r="G90" s="33"/>
      <c r="H90" s="10"/>
      <c r="I90" s="13"/>
      <c r="J90" s="13"/>
      <c r="K90" s="14"/>
      <c r="L90" s="22"/>
    </row>
    <row r="91" spans="2:12" s="3" customFormat="1" ht="18" customHeight="1">
      <c r="B91" s="271" t="s">
        <v>68</v>
      </c>
      <c r="C91" s="272"/>
      <c r="D91" s="272"/>
      <c r="E91" s="272"/>
      <c r="F91" s="272"/>
      <c r="G91" s="272"/>
      <c r="H91" s="272"/>
      <c r="I91" s="272"/>
      <c r="J91" s="273"/>
      <c r="K91" s="14"/>
      <c r="L91" s="22"/>
    </row>
    <row r="92" spans="2:12" s="3" customFormat="1" ht="18" customHeight="1">
      <c r="B92" s="274"/>
      <c r="C92" s="275"/>
      <c r="D92" s="275"/>
      <c r="E92" s="275"/>
      <c r="F92" s="275"/>
      <c r="G92" s="275"/>
      <c r="H92" s="275"/>
      <c r="I92" s="275"/>
      <c r="J92" s="276"/>
      <c r="K92" s="14"/>
      <c r="L92" s="22"/>
    </row>
    <row r="93" spans="2:12" s="3" customFormat="1" ht="18" customHeight="1">
      <c r="B93" s="227" t="s">
        <v>60</v>
      </c>
      <c r="C93" s="222"/>
      <c r="D93" s="222"/>
      <c r="E93" s="222">
        <f>B87</f>
        <v>8550</v>
      </c>
      <c r="F93" s="222"/>
      <c r="G93" s="222">
        <f>B88</f>
        <v>9500</v>
      </c>
      <c r="H93" s="222"/>
      <c r="I93" s="222">
        <f>B89</f>
        <v>10450</v>
      </c>
      <c r="J93" s="223"/>
      <c r="K93" s="14"/>
      <c r="L93" s="22"/>
    </row>
    <row r="94" spans="2:12" ht="18" customHeight="1">
      <c r="B94" s="228"/>
      <c r="C94" s="224"/>
      <c r="D94" s="224"/>
      <c r="E94" s="224"/>
      <c r="F94" s="224"/>
      <c r="G94" s="224"/>
      <c r="H94" s="224"/>
      <c r="I94" s="224"/>
      <c r="J94" s="225"/>
      <c r="K94" s="14"/>
      <c r="L94" s="22"/>
    </row>
    <row r="95" spans="2:12" ht="18" customHeight="1">
      <c r="B95" s="285" t="s">
        <v>61</v>
      </c>
      <c r="C95" s="286"/>
      <c r="D95" s="286"/>
      <c r="E95" s="264">
        <f>rdto_variable!C44/frambuesa!E93</f>
        <v>709.4152947368422</v>
      </c>
      <c r="F95" s="264"/>
      <c r="G95" s="265">
        <f>total_costos/$G$93</f>
        <v>694.7012652631579</v>
      </c>
      <c r="H95" s="265"/>
      <c r="I95" s="264">
        <f>rdto_variable!D44/frambuesa!I93</f>
        <v>682.6625138755982</v>
      </c>
      <c r="J95" s="277"/>
      <c r="K95" s="14"/>
      <c r="L95" s="22"/>
    </row>
    <row r="96" spans="2:12" ht="18" customHeight="1">
      <c r="B96" s="287"/>
      <c r="C96" s="288"/>
      <c r="D96" s="288"/>
      <c r="E96" s="265"/>
      <c r="F96" s="265"/>
      <c r="G96" s="265"/>
      <c r="H96" s="265"/>
      <c r="I96" s="265"/>
      <c r="J96" s="278"/>
      <c r="K96" s="14"/>
      <c r="L96" s="22"/>
    </row>
    <row r="97" spans="2:12" ht="18" customHeight="1">
      <c r="B97" s="39"/>
      <c r="C97" s="1"/>
      <c r="D97" s="3"/>
      <c r="E97" s="3"/>
      <c r="F97" s="86"/>
      <c r="G97" s="86"/>
      <c r="H97" s="86"/>
      <c r="I97" s="13"/>
      <c r="J97" s="13"/>
      <c r="K97" s="14"/>
      <c r="L97" s="22"/>
    </row>
    <row r="98" spans="2:11" s="3" customFormat="1" ht="18" customHeight="1">
      <c r="B98" s="241" t="s">
        <v>30</v>
      </c>
      <c r="C98" s="242"/>
      <c r="D98" s="242"/>
      <c r="E98" s="242"/>
      <c r="F98" s="242"/>
      <c r="G98" s="242"/>
      <c r="H98" s="242"/>
      <c r="I98" s="242"/>
      <c r="J98" s="243"/>
      <c r="K98" s="72"/>
    </row>
    <row r="99" spans="2:14" s="3" customFormat="1" ht="32.25" customHeight="1">
      <c r="B99" s="229" t="s">
        <v>137</v>
      </c>
      <c r="C99" s="230"/>
      <c r="D99" s="230"/>
      <c r="E99" s="230"/>
      <c r="F99" s="230"/>
      <c r="G99" s="230"/>
      <c r="H99" s="230"/>
      <c r="I99" s="230"/>
      <c r="J99" s="231"/>
      <c r="K99" s="72"/>
      <c r="N99" s="87"/>
    </row>
    <row r="100" spans="2:11" s="3" customFormat="1" ht="18">
      <c r="B100" s="233" t="s">
        <v>87</v>
      </c>
      <c r="C100" s="234"/>
      <c r="D100" s="234"/>
      <c r="E100" s="234"/>
      <c r="F100" s="234"/>
      <c r="G100" s="234"/>
      <c r="H100" s="234"/>
      <c r="I100" s="234"/>
      <c r="J100" s="235"/>
      <c r="K100" s="72"/>
    </row>
    <row r="101" spans="2:11" s="3" customFormat="1" ht="18">
      <c r="B101" s="233" t="s">
        <v>130</v>
      </c>
      <c r="C101" s="234"/>
      <c r="D101" s="234"/>
      <c r="E101" s="234"/>
      <c r="F101" s="234"/>
      <c r="G101" s="234"/>
      <c r="H101" s="234"/>
      <c r="I101" s="234"/>
      <c r="J101" s="235"/>
      <c r="K101" s="72"/>
    </row>
    <row r="102" spans="2:11" s="3" customFormat="1" ht="18">
      <c r="B102" s="229" t="s">
        <v>133</v>
      </c>
      <c r="C102" s="230"/>
      <c r="D102" s="230"/>
      <c r="E102" s="230"/>
      <c r="F102" s="230"/>
      <c r="G102" s="230"/>
      <c r="H102" s="230"/>
      <c r="I102" s="230"/>
      <c r="J102" s="231"/>
      <c r="K102" s="72"/>
    </row>
    <row r="103" spans="2:11" s="3" customFormat="1" ht="18">
      <c r="B103" s="219" t="s">
        <v>132</v>
      </c>
      <c r="C103" s="220"/>
      <c r="D103" s="220"/>
      <c r="E103" s="220"/>
      <c r="F103" s="220"/>
      <c r="G103" s="220"/>
      <c r="H103" s="220"/>
      <c r="I103" s="220"/>
      <c r="J103" s="221"/>
      <c r="K103" s="72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8"/>
    </row>
    <row r="105" spans="2:11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8"/>
    </row>
    <row r="106" spans="2:12" s="3" customFormat="1" ht="15">
      <c r="B106" s="59"/>
      <c r="C106" s="59"/>
      <c r="D106" s="59"/>
      <c r="E106" s="59"/>
      <c r="F106" s="59"/>
      <c r="G106" s="60"/>
      <c r="H106" s="59"/>
      <c r="I106" s="59"/>
      <c r="J106" s="59"/>
      <c r="K106" s="61"/>
      <c r="L106" s="59"/>
    </row>
    <row r="107" spans="2:12" s="3" customFormat="1" ht="15">
      <c r="B107" s="59"/>
      <c r="C107" s="59"/>
      <c r="D107" s="59"/>
      <c r="E107" s="59"/>
      <c r="F107" s="59"/>
      <c r="G107" s="60"/>
      <c r="H107" s="59"/>
      <c r="I107" s="59"/>
      <c r="J107" s="59"/>
      <c r="K107" s="61"/>
      <c r="L107" s="59"/>
    </row>
    <row r="108" spans="2:12" s="3" customFormat="1" ht="15">
      <c r="B108" s="59"/>
      <c r="C108" s="59"/>
      <c r="D108" s="59"/>
      <c r="E108" s="59"/>
      <c r="F108" s="59"/>
      <c r="G108" s="60"/>
      <c r="H108" s="59"/>
      <c r="I108" s="59"/>
      <c r="J108" s="59"/>
      <c r="K108" s="61"/>
      <c r="L108" s="59"/>
    </row>
    <row r="109" spans="2:12" s="3" customFormat="1" ht="15">
      <c r="B109" s="59"/>
      <c r="C109" s="59"/>
      <c r="D109" s="59"/>
      <c r="E109" s="59"/>
      <c r="F109" s="59"/>
      <c r="G109" s="60"/>
      <c r="H109" s="59"/>
      <c r="I109" s="59"/>
      <c r="J109" s="59"/>
      <c r="K109" s="61"/>
      <c r="L109" s="59"/>
    </row>
    <row r="110" spans="2:12" ht="18">
      <c r="B110" s="48"/>
      <c r="C110" s="48"/>
      <c r="D110" s="49"/>
      <c r="E110" s="49"/>
      <c r="F110" s="50"/>
      <c r="G110" s="50"/>
      <c r="H110" s="50"/>
      <c r="I110" s="59"/>
      <c r="J110" s="59"/>
      <c r="K110" s="61"/>
      <c r="L110" s="59"/>
    </row>
    <row r="111" spans="2:12" ht="18">
      <c r="B111" s="48"/>
      <c r="C111" s="51"/>
      <c r="D111" s="51"/>
      <c r="E111" s="52"/>
      <c r="F111" s="51"/>
      <c r="G111" s="53"/>
      <c r="H111" s="54"/>
      <c r="I111" s="59"/>
      <c r="J111" s="59"/>
      <c r="K111" s="61"/>
      <c r="L111" s="59"/>
    </row>
    <row r="112" spans="2:12" ht="18">
      <c r="B112" s="49"/>
      <c r="C112" s="49"/>
      <c r="D112" s="49"/>
      <c r="E112" s="49"/>
      <c r="F112" s="49"/>
      <c r="G112" s="49"/>
      <c r="H112" s="49"/>
      <c r="I112" s="59"/>
      <c r="J112" s="59"/>
      <c r="K112" s="61"/>
      <c r="L112" s="59"/>
    </row>
    <row r="113" spans="2:12" ht="18">
      <c r="B113" s="48"/>
      <c r="C113" s="49"/>
      <c r="D113" s="49"/>
      <c r="E113" s="49"/>
      <c r="F113" s="49"/>
      <c r="G113" s="49"/>
      <c r="H113" s="49"/>
      <c r="I113" s="59"/>
      <c r="J113" s="59"/>
      <c r="K113" s="61"/>
      <c r="L113" s="59"/>
    </row>
    <row r="114" spans="2:12" ht="18">
      <c r="B114" s="62"/>
      <c r="C114" s="63"/>
      <c r="D114" s="63"/>
      <c r="E114" s="55"/>
      <c r="F114" s="55"/>
      <c r="G114" s="55"/>
      <c r="H114" s="55"/>
      <c r="I114" s="59"/>
      <c r="J114" s="61"/>
      <c r="K114" s="61"/>
      <c r="L114" s="59"/>
    </row>
    <row r="115" spans="2:12" ht="18">
      <c r="B115" s="62"/>
      <c r="C115" s="63"/>
      <c r="D115" s="63"/>
      <c r="E115" s="55"/>
      <c r="F115" s="55"/>
      <c r="G115" s="55"/>
      <c r="H115" s="55"/>
      <c r="I115" s="59"/>
      <c r="J115" s="61"/>
      <c r="K115" s="61"/>
      <c r="L115" s="59"/>
    </row>
    <row r="116" spans="2:12" ht="18">
      <c r="B116" s="56"/>
      <c r="C116" s="57"/>
      <c r="D116" s="57"/>
      <c r="E116" s="56"/>
      <c r="F116" s="56"/>
      <c r="G116" s="56"/>
      <c r="H116" s="58"/>
      <c r="I116" s="59"/>
      <c r="J116" s="59"/>
      <c r="K116" s="61"/>
      <c r="L116" s="59"/>
    </row>
    <row r="117" spans="2:12" ht="18">
      <c r="B117" s="49"/>
      <c r="C117" s="49"/>
      <c r="D117" s="49"/>
      <c r="E117" s="49"/>
      <c r="F117" s="49"/>
      <c r="G117" s="49"/>
      <c r="H117" s="49"/>
      <c r="I117" s="59"/>
      <c r="J117" s="59"/>
      <c r="K117" s="61"/>
      <c r="L117" s="59"/>
    </row>
    <row r="118" spans="2:12" ht="18">
      <c r="B118" s="48"/>
      <c r="C118" s="49"/>
      <c r="D118" s="49"/>
      <c r="E118" s="49"/>
      <c r="F118" s="49"/>
      <c r="G118" s="49"/>
      <c r="H118" s="49"/>
      <c r="I118" s="59"/>
      <c r="J118" s="59"/>
      <c r="K118" s="61"/>
      <c r="L118" s="59"/>
    </row>
    <row r="119" spans="2:12" ht="18">
      <c r="B119" s="64"/>
      <c r="C119" s="65"/>
      <c r="D119" s="66"/>
      <c r="E119" s="67"/>
      <c r="F119" s="66"/>
      <c r="G119" s="68"/>
      <c r="H119" s="68"/>
      <c r="I119" s="59"/>
      <c r="J119" s="59"/>
      <c r="K119" s="61"/>
      <c r="L119" s="59"/>
    </row>
    <row r="120" spans="2:12" ht="18">
      <c r="B120" s="64"/>
      <c r="C120" s="65"/>
      <c r="D120" s="66"/>
      <c r="E120" s="67"/>
      <c r="F120" s="66"/>
      <c r="G120" s="68"/>
      <c r="H120" s="68"/>
      <c r="I120" s="59"/>
      <c r="J120" s="59"/>
      <c r="K120" s="61"/>
      <c r="L120" s="59"/>
    </row>
    <row r="121" spans="2:12" ht="18">
      <c r="B121" s="263"/>
      <c r="C121" s="263"/>
      <c r="D121" s="66"/>
      <c r="E121" s="67"/>
      <c r="F121" s="66"/>
      <c r="G121" s="68"/>
      <c r="H121" s="68"/>
      <c r="I121" s="59"/>
      <c r="J121" s="59"/>
      <c r="K121" s="61"/>
      <c r="L121" s="59"/>
    </row>
    <row r="122" spans="2:12" ht="18">
      <c r="B122" s="64"/>
      <c r="C122" s="65"/>
      <c r="D122" s="66"/>
      <c r="E122" s="67"/>
      <c r="F122" s="66"/>
      <c r="G122" s="68"/>
      <c r="H122" s="68"/>
      <c r="I122" s="59"/>
      <c r="J122" s="59"/>
      <c r="K122" s="61"/>
      <c r="L122" s="59"/>
    </row>
    <row r="123" spans="2:12" ht="18">
      <c r="B123" s="64"/>
      <c r="C123" s="65"/>
      <c r="D123" s="66"/>
      <c r="E123" s="67"/>
      <c r="F123" s="66"/>
      <c r="G123" s="68"/>
      <c r="H123" s="68"/>
      <c r="I123" s="59"/>
      <c r="J123" s="59"/>
      <c r="K123" s="61"/>
      <c r="L123" s="59"/>
    </row>
    <row r="124" spans="2:12" ht="18">
      <c r="B124" s="64"/>
      <c r="C124" s="65"/>
      <c r="D124" s="66"/>
      <c r="E124" s="67"/>
      <c r="F124" s="66"/>
      <c r="G124" s="68"/>
      <c r="H124" s="68"/>
      <c r="I124" s="59"/>
      <c r="J124" s="59"/>
      <c r="K124" s="61"/>
      <c r="L124" s="59"/>
    </row>
    <row r="125" spans="2:12" ht="18">
      <c r="B125" s="64"/>
      <c r="C125" s="65"/>
      <c r="D125" s="66"/>
      <c r="E125" s="67"/>
      <c r="F125" s="66"/>
      <c r="G125" s="68"/>
      <c r="H125" s="68"/>
      <c r="I125" s="59"/>
      <c r="J125" s="59"/>
      <c r="K125" s="61"/>
      <c r="L125" s="59"/>
    </row>
    <row r="126" spans="2:12" ht="18">
      <c r="B126" s="64"/>
      <c r="C126" s="65"/>
      <c r="D126" s="66"/>
      <c r="E126" s="67"/>
      <c r="F126" s="66"/>
      <c r="G126" s="68"/>
      <c r="H126" s="68"/>
      <c r="I126" s="59"/>
      <c r="J126" s="59"/>
      <c r="K126" s="61"/>
      <c r="L126" s="59"/>
    </row>
    <row r="127" spans="2:12" ht="18">
      <c r="B127" s="64"/>
      <c r="C127" s="65"/>
      <c r="D127" s="66"/>
      <c r="E127" s="67"/>
      <c r="F127" s="66"/>
      <c r="G127" s="68"/>
      <c r="H127" s="68"/>
      <c r="I127" s="59"/>
      <c r="J127" s="59"/>
      <c r="K127" s="61"/>
      <c r="L127" s="59"/>
    </row>
    <row r="128" spans="2:12" ht="18">
      <c r="B128" s="64"/>
      <c r="C128" s="65"/>
      <c r="D128" s="66"/>
      <c r="E128" s="67"/>
      <c r="F128" s="66"/>
      <c r="G128" s="68"/>
      <c r="H128" s="68"/>
      <c r="I128" s="59"/>
      <c r="J128" s="59"/>
      <c r="K128" s="61"/>
      <c r="L128" s="59"/>
    </row>
    <row r="129" spans="2:12" ht="18">
      <c r="B129" s="64"/>
      <c r="C129" s="65"/>
      <c r="D129" s="66"/>
      <c r="E129" s="67"/>
      <c r="F129" s="66"/>
      <c r="G129" s="68"/>
      <c r="H129" s="68"/>
      <c r="I129" s="59"/>
      <c r="J129" s="59"/>
      <c r="K129" s="61"/>
      <c r="L129" s="59"/>
    </row>
    <row r="130" spans="2:12" ht="18">
      <c r="B130" s="64"/>
      <c r="C130" s="65"/>
      <c r="D130" s="66"/>
      <c r="E130" s="67"/>
      <c r="F130" s="66"/>
      <c r="G130" s="68"/>
      <c r="H130" s="68"/>
      <c r="I130" s="59"/>
      <c r="J130" s="59"/>
      <c r="K130" s="61"/>
      <c r="L130" s="59"/>
    </row>
    <row r="131" spans="2:12" ht="18">
      <c r="B131" s="64"/>
      <c r="C131" s="65"/>
      <c r="D131" s="66"/>
      <c r="E131" s="67"/>
      <c r="F131" s="66"/>
      <c r="G131" s="68"/>
      <c r="H131" s="68"/>
      <c r="I131" s="59"/>
      <c r="J131" s="59"/>
      <c r="K131" s="61"/>
      <c r="L131" s="59"/>
    </row>
    <row r="132" spans="2:12" ht="18">
      <c r="B132" s="56"/>
      <c r="C132" s="57"/>
      <c r="D132" s="57"/>
      <c r="E132" s="56"/>
      <c r="F132" s="56"/>
      <c r="G132" s="56"/>
      <c r="H132" s="58"/>
      <c r="I132" s="59"/>
      <c r="J132" s="59"/>
      <c r="K132" s="61"/>
      <c r="L132" s="59"/>
    </row>
    <row r="133" spans="2:12" ht="18">
      <c r="B133" s="49"/>
      <c r="C133" s="49"/>
      <c r="D133" s="49"/>
      <c r="E133" s="49"/>
      <c r="F133" s="49"/>
      <c r="G133" s="49"/>
      <c r="H133" s="49"/>
      <c r="I133" s="59"/>
      <c r="J133" s="59"/>
      <c r="K133" s="61"/>
      <c r="L133" s="59"/>
    </row>
    <row r="134" spans="2:12" ht="18">
      <c r="B134" s="56"/>
      <c r="C134" s="57"/>
      <c r="D134" s="57"/>
      <c r="E134" s="56"/>
      <c r="F134" s="56"/>
      <c r="G134" s="56"/>
      <c r="H134" s="58"/>
      <c r="I134" s="59"/>
      <c r="J134" s="59"/>
      <c r="K134" s="61"/>
      <c r="L134" s="59"/>
    </row>
    <row r="135" spans="2:12" s="3" customFormat="1" ht="15">
      <c r="B135" s="59"/>
      <c r="C135" s="59"/>
      <c r="D135" s="59"/>
      <c r="E135" s="59"/>
      <c r="F135" s="59"/>
      <c r="G135" s="60"/>
      <c r="H135" s="59"/>
      <c r="I135" s="59"/>
      <c r="J135" s="59"/>
      <c r="K135" s="61"/>
      <c r="L135" s="59"/>
    </row>
    <row r="136" spans="2:12" s="3" customFormat="1" ht="15">
      <c r="B136" s="59"/>
      <c r="C136" s="59"/>
      <c r="D136" s="59"/>
      <c r="E136" s="59"/>
      <c r="F136" s="59"/>
      <c r="G136" s="60"/>
      <c r="H136" s="59"/>
      <c r="I136" s="59"/>
      <c r="J136" s="59"/>
      <c r="K136" s="61"/>
      <c r="L136" s="59"/>
    </row>
    <row r="137" spans="2:12" s="3" customFormat="1" ht="15">
      <c r="B137" s="59"/>
      <c r="C137" s="59"/>
      <c r="D137" s="59"/>
      <c r="E137" s="59"/>
      <c r="F137" s="59"/>
      <c r="G137" s="60"/>
      <c r="H137" s="59"/>
      <c r="I137" s="59"/>
      <c r="J137" s="59"/>
      <c r="K137" s="61"/>
      <c r="L137" s="59"/>
    </row>
    <row r="138" spans="2:12" s="3" customFormat="1" ht="15">
      <c r="B138" s="59"/>
      <c r="C138" s="59"/>
      <c r="D138" s="59"/>
      <c r="E138" s="59"/>
      <c r="F138" s="59"/>
      <c r="G138" s="60"/>
      <c r="H138" s="59"/>
      <c r="I138" s="59"/>
      <c r="J138" s="59"/>
      <c r="K138" s="61"/>
      <c r="L138" s="59"/>
    </row>
    <row r="139" spans="2:12" s="3" customFormat="1" ht="15">
      <c r="B139" s="59"/>
      <c r="C139" s="59"/>
      <c r="D139" s="59"/>
      <c r="E139" s="59"/>
      <c r="F139" s="59"/>
      <c r="G139" s="60"/>
      <c r="H139" s="59"/>
      <c r="I139" s="59"/>
      <c r="J139" s="59"/>
      <c r="K139" s="61"/>
      <c r="L139" s="59"/>
    </row>
    <row r="140" spans="2:12" s="3" customFormat="1" ht="15">
      <c r="B140" s="59"/>
      <c r="C140" s="59"/>
      <c r="D140" s="59"/>
      <c r="E140" s="59"/>
      <c r="F140" s="59"/>
      <c r="G140" s="60"/>
      <c r="H140" s="59"/>
      <c r="I140" s="59"/>
      <c r="J140" s="59"/>
      <c r="K140" s="61"/>
      <c r="L140" s="59"/>
    </row>
    <row r="141" spans="2:12" s="3" customFormat="1" ht="15">
      <c r="B141" s="59"/>
      <c r="C141" s="59"/>
      <c r="D141" s="59"/>
      <c r="E141" s="59"/>
      <c r="F141" s="59"/>
      <c r="G141" s="60"/>
      <c r="H141" s="59"/>
      <c r="I141" s="59"/>
      <c r="J141" s="59"/>
      <c r="K141" s="61"/>
      <c r="L141" s="59"/>
    </row>
    <row r="142" spans="2:12" s="3" customFormat="1" ht="15">
      <c r="B142" s="59"/>
      <c r="C142" s="59"/>
      <c r="D142" s="59"/>
      <c r="E142" s="59"/>
      <c r="F142" s="59"/>
      <c r="G142" s="60"/>
      <c r="H142" s="59"/>
      <c r="I142" s="59"/>
      <c r="J142" s="59"/>
      <c r="K142" s="61"/>
      <c r="L142" s="59"/>
    </row>
    <row r="143" spans="2:12" s="3" customFormat="1" ht="15">
      <c r="B143" s="59"/>
      <c r="C143" s="59"/>
      <c r="D143" s="59"/>
      <c r="E143" s="59"/>
      <c r="F143" s="59"/>
      <c r="G143" s="60"/>
      <c r="H143" s="59"/>
      <c r="I143" s="59"/>
      <c r="J143" s="59"/>
      <c r="K143" s="61"/>
      <c r="L143" s="59"/>
    </row>
    <row r="144" spans="2:12" s="3" customFormat="1" ht="15">
      <c r="B144" s="59"/>
      <c r="C144" s="59"/>
      <c r="D144" s="59"/>
      <c r="E144" s="59"/>
      <c r="F144" s="59"/>
      <c r="G144" s="60"/>
      <c r="H144" s="59"/>
      <c r="I144" s="59"/>
      <c r="J144" s="59"/>
      <c r="K144" s="61"/>
      <c r="L144" s="59"/>
    </row>
    <row r="145" spans="2:12" s="3" customFormat="1" ht="15">
      <c r="B145" s="69"/>
      <c r="C145" s="69"/>
      <c r="D145" s="69"/>
      <c r="E145" s="69"/>
      <c r="F145" s="69"/>
      <c r="G145" s="60"/>
      <c r="H145" s="59"/>
      <c r="I145" s="59"/>
      <c r="J145" s="59"/>
      <c r="K145" s="61"/>
      <c r="L145" s="59"/>
    </row>
    <row r="146" spans="2:12" s="3" customFormat="1" ht="15">
      <c r="B146" s="59"/>
      <c r="C146" s="59"/>
      <c r="D146" s="59"/>
      <c r="E146" s="59"/>
      <c r="F146" s="59"/>
      <c r="G146" s="60"/>
      <c r="H146" s="59"/>
      <c r="I146" s="59"/>
      <c r="J146" s="59"/>
      <c r="K146" s="61"/>
      <c r="L146" s="59"/>
    </row>
    <row r="147" spans="2:12" s="3" customFormat="1" ht="15">
      <c r="B147" s="59"/>
      <c r="C147" s="59"/>
      <c r="D147" s="59"/>
      <c r="E147" s="59"/>
      <c r="F147" s="59"/>
      <c r="G147" s="60"/>
      <c r="H147" s="59"/>
      <c r="I147" s="59"/>
      <c r="J147" s="59"/>
      <c r="K147" s="61"/>
      <c r="L147" s="59"/>
    </row>
    <row r="148" spans="2:12" s="3" customFormat="1" ht="15">
      <c r="B148" s="59"/>
      <c r="C148" s="61"/>
      <c r="D148" s="61"/>
      <c r="E148" s="61"/>
      <c r="F148" s="61"/>
      <c r="G148" s="60"/>
      <c r="H148" s="59"/>
      <c r="I148" s="59"/>
      <c r="J148" s="59"/>
      <c r="K148" s="61"/>
      <c r="L148" s="59"/>
    </row>
    <row r="149" spans="2:12" s="3" customFormat="1" ht="15">
      <c r="B149" s="59"/>
      <c r="C149" s="59"/>
      <c r="D149" s="59"/>
      <c r="E149" s="59"/>
      <c r="F149" s="59"/>
      <c r="G149" s="60"/>
      <c r="H149" s="59"/>
      <c r="I149" s="59"/>
      <c r="J149" s="59"/>
      <c r="K149" s="61"/>
      <c r="L149" s="59"/>
    </row>
    <row r="150" spans="2:12" s="3" customFormat="1" ht="15">
      <c r="B150" s="59"/>
      <c r="C150" s="59"/>
      <c r="D150" s="59"/>
      <c r="E150" s="59"/>
      <c r="F150" s="59"/>
      <c r="G150" s="60"/>
      <c r="H150" s="59"/>
      <c r="I150" s="59"/>
      <c r="J150" s="59"/>
      <c r="K150" s="61"/>
      <c r="L150" s="59"/>
    </row>
    <row r="151" spans="2:12" s="3" customFormat="1" ht="15">
      <c r="B151" s="59"/>
      <c r="C151" s="59"/>
      <c r="D151" s="59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5">
      <c r="B152" s="59"/>
      <c r="C152" s="59"/>
      <c r="D152" s="59"/>
      <c r="E152" s="59"/>
      <c r="F152" s="59"/>
      <c r="G152" s="60"/>
      <c r="H152" s="59"/>
      <c r="I152" s="59"/>
      <c r="J152" s="59"/>
      <c r="K152" s="61"/>
      <c r="L152" s="59"/>
    </row>
    <row r="153" spans="2:12" s="3" customFormat="1" ht="15">
      <c r="B153" s="59"/>
      <c r="C153" s="59"/>
      <c r="D153" s="59"/>
      <c r="E153" s="59"/>
      <c r="F153" s="59"/>
      <c r="G153" s="60"/>
      <c r="H153" s="59"/>
      <c r="I153" s="59"/>
      <c r="J153" s="59"/>
      <c r="K153" s="61"/>
      <c r="L153" s="59"/>
    </row>
    <row r="154" spans="2:12" s="3" customFormat="1" ht="15">
      <c r="B154" s="59"/>
      <c r="C154" s="59"/>
      <c r="D154" s="61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59"/>
      <c r="C155" s="61"/>
      <c r="D155" s="61"/>
      <c r="E155" s="59"/>
      <c r="F155" s="59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59"/>
      <c r="D156" s="59"/>
      <c r="E156" s="59"/>
      <c r="F156" s="59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60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59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59"/>
      <c r="D164" s="59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59"/>
      <c r="J167" s="59"/>
      <c r="K167" s="61"/>
      <c r="L167" s="59"/>
    </row>
    <row r="168" spans="2:12" s="3" customFormat="1" ht="15">
      <c r="B168" s="61"/>
      <c r="C168" s="61"/>
      <c r="D168" s="61"/>
      <c r="E168" s="61"/>
      <c r="F168" s="61"/>
      <c r="G168" s="61"/>
      <c r="H168" s="61"/>
      <c r="I168" s="61"/>
      <c r="J168" s="59"/>
      <c r="K168" s="61"/>
      <c r="L168" s="59"/>
    </row>
    <row r="169" spans="2:12" s="3" customFormat="1" ht="15">
      <c r="B169" s="61"/>
      <c r="C169" s="61"/>
      <c r="D169" s="61"/>
      <c r="E169" s="61"/>
      <c r="F169" s="61"/>
      <c r="G169" s="70"/>
      <c r="H169" s="61"/>
      <c r="I169" s="61"/>
      <c r="J169" s="59"/>
      <c r="K169" s="61"/>
      <c r="L169" s="70"/>
    </row>
    <row r="170" spans="2:12" s="3" customFormat="1" ht="15">
      <c r="B170" s="61"/>
      <c r="C170" s="61"/>
      <c r="D170" s="61"/>
      <c r="E170" s="61"/>
      <c r="F170" s="61"/>
      <c r="G170" s="61"/>
      <c r="H170" s="61"/>
      <c r="I170" s="71"/>
      <c r="J170" s="59"/>
      <c r="K170" s="61"/>
      <c r="L170" s="59"/>
    </row>
    <row r="171" spans="2:12" s="3" customFormat="1" ht="1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59"/>
      <c r="D174" s="59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5">
      <c r="B176" s="59"/>
      <c r="C176" s="59"/>
      <c r="D176" s="59"/>
      <c r="E176" s="59"/>
      <c r="F176" s="59"/>
      <c r="G176" s="60"/>
      <c r="H176" s="59"/>
      <c r="I176" s="59"/>
      <c r="J176" s="59"/>
      <c r="K176" s="61"/>
      <c r="L176" s="59"/>
    </row>
    <row r="177" spans="2:12" s="3" customFormat="1" ht="15">
      <c r="B177" s="59"/>
      <c r="C177" s="59"/>
      <c r="D177" s="59"/>
      <c r="E177" s="59"/>
      <c r="F177" s="59"/>
      <c r="G177" s="60"/>
      <c r="H177" s="61"/>
      <c r="I177" s="61"/>
      <c r="J177" s="59"/>
      <c r="K177" s="61"/>
      <c r="L177" s="59"/>
    </row>
    <row r="178" spans="2:12" s="3" customFormat="1" ht="15">
      <c r="B178" s="59"/>
      <c r="C178" s="59"/>
      <c r="D178" s="59"/>
      <c r="E178" s="59"/>
      <c r="F178" s="59"/>
      <c r="G178" s="60"/>
      <c r="H178" s="61"/>
      <c r="I178" s="61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61"/>
      <c r="I179" s="61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59"/>
      <c r="I185" s="59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61"/>
      <c r="I186" s="61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61"/>
      <c r="I187" s="61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61"/>
      <c r="I188" s="61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59"/>
      <c r="I189" s="59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59"/>
      <c r="I194" s="59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59"/>
      <c r="I195" s="59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59"/>
      <c r="I196" s="59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</sheetData>
  <sheetProtection/>
  <mergeCells count="97">
    <mergeCell ref="E23:F23"/>
    <mergeCell ref="E24:F24"/>
    <mergeCell ref="E25:F25"/>
    <mergeCell ref="E26:F26"/>
    <mergeCell ref="E27:F27"/>
    <mergeCell ref="B102:J102"/>
    <mergeCell ref="B30:I30"/>
    <mergeCell ref="E32:F32"/>
    <mergeCell ref="E34:F34"/>
    <mergeCell ref="B38:D38"/>
    <mergeCell ref="E38:F38"/>
    <mergeCell ref="E28:F28"/>
    <mergeCell ref="B36:I36"/>
    <mergeCell ref="E29:F29"/>
    <mergeCell ref="E35:F35"/>
    <mergeCell ref="B33:D33"/>
    <mergeCell ref="E33:F33"/>
    <mergeCell ref="B32:D32"/>
    <mergeCell ref="B2:J2"/>
    <mergeCell ref="B12:E12"/>
    <mergeCell ref="G12:J12"/>
    <mergeCell ref="D4:H4"/>
    <mergeCell ref="B21:D21"/>
    <mergeCell ref="E22:F22"/>
    <mergeCell ref="D6:J6"/>
    <mergeCell ref="E20:F20"/>
    <mergeCell ref="B14:D14"/>
    <mergeCell ref="E21:F21"/>
    <mergeCell ref="L74:O74"/>
    <mergeCell ref="E56:F56"/>
    <mergeCell ref="E53:F53"/>
    <mergeCell ref="B78:I78"/>
    <mergeCell ref="E77:F77"/>
    <mergeCell ref="B87:D87"/>
    <mergeCell ref="E85:J85"/>
    <mergeCell ref="E87:F87"/>
    <mergeCell ref="G87:H87"/>
    <mergeCell ref="E60:F60"/>
    <mergeCell ref="B101:J101"/>
    <mergeCell ref="B83:J83"/>
    <mergeCell ref="I87:J87"/>
    <mergeCell ref="B84:J84"/>
    <mergeCell ref="B88:D88"/>
    <mergeCell ref="I88:J88"/>
    <mergeCell ref="E89:F89"/>
    <mergeCell ref="I86:J86"/>
    <mergeCell ref="B95:D96"/>
    <mergeCell ref="G88:H88"/>
    <mergeCell ref="B121:C121"/>
    <mergeCell ref="B74:D74"/>
    <mergeCell ref="B89:D89"/>
    <mergeCell ref="E86:F86"/>
    <mergeCell ref="E95:F96"/>
    <mergeCell ref="B77:D77"/>
    <mergeCell ref="E74:F74"/>
    <mergeCell ref="B91:J92"/>
    <mergeCell ref="I95:J96"/>
    <mergeCell ref="G95:H96"/>
    <mergeCell ref="E61:F61"/>
    <mergeCell ref="E50:F50"/>
    <mergeCell ref="E51:F51"/>
    <mergeCell ref="E52:F52"/>
    <mergeCell ref="E55:F55"/>
    <mergeCell ref="E59:F59"/>
    <mergeCell ref="E46:F46"/>
    <mergeCell ref="E47:F47"/>
    <mergeCell ref="E45:F45"/>
    <mergeCell ref="E40:F40"/>
    <mergeCell ref="E41:F41"/>
    <mergeCell ref="E42:F42"/>
    <mergeCell ref="B73:D73"/>
    <mergeCell ref="E76:F76"/>
    <mergeCell ref="B66:I66"/>
    <mergeCell ref="E73:F73"/>
    <mergeCell ref="E75:F75"/>
    <mergeCell ref="E64:F64"/>
    <mergeCell ref="B76:D76"/>
    <mergeCell ref="B75:D75"/>
    <mergeCell ref="B98:J98"/>
    <mergeCell ref="B80:I81"/>
    <mergeCell ref="B85:D86"/>
    <mergeCell ref="I89:J89"/>
    <mergeCell ref="G89:H89"/>
    <mergeCell ref="G93:H94"/>
    <mergeCell ref="J80:J81"/>
    <mergeCell ref="E93:F94"/>
    <mergeCell ref="E88:F88"/>
    <mergeCell ref="B103:J103"/>
    <mergeCell ref="I93:J94"/>
    <mergeCell ref="G86:H86"/>
    <mergeCell ref="B93:D94"/>
    <mergeCell ref="B99:J99"/>
    <mergeCell ref="D3:H3"/>
    <mergeCell ref="B100:J100"/>
    <mergeCell ref="E65:F65"/>
    <mergeCell ref="B68:I68"/>
    <mergeCell ref="E70:F7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1" max="10" man="1"/>
  </rowBreaks>
  <ignoredErrors>
    <ignoredError sqref="G28:G29 I22: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72</v>
      </c>
      <c r="C1" s="43">
        <v>9500</v>
      </c>
    </row>
    <row r="2" spans="2:3" ht="15">
      <c r="B2" s="40" t="s">
        <v>73</v>
      </c>
      <c r="C2" s="137">
        <f>((rendimiento-$C$1)/$C$1)+1</f>
        <v>1</v>
      </c>
    </row>
    <row r="3" ht="18">
      <c r="B3" s="11"/>
    </row>
    <row r="4" spans="2:12" ht="18">
      <c r="B4" s="319" t="s">
        <v>33</v>
      </c>
      <c r="C4" s="319"/>
      <c r="E4" s="3" t="s">
        <v>84</v>
      </c>
      <c r="K4" s="139"/>
      <c r="L4" s="8"/>
    </row>
    <row r="5" spans="1:5" ht="18">
      <c r="A5" s="140" t="s">
        <v>74</v>
      </c>
      <c r="B5" s="141" t="s">
        <v>92</v>
      </c>
      <c r="C5" s="142"/>
      <c r="D5" s="142"/>
      <c r="E5" s="143">
        <v>9500</v>
      </c>
    </row>
    <row r="6" spans="1:5" ht="18">
      <c r="A6" s="140" t="s">
        <v>74</v>
      </c>
      <c r="B6" s="141" t="s">
        <v>124</v>
      </c>
      <c r="C6" s="144"/>
      <c r="D6" s="144"/>
      <c r="E6" s="143">
        <v>9500</v>
      </c>
    </row>
    <row r="7" spans="1:5" ht="18">
      <c r="A7" s="140" t="s">
        <v>74</v>
      </c>
      <c r="B7" s="141" t="s">
        <v>79</v>
      </c>
      <c r="C7" s="144"/>
      <c r="D7" s="144"/>
      <c r="E7" s="143"/>
    </row>
    <row r="8" spans="1:5" ht="18">
      <c r="A8" s="145" t="s">
        <v>75</v>
      </c>
      <c r="B8" s="146" t="s">
        <v>77</v>
      </c>
      <c r="C8" s="149"/>
      <c r="D8" s="149"/>
      <c r="E8" s="148"/>
    </row>
    <row r="9" spans="1:5" ht="18">
      <c r="A9" s="145" t="s">
        <v>75</v>
      </c>
      <c r="B9" s="146" t="s">
        <v>80</v>
      </c>
      <c r="C9" s="149"/>
      <c r="D9" s="149"/>
      <c r="E9" s="148"/>
    </row>
    <row r="10" spans="1:5" ht="18">
      <c r="A10" s="145" t="s">
        <v>75</v>
      </c>
      <c r="B10" s="146" t="s">
        <v>81</v>
      </c>
      <c r="C10" s="147"/>
      <c r="D10" s="147"/>
      <c r="E10" s="148"/>
    </row>
    <row r="11" spans="1:5" ht="18">
      <c r="A11" s="140" t="s">
        <v>76</v>
      </c>
      <c r="B11" s="141" t="s">
        <v>78</v>
      </c>
      <c r="C11" s="142"/>
      <c r="D11" s="142"/>
      <c r="E11" s="143"/>
    </row>
    <row r="12" spans="1:5" ht="18">
      <c r="A12" s="140" t="s">
        <v>76</v>
      </c>
      <c r="B12" s="141" t="s">
        <v>82</v>
      </c>
      <c r="C12" s="142"/>
      <c r="D12" s="142"/>
      <c r="E12" s="143"/>
    </row>
    <row r="13" spans="1:5" ht="18">
      <c r="A13" s="140" t="s">
        <v>76</v>
      </c>
      <c r="B13" s="141" t="s">
        <v>83</v>
      </c>
      <c r="C13" s="150"/>
      <c r="D13" s="150"/>
      <c r="E13" s="143"/>
    </row>
    <row r="18" spans="2:4" ht="15">
      <c r="B18" s="320" t="s">
        <v>29</v>
      </c>
      <c r="C18" s="320"/>
      <c r="D18" s="320"/>
    </row>
    <row r="20" spans="2:4" ht="18">
      <c r="B20" s="42" t="s">
        <v>31</v>
      </c>
      <c r="C20" s="41">
        <f>frambuesa!B87</f>
        <v>8550</v>
      </c>
      <c r="D20" s="41">
        <f>frambuesa!B89</f>
        <v>10450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SUM(frambuesa!J22:J29)-_xlfn.IFERROR(INDEX(frambuesa!$J$22:$J$29,MATCH(B5,frambuesa!$B$22:$B$29,0)),"0")-_xlfn.IFERROR(INDEX(frambuesa!$J$22:$J$29,MATCH(B6,frambuesa!$B$22:$B$29,0)),"0")-_xlfn.IFERROR(INDEX(frambuesa!$J$22:$J$29,MATCH(B7,frambuesa!$B$22:$B$29,0)),"0")</f>
        <v>429000</v>
      </c>
      <c r="D25" s="8">
        <f>SUM(frambuesa!J22:J29)-_xlfn.IFERROR(INDEX(frambuesa!$J$22:$J$29,MATCH(B5,frambuesa!$B$22:$B$29,0)),"0")-_xlfn.IFERROR(INDEX(frambuesa!$J$22:$J$29,MATCH(B6,frambuesa!$B$22:$B$29,0)),"0")-_xlfn.IFERROR(INDEX(frambuesa!$J$22:$J$29,MATCH(B7,frambuesa!$B$22:$B$29,0)),"0")</f>
        <v>429000</v>
      </c>
      <c r="E25" s="8"/>
    </row>
    <row r="26" spans="2:4" ht="18">
      <c r="B26" s="44" t="s">
        <v>36</v>
      </c>
      <c r="C26" s="138">
        <f>C22*(_xlfn.IFERROR(INDEX(frambuesa!$J$22:$J$29,MATCH(B5,frambuesa!$B$22:$B$29,0)),"0")+_xlfn.IFERROR(INDEX(frambuesa!$J$22:$J$29,MATCH(B6,frambuesa!$B$22:$B$29,0)),"0")+_xlfn.IFERROR(INDEX(frambuesa!$J$22:$J$29,MATCH(B7,frambuesa!$B$22:$B$29,0)),"0"))</f>
        <v>4360500</v>
      </c>
      <c r="D26" s="138">
        <f>D22*(_xlfn.IFERROR(INDEX(frambuesa!$J$22:$J$29,MATCH(B5,frambuesa!$B$22:$B$29,0)),"0")+_xlfn.IFERROR(INDEX(frambuesa!$J$22:$J$29,MATCH(B6,frambuesa!$B$22:$B$29,0)),"0")+_xlfn.IFERROR(INDEX(frambuesa!$J$22:$J$29,MATCH(B7,frambuesa!$B$22:$B$29,0)),"0"))</f>
        <v>5329500</v>
      </c>
    </row>
    <row r="27" spans="2:4" ht="18">
      <c r="B27" s="15" t="s">
        <v>37</v>
      </c>
      <c r="C27" s="8">
        <f>SUM(C25:C26)</f>
        <v>4789500</v>
      </c>
      <c r="D27" s="8">
        <f>SUM(D25:D26)</f>
        <v>5758500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SUM(frambuesa!J33:J35)-_xlfn.IFERROR(INDEX(frambuesa!$J$33:$J$35,MATCH(B8,frambuesa!$B$33:$B$35,0)),"0")-_xlfn.IFERROR(INDEX(frambuesa!$J$33:$J$35,MATCH(B9,frambuesa!$B$33:$B$35,0)),"0")-_xlfn.IFERROR(INDEX(frambuesa!$J$33:$J$35,MATCH(B10,frambuesa!$B$33:$B$35,0)),"0")</f>
        <v>170000</v>
      </c>
      <c r="D30" s="8">
        <f>SUM(frambuesa!J33:J35)-_xlfn.IFERROR(INDEX(frambuesa!$J$33:$J$35,MATCH(B8,frambuesa!$B$33:$B$35,0)),"0")-_xlfn.IFERROR(INDEX(frambuesa!$J$33:$J$35,MATCH(B9,frambuesa!$B$33:$B$35,0)),"0")-_xlfn.IFERROR(INDEX(frambuesa!$J$33:$J$35,MATCH(B10,frambuesa!$B$33:$B$35,0)),"0")</f>
        <v>170000</v>
      </c>
    </row>
    <row r="31" spans="2:4" ht="18">
      <c r="B31" s="44" t="s">
        <v>36</v>
      </c>
      <c r="C31" s="138">
        <f>C22*(_xlfn.IFERROR(INDEX(frambuesa!$J$33:$J$35,MATCH(B8,frambuesa!$B$33:$B$35,0)),"0")+_xlfn.IFERROR(INDEX(frambuesa!$J$33:$J$35,MATCH(B9,frambuesa!$B$33:$B$35,0)),"0")+_xlfn.IFERROR(INDEX(frambuesa!$J$33:$J$35,MATCH(B10,frambuesa!$B$33:$B$35,0)),"0"))</f>
        <v>0</v>
      </c>
      <c r="D31" s="138">
        <f>D22*(_xlfn.IFERROR(INDEX(frambuesa!$J$33:$J$35,MATCH(B8,frambuesa!$B$33:$B$35,0)),"0")+_xlfn.IFERROR(INDEX(frambuesa!$J$33:$J$35,MATCH(B9,frambuesa!$B$33:$B$35,0)),"0")+_xlfn.IFERROR(INDEX(frambuesa!$J$33:$J$35,MATCH(B10,frambuesa!$B$33:$B$35,0)),"0"))</f>
        <v>0</v>
      </c>
    </row>
    <row r="32" spans="2:4" ht="18">
      <c r="B32" s="15" t="s">
        <v>37</v>
      </c>
      <c r="C32" s="8">
        <f>SUM(C30:C31)</f>
        <v>170000</v>
      </c>
      <c r="D32" s="8">
        <f>SUM(D30:D31)</f>
        <v>170000</v>
      </c>
    </row>
    <row r="34" ht="18">
      <c r="B34" s="42" t="s">
        <v>38</v>
      </c>
    </row>
    <row r="35" spans="2:4" ht="18">
      <c r="B35" s="15" t="s">
        <v>35</v>
      </c>
      <c r="C35" s="8">
        <f>SUM(frambuesa!J39:J65)-_xlfn.IFERROR(INDEX(frambuesa!$J$39:$J$65,MATCH(B11,frambuesa!$B$39:$B$65,0)),"0")-_xlfn.IFERROR(INDEX(frambuesa!$J$39:$J$65,MATCH(B12,frambuesa!$B$39:$B$65,0)),"0")-_xlfn.IFERROR(INDEX(frambuesa!$J$39:$J$65,MATCH(B13,frambuesa!$B$39:$B$65,0)),"0")</f>
        <v>542088</v>
      </c>
      <c r="D35" s="8">
        <f>SUM(frambuesa!J39:J65)-_xlfn.IFERROR(INDEX(frambuesa!$J$39:$J$65,MATCH(B11,frambuesa!$B$39:$B$65,0)),"0")-_xlfn.IFERROR(INDEX(frambuesa!$J$39:$J$65,MATCH(B12,frambuesa!$B$39:$B$65,0)),"0")-_xlfn.IFERROR(INDEX(frambuesa!$J$39:$J$65,MATCH(B13,frambuesa!$B$39:$B$65,0)),"0")</f>
        <v>542088</v>
      </c>
    </row>
    <row r="36" spans="2:4" ht="18">
      <c r="B36" s="44" t="s">
        <v>36</v>
      </c>
      <c r="C36" s="138">
        <f>C22*(_xlfn.IFERROR(INDEX(frambuesa!$J$39:$J$65,MATCH(B11,frambuesa!$B$39:$B$65,0)),"0")+_xlfn.IFERROR(INDEX(frambuesa!$J$39:$J$65,MATCH(B12,frambuesa!$B$39:$B$65,0)),"0")+_xlfn.IFERROR(INDEX(frambuesa!$J$39:$J$65,MATCH(B13,frambuesa!$B$39:$B$65,0)),"0"))</f>
        <v>0</v>
      </c>
      <c r="D36" s="138">
        <f>D22*(_xlfn.IFERROR(INDEX(frambuesa!$J$39:$J$65,MATCH(B11,frambuesa!$B$39:$B$65,0)),"0")+_xlfn.IFERROR(INDEX(frambuesa!$J$39:$J$65,MATCH(B12,frambuesa!$B$39:$B$65,0)),"0")+_xlfn.IFERROR(INDEX(frambuesa!$J$39:$J$65,MATCH(B13,frambuesa!$B$39:$B$65,0)),"0"))</f>
        <v>0</v>
      </c>
    </row>
    <row r="37" spans="2:4" ht="18">
      <c r="B37" s="15" t="s">
        <v>37</v>
      </c>
      <c r="C37" s="8">
        <f>SUM(C35:C36)</f>
        <v>542088</v>
      </c>
      <c r="D37" s="8">
        <f>SUM(D35:D36)</f>
        <v>542088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5501588</v>
      </c>
      <c r="D39" s="47">
        <f>D27+D32+D37</f>
        <v>6470588</v>
      </c>
    </row>
    <row r="40" ht="15">
      <c r="B40" s="22"/>
    </row>
    <row r="41" spans="2:4" ht="18">
      <c r="B41" s="45" t="s">
        <v>0</v>
      </c>
      <c r="C41" s="8">
        <f>C39*frambuesa!$G$70</f>
        <v>275079.4</v>
      </c>
      <c r="D41" s="8">
        <f>D39*frambuesa!$G$70</f>
        <v>323529.4</v>
      </c>
    </row>
    <row r="42" spans="2:4" ht="18">
      <c r="B42" s="45" t="s">
        <v>25</v>
      </c>
      <c r="C42" s="8">
        <f>C39*tasa_interes_mensual*meses_financiamiento*0.5</f>
        <v>288833.37</v>
      </c>
      <c r="D42" s="8">
        <f>D39*tasa_interes_mensual*meses_financiamiento*0.5</f>
        <v>339705.87</v>
      </c>
    </row>
    <row r="43" ht="15">
      <c r="B43" s="22"/>
    </row>
    <row r="44" spans="2:4" ht="18">
      <c r="B44" s="46" t="s">
        <v>28</v>
      </c>
      <c r="C44" s="47">
        <f>C39+C41+C42</f>
        <v>6065500.7700000005</v>
      </c>
      <c r="D44" s="47">
        <f>D39+D41+D42</f>
        <v>7133823.2700000005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2018-03-19T19:42:21Z</cp:lastPrinted>
  <dcterms:created xsi:type="dcterms:W3CDTF">2012-07-09T18:51:50Z</dcterms:created>
  <dcterms:modified xsi:type="dcterms:W3CDTF">2018-03-19T19:42:24Z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