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limon" sheetId="1" r:id="rId1"/>
    <sheet name="rdto_variable" sheetId="2" r:id="rId2"/>
  </sheets>
  <definedNames>
    <definedName name="_xlfn.IFERROR" hidden="1">#NAME?</definedName>
    <definedName name="_xlnm.Print_Area" localSheetId="0">'limon'!$A$1:$K$106</definedName>
    <definedName name="costo_financiero">'limon'!$J$71</definedName>
    <definedName name="imprevistos">'limon'!$J$67</definedName>
    <definedName name="meses_financiamiento">'limon'!$E$17</definedName>
    <definedName name="precio_de_venta">'limon'!$E$14</definedName>
    <definedName name="rendimiento">'limon'!$E$13</definedName>
    <definedName name="tasa_interes_mensual">'limon'!$E$16</definedName>
    <definedName name="total_costos">'limon'!$J$77</definedName>
    <definedName name="total_costos_directos">'limon'!$J$65</definedName>
    <definedName name="total_costos_indirectos">'limon'!$J$75</definedName>
    <definedName name="total_insumos">'limon'!$J$63</definedName>
    <definedName name="total_mano_obra">'limon'!$J$30</definedName>
    <definedName name="total_maquinaria">'limon'!$J$39</definedName>
  </definedNames>
  <calcPr fullCalcOnLoad="1"/>
</workbook>
</file>

<file path=xl/sharedStrings.xml><?xml version="1.0" encoding="utf-8"?>
<sst xmlns="http://schemas.openxmlformats.org/spreadsheetml/2006/main" count="197" uniqueCount="143">
  <si>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</si>
  <si>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</si>
  <si>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</si>
  <si>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</si>
  <si>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</si>
  <si>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</si>
  <si>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</si>
  <si>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</si>
  <si>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</si>
  <si>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</si>
  <si>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</si>
  <si>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</si>
  <si>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</si>
  <si>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</si>
  <si>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</si>
  <si>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</si>
  <si>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</si>
  <si>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</si>
  <si>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</si>
  <si>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</si>
  <si>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</si>
  <si>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</si>
  <si>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</si>
  <si>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</si>
  <si>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</si>
  <si>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</si>
  <si>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</si>
  <si>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</si>
  <si>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</si>
  <si>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</si>
  <si>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</si>
  <si>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</si>
  <si>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</si>
  <si>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</si>
  <si>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</si>
  <si>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</si>
  <si>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</si>
  <si>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</si>
  <si>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</si>
  <si>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</si>
  <si>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</si>
  <si>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</si>
  <si>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</si>
  <si>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</si>
  <si>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</si>
  <si>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</si>
  <si>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</si>
  <si>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</si>
  <si>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</si>
  <si>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</si>
  <si>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</si>
  <si>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</si>
  <si>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</si>
  <si>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</si>
  <si>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</si>
  <si>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</si>
  <si>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Herbicida: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</si>
  <si>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</si>
  <si>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</si>
  <si>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</si>
  <si>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</si>
  <si>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</si>
  <si>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</si>
  <si>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Tecnología de riego: riego por surco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</si>
  <si>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</si>
  <si>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</si>
  <si>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</si>
  <si>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</si>
  <si>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</si>
  <si>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</si>
  <si>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</si>
  <si>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</si>
  <si>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Otros:</t>
  </si>
  <si>
    <t>Urea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</si>
  <si>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</si>
  <si>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</si>
  <si>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</si>
  <si>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</si>
  <si>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</si>
  <si>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</si>
  <si>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</si>
  <si>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</si>
  <si>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</si>
  <si>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</si>
  <si>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</si>
  <si>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Todo el año</t>
  </si>
  <si>
    <t>Junio-julio</t>
  </si>
  <si>
    <t>Septiembre-diciembre</t>
  </si>
  <si>
    <t>Agosto-marzo</t>
  </si>
  <si>
    <t>Febrero-diciembre</t>
  </si>
  <si>
    <t xml:space="preserve">Riegos y limpia de acequias </t>
  </si>
  <si>
    <t>Aplicación agroquímicos</t>
  </si>
  <si>
    <t>Poda en verde</t>
  </si>
  <si>
    <t>Control manual de malezas y desbrotes</t>
  </si>
  <si>
    <t>Aplicación de fertilizantes</t>
  </si>
  <si>
    <t>Limpieza de la cosecha y enmallado</t>
  </si>
  <si>
    <t>Planta</t>
  </si>
  <si>
    <t>Aplicaciones de pesticidas</t>
  </si>
  <si>
    <t>Trituradora de los rastrojos de la   poda</t>
  </si>
  <si>
    <t>Rastraje</t>
  </si>
  <si>
    <t>Melgadura</t>
  </si>
  <si>
    <t>Acarreo de insumos e implementos</t>
  </si>
  <si>
    <t>Sacar cosecha y transporte a bódega</t>
  </si>
  <si>
    <t>Julio</t>
  </si>
  <si>
    <t>Julio-agosto</t>
  </si>
  <si>
    <t>Agosto</t>
  </si>
  <si>
    <r>
      <t xml:space="preserve">Cosecha </t>
    </r>
    <r>
      <rPr>
        <vertAlign val="superscript"/>
        <sz val="14"/>
        <rFont val="Arial"/>
        <family val="2"/>
      </rPr>
      <t>(2)</t>
    </r>
  </si>
  <si>
    <t>Cosecha (2)</t>
  </si>
  <si>
    <t>Mezcla Frutera</t>
  </si>
  <si>
    <t>Septiembre-marzo</t>
  </si>
  <si>
    <t>Septiembre-noviembre</t>
  </si>
  <si>
    <t>Ridomil Gold 480 SL</t>
  </si>
  <si>
    <t>Agosto-octubre</t>
  </si>
  <si>
    <t>Lorsban 4E</t>
  </si>
  <si>
    <t>Aceite Citroliv</t>
  </si>
  <si>
    <t>Enero-febrero</t>
  </si>
  <si>
    <t>Octubre-noviembre</t>
  </si>
  <si>
    <t>Mallas amarillas o envases</t>
  </si>
  <si>
    <t>Baños químicos</t>
  </si>
  <si>
    <t>Cuota agua</t>
  </si>
  <si>
    <t>Análisis de suelo (fertilidad completa)</t>
  </si>
  <si>
    <t xml:space="preserve">Anual </t>
  </si>
  <si>
    <t>Marzo-abril</t>
  </si>
  <si>
    <t>Junio-abril</t>
  </si>
  <si>
    <t>1 hectárea noviembre 2015</t>
  </si>
  <si>
    <t>Densidad (Plantas/ha): 470 (6,0m x 3,5m)</t>
  </si>
  <si>
    <t>Cosecha: febrero-junio, septiembre-diciembre</t>
  </si>
  <si>
    <t>Limón</t>
  </si>
  <si>
    <t>Región Metropolitana</t>
  </si>
  <si>
    <t xml:space="preserve"> (1) El precio del kilo de limón cosechado utilizado en el análisis de sensibilidad, corresponde al promedio de la región durante el periodo de cosecha en el predio en la temporada 2014/15, precio al productor. 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</si>
  <si>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</si>
  <si>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y tipos de fertilizantes recomendados son sólo referenciales, deben definirse según un análisis específico del terreno.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</si>
  <si>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</si>
  <si>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</si>
  <si>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Bins (duración 5 años)</t>
  </si>
  <si>
    <t>Bin</t>
  </si>
  <si>
    <t>Poda, sacar ramillas y pintar cortes de la poda</t>
  </si>
  <si>
    <t xml:space="preserve"> (5) El costo financiero equivalente a una tasa de interés mensual simple de 1,5% por sobre el total de los costos directos por el total de meses de duración del cultivo</t>
  </si>
  <si>
    <t>(2) En promedio, cada bin lleva 400 kilos de limón, lo que a su vez corresponde a 20 mallas de limón. Una malla se estima que contiene 20 kg.</t>
  </si>
  <si>
    <t>Variedad: Eureka Frost; Fino 45</t>
  </si>
  <si>
    <t>Plantación: en producción</t>
  </si>
  <si>
    <t>Actara 25 WG</t>
  </si>
  <si>
    <t>Glifosato 48 % SL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</si>
</sst>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299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8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17" xfId="58" applyFont="1" applyFill="1" applyBorder="1" applyAlignment="1" applyProtection="1">
      <alignment/>
      <protection/>
    </xf>
    <xf numFmtId="0" fontId="10" fillId="34" borderId="14" xfId="58" applyFont="1" applyFill="1" applyBorder="1" applyAlignment="1" applyProtection="1">
      <alignment/>
      <protection/>
    </xf>
    <xf numFmtId="0" fontId="10" fillId="34" borderId="19" xfId="58" applyFont="1" applyFill="1" applyBorder="1" applyAlignment="1" applyProtection="1">
      <alignment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25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17" fontId="67" fillId="40" borderId="25" xfId="69" applyNumberFormat="1" applyFont="1" applyFill="1" applyBorder="1" applyAlignment="1" applyProtection="1">
      <alignment horizontal="center"/>
      <protection/>
    </xf>
    <xf numFmtId="17" fontId="67" fillId="40" borderId="21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80" fontId="68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13" fillId="34" borderId="18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10" fillId="34" borderId="12" xfId="58" applyFont="1" applyFill="1" applyBorder="1" applyAlignment="1">
      <alignment horizontal="center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628650</xdr:colOff>
      <xdr:row>105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698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8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18" t="s">
        <v>8</v>
      </c>
      <c r="C2" s="218"/>
      <c r="D2" s="218"/>
      <c r="E2" s="218"/>
      <c r="F2" s="218"/>
      <c r="G2" s="218"/>
      <c r="H2" s="218"/>
      <c r="I2" s="218"/>
      <c r="J2" s="218"/>
    </row>
    <row r="3" spans="2:11" s="3" customFormat="1" ht="18" customHeight="1">
      <c r="B3" s="86"/>
      <c r="C3" s="109"/>
      <c r="D3" s="109"/>
      <c r="E3" s="219" t="s">
        <v>127</v>
      </c>
      <c r="F3" s="219"/>
      <c r="G3" s="219"/>
      <c r="H3" s="109"/>
      <c r="I3" s="110"/>
      <c r="J3" s="109"/>
      <c r="K3" s="14"/>
    </row>
    <row r="4" spans="2:11" s="3" customFormat="1" ht="18" customHeight="1">
      <c r="B4" s="86"/>
      <c r="C4" s="109"/>
      <c r="D4" s="219" t="s">
        <v>128</v>
      </c>
      <c r="E4" s="219"/>
      <c r="F4" s="219"/>
      <c r="G4" s="219"/>
      <c r="H4" s="219"/>
      <c r="I4" s="109"/>
      <c r="J4" s="109"/>
      <c r="K4" s="14"/>
    </row>
    <row r="5" spans="2:11" s="3" customFormat="1" ht="18" customHeight="1">
      <c r="B5" s="42"/>
      <c r="C5" s="42"/>
      <c r="D5" s="111"/>
      <c r="E5" s="44"/>
      <c r="F5" s="44"/>
      <c r="G5" s="94"/>
      <c r="H5" s="44"/>
      <c r="I5" s="42"/>
      <c r="J5" s="112"/>
      <c r="K5" s="16"/>
    </row>
    <row r="6" spans="2:11" s="3" customFormat="1" ht="18" customHeight="1">
      <c r="B6" s="42"/>
      <c r="C6" s="42"/>
      <c r="D6" s="226" t="s">
        <v>50</v>
      </c>
      <c r="E6" s="227"/>
      <c r="F6" s="227"/>
      <c r="G6" s="227"/>
      <c r="H6" s="227"/>
      <c r="I6" s="227"/>
      <c r="J6" s="228"/>
      <c r="K6" s="16"/>
    </row>
    <row r="7" spans="2:11" s="3" customFormat="1" ht="18" customHeight="1">
      <c r="B7" s="42"/>
      <c r="C7" s="42"/>
      <c r="D7" s="129" t="s">
        <v>124</v>
      </c>
      <c r="E7" s="84"/>
      <c r="F7" s="84"/>
      <c r="G7" s="130" t="s">
        <v>139</v>
      </c>
      <c r="H7" s="131"/>
      <c r="I7" s="132"/>
      <c r="J7" s="133"/>
      <c r="K7" s="16"/>
    </row>
    <row r="8" spans="2:11" s="3" customFormat="1" ht="18" customHeight="1">
      <c r="B8" s="42"/>
      <c r="C8" s="42"/>
      <c r="D8" s="134" t="s">
        <v>63</v>
      </c>
      <c r="E8" s="85"/>
      <c r="F8" s="85"/>
      <c r="G8" s="135" t="s">
        <v>45</v>
      </c>
      <c r="H8" s="86"/>
      <c r="I8" s="87"/>
      <c r="J8" s="136"/>
      <c r="K8" s="16"/>
    </row>
    <row r="9" spans="2:11" s="3" customFormat="1" ht="18" customHeight="1">
      <c r="B9" s="42"/>
      <c r="C9" s="42"/>
      <c r="D9" s="134" t="s">
        <v>125</v>
      </c>
      <c r="E9" s="85"/>
      <c r="F9" s="85"/>
      <c r="G9" s="135" t="s">
        <v>46</v>
      </c>
      <c r="H9" s="86"/>
      <c r="I9" s="87"/>
      <c r="J9" s="136"/>
      <c r="K9" s="18"/>
    </row>
    <row r="10" spans="2:11" s="3" customFormat="1" ht="18" customHeight="1">
      <c r="B10" s="42"/>
      <c r="C10" s="42"/>
      <c r="D10" s="137" t="s">
        <v>140</v>
      </c>
      <c r="E10" s="138"/>
      <c r="F10" s="138"/>
      <c r="G10" s="139" t="s">
        <v>126</v>
      </c>
      <c r="H10" s="140"/>
      <c r="I10" s="141"/>
      <c r="J10" s="142"/>
      <c r="K10" s="18"/>
    </row>
    <row r="11" spans="2:11" s="3" customFormat="1" ht="18" customHeight="1">
      <c r="B11" s="42"/>
      <c r="C11" s="42"/>
      <c r="D11" s="26"/>
      <c r="E11" s="85"/>
      <c r="F11" s="85"/>
      <c r="G11" s="26"/>
      <c r="H11" s="86"/>
      <c r="I11" s="87"/>
      <c r="J11" s="119"/>
      <c r="K11" s="18"/>
    </row>
    <row r="12" spans="2:11" ht="18">
      <c r="B12" s="220" t="s">
        <v>51</v>
      </c>
      <c r="C12" s="221"/>
      <c r="D12" s="221"/>
      <c r="E12" s="222"/>
      <c r="F12" s="41"/>
      <c r="G12" s="223" t="s">
        <v>14</v>
      </c>
      <c r="H12" s="224"/>
      <c r="I12" s="224"/>
      <c r="J12" s="225"/>
      <c r="K12" s="16"/>
    </row>
    <row r="13" spans="2:11" ht="18">
      <c r="B13" s="97" t="s">
        <v>59</v>
      </c>
      <c r="C13" s="98"/>
      <c r="D13" s="84"/>
      <c r="E13" s="143">
        <v>45000</v>
      </c>
      <c r="F13" s="42"/>
      <c r="G13" s="101" t="s">
        <v>7</v>
      </c>
      <c r="H13" s="84"/>
      <c r="I13" s="84"/>
      <c r="J13" s="102">
        <f>rendimiento*precio_de_venta</f>
        <v>7200000</v>
      </c>
      <c r="K13" s="16"/>
    </row>
    <row r="14" spans="2:11" ht="21">
      <c r="B14" s="230" t="s">
        <v>67</v>
      </c>
      <c r="C14" s="231"/>
      <c r="D14" s="231"/>
      <c r="E14" s="144">
        <v>160</v>
      </c>
      <c r="F14" s="42"/>
      <c r="G14" s="103" t="s">
        <v>10</v>
      </c>
      <c r="H14" s="42"/>
      <c r="I14" s="42"/>
      <c r="J14" s="104">
        <f>total_mano_obra+total_maquinaria+total_insumos+imprevistos</f>
        <v>6032917.8</v>
      </c>
      <c r="K14" s="16"/>
    </row>
    <row r="15" spans="2:11" ht="18">
      <c r="B15" s="125" t="s">
        <v>9</v>
      </c>
      <c r="C15" s="43"/>
      <c r="D15" s="42"/>
      <c r="E15" s="144">
        <v>13000</v>
      </c>
      <c r="F15" s="42"/>
      <c r="G15" s="103" t="s">
        <v>11</v>
      </c>
      <c r="H15" s="44"/>
      <c r="I15" s="42"/>
      <c r="J15" s="104">
        <f>total_mano_obra+total_maquinaria+total_insumos+imprevistos+total_costos_indirectos</f>
        <v>6550025.04</v>
      </c>
      <c r="K15" s="16"/>
    </row>
    <row r="16" spans="2:11" ht="18">
      <c r="B16" s="125" t="s">
        <v>4</v>
      </c>
      <c r="C16" s="45"/>
      <c r="D16" s="42"/>
      <c r="E16" s="145">
        <v>0.015</v>
      </c>
      <c r="F16" s="42"/>
      <c r="G16" s="103" t="s">
        <v>12</v>
      </c>
      <c r="H16" s="42"/>
      <c r="I16" s="42"/>
      <c r="J16" s="104">
        <f>J13-J14</f>
        <v>1167082.2000000002</v>
      </c>
      <c r="K16" s="16"/>
    </row>
    <row r="17" spans="2:11" ht="18">
      <c r="B17" s="99" t="s">
        <v>5</v>
      </c>
      <c r="C17" s="100"/>
      <c r="D17" s="88"/>
      <c r="E17" s="146">
        <v>12</v>
      </c>
      <c r="F17" s="42"/>
      <c r="G17" s="103" t="s">
        <v>13</v>
      </c>
      <c r="H17" s="42"/>
      <c r="I17" s="42"/>
      <c r="J17" s="104">
        <f>J13-J15</f>
        <v>649974.96</v>
      </c>
      <c r="K17" s="16"/>
    </row>
    <row r="18" spans="2:11" ht="18">
      <c r="B18" s="147"/>
      <c r="C18" s="45"/>
      <c r="D18" s="42"/>
      <c r="E18" s="148"/>
      <c r="F18" s="42"/>
      <c r="G18" s="149" t="s">
        <v>47</v>
      </c>
      <c r="H18" s="88"/>
      <c r="I18" s="150"/>
      <c r="J18" s="151">
        <f>total_costos/rendimiento</f>
        <v>145.556112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4" t="s">
        <v>48</v>
      </c>
      <c r="C20" s="113"/>
      <c r="D20" s="113"/>
      <c r="E20" s="229" t="s">
        <v>15</v>
      </c>
      <c r="F20" s="229"/>
      <c r="G20" s="152" t="s">
        <v>16</v>
      </c>
      <c r="H20" s="153" t="s">
        <v>17</v>
      </c>
      <c r="I20" s="154" t="s">
        <v>55</v>
      </c>
      <c r="J20" s="155" t="s">
        <v>3</v>
      </c>
      <c r="K20" s="16"/>
    </row>
    <row r="21" spans="2:11" s="3" customFormat="1" ht="18">
      <c r="B21" s="215" t="s">
        <v>19</v>
      </c>
      <c r="C21" s="216"/>
      <c r="D21" s="216"/>
      <c r="E21" s="217"/>
      <c r="F21" s="217"/>
      <c r="G21" s="105"/>
      <c r="H21" s="106"/>
      <c r="I21" s="107"/>
      <c r="J21" s="108"/>
      <c r="K21" s="16"/>
    </row>
    <row r="22" spans="2:11" s="3" customFormat="1" ht="18">
      <c r="B22" s="203" t="s">
        <v>90</v>
      </c>
      <c r="C22" s="204"/>
      <c r="D22" s="205"/>
      <c r="E22" s="208" t="s">
        <v>85</v>
      </c>
      <c r="F22" s="209"/>
      <c r="G22" s="156">
        <v>15</v>
      </c>
      <c r="H22" s="120" t="s">
        <v>6</v>
      </c>
      <c r="I22" s="157">
        <f>$E$15</f>
        <v>13000</v>
      </c>
      <c r="J22" s="158">
        <f>G22*I22</f>
        <v>195000</v>
      </c>
      <c r="K22" s="16"/>
    </row>
    <row r="23" spans="2:11" s="3" customFormat="1" ht="18">
      <c r="B23" s="126" t="s">
        <v>91</v>
      </c>
      <c r="C23" s="127"/>
      <c r="D23" s="128"/>
      <c r="E23" s="206" t="s">
        <v>65</v>
      </c>
      <c r="F23" s="207"/>
      <c r="G23" s="156">
        <v>5</v>
      </c>
      <c r="H23" s="120" t="s">
        <v>6</v>
      </c>
      <c r="I23" s="157">
        <f>$E$15</f>
        <v>13000</v>
      </c>
      <c r="J23" s="158">
        <f aca="true" t="shared" si="0" ref="J23:J29">G23*I23</f>
        <v>65000</v>
      </c>
      <c r="K23" s="16"/>
    </row>
    <row r="24" spans="2:11" s="3" customFormat="1" ht="18">
      <c r="B24" s="126" t="s">
        <v>136</v>
      </c>
      <c r="C24" s="127"/>
      <c r="D24" s="128"/>
      <c r="E24" s="206" t="s">
        <v>86</v>
      </c>
      <c r="F24" s="207"/>
      <c r="G24" s="156">
        <v>470</v>
      </c>
      <c r="H24" s="120" t="s">
        <v>96</v>
      </c>
      <c r="I24" s="157">
        <v>900</v>
      </c>
      <c r="J24" s="158">
        <f t="shared" si="0"/>
        <v>423000</v>
      </c>
      <c r="K24" s="16"/>
    </row>
    <row r="25" spans="2:11" s="3" customFormat="1" ht="18">
      <c r="B25" s="126" t="s">
        <v>92</v>
      </c>
      <c r="C25" s="127"/>
      <c r="D25" s="128"/>
      <c r="E25" s="206" t="s">
        <v>87</v>
      </c>
      <c r="F25" s="207"/>
      <c r="G25" s="156">
        <v>8</v>
      </c>
      <c r="H25" s="120" t="s">
        <v>6</v>
      </c>
      <c r="I25" s="157">
        <f>$E$15</f>
        <v>13000</v>
      </c>
      <c r="J25" s="158">
        <f t="shared" si="0"/>
        <v>104000</v>
      </c>
      <c r="K25" s="16"/>
    </row>
    <row r="26" spans="2:11" s="3" customFormat="1" ht="18">
      <c r="B26" s="126" t="s">
        <v>93</v>
      </c>
      <c r="C26" s="127"/>
      <c r="D26" s="128"/>
      <c r="E26" s="206" t="s">
        <v>65</v>
      </c>
      <c r="F26" s="207"/>
      <c r="G26" s="156">
        <v>6</v>
      </c>
      <c r="H26" s="120" t="s">
        <v>6</v>
      </c>
      <c r="I26" s="157">
        <f>$E$15</f>
        <v>13000</v>
      </c>
      <c r="J26" s="158">
        <f t="shared" si="0"/>
        <v>78000</v>
      </c>
      <c r="K26" s="16"/>
    </row>
    <row r="27" spans="2:11" s="3" customFormat="1" ht="18">
      <c r="B27" s="126" t="s">
        <v>94</v>
      </c>
      <c r="C27" s="127"/>
      <c r="D27" s="128"/>
      <c r="E27" s="206" t="s">
        <v>88</v>
      </c>
      <c r="F27" s="207"/>
      <c r="G27" s="156">
        <v>3</v>
      </c>
      <c r="H27" s="120" t="s">
        <v>6</v>
      </c>
      <c r="I27" s="157">
        <f>$E$15</f>
        <v>13000</v>
      </c>
      <c r="J27" s="158">
        <f t="shared" si="0"/>
        <v>39000</v>
      </c>
      <c r="K27" s="16"/>
    </row>
    <row r="28" spans="2:11" s="3" customFormat="1" ht="21">
      <c r="B28" s="126" t="s">
        <v>106</v>
      </c>
      <c r="C28" s="127"/>
      <c r="D28" s="128"/>
      <c r="E28" s="206" t="s">
        <v>89</v>
      </c>
      <c r="F28" s="207"/>
      <c r="G28" s="156">
        <f>rdto_variable!$C$2*rdto_variable!E5</f>
        <v>45000</v>
      </c>
      <c r="H28" s="120" t="s">
        <v>44</v>
      </c>
      <c r="I28" s="157">
        <v>20</v>
      </c>
      <c r="J28" s="158">
        <f t="shared" si="0"/>
        <v>900000</v>
      </c>
      <c r="K28" s="16"/>
    </row>
    <row r="29" spans="2:11" s="3" customFormat="1" ht="18">
      <c r="B29" s="126" t="s">
        <v>95</v>
      </c>
      <c r="C29" s="127"/>
      <c r="D29" s="128"/>
      <c r="E29" s="206" t="s">
        <v>89</v>
      </c>
      <c r="F29" s="207"/>
      <c r="G29" s="156">
        <f>rdto_variable!$C$2*rdto_variable!E6</f>
        <v>45000</v>
      </c>
      <c r="H29" s="120" t="s">
        <v>44</v>
      </c>
      <c r="I29" s="157">
        <v>2</v>
      </c>
      <c r="J29" s="158">
        <f t="shared" si="0"/>
        <v>90000</v>
      </c>
      <c r="K29" s="16"/>
    </row>
    <row r="30" spans="2:11" ht="18">
      <c r="B30" s="213" t="s">
        <v>20</v>
      </c>
      <c r="C30" s="214"/>
      <c r="D30" s="214"/>
      <c r="E30" s="214"/>
      <c r="F30" s="214"/>
      <c r="G30" s="214"/>
      <c r="H30" s="214"/>
      <c r="I30" s="214"/>
      <c r="J30" s="89">
        <f>SUM(J22:J29)</f>
        <v>1894000</v>
      </c>
      <c r="K30" s="16"/>
    </row>
    <row r="31" spans="2:11" s="3" customFormat="1" ht="18">
      <c r="B31" s="20"/>
      <c r="C31" s="20"/>
      <c r="D31" s="20"/>
      <c r="E31" s="20"/>
      <c r="F31" s="20"/>
      <c r="G31" s="166"/>
      <c r="H31" s="20"/>
      <c r="I31" s="20"/>
      <c r="J31" s="167"/>
      <c r="K31" s="16"/>
    </row>
    <row r="32" spans="2:11" s="28" customFormat="1" ht="18">
      <c r="B32" s="215" t="s">
        <v>21</v>
      </c>
      <c r="C32" s="216"/>
      <c r="D32" s="216"/>
      <c r="E32" s="217"/>
      <c r="F32" s="217"/>
      <c r="G32" s="105"/>
      <c r="H32" s="106"/>
      <c r="I32" s="107"/>
      <c r="J32" s="174"/>
      <c r="K32" s="16"/>
    </row>
    <row r="33" spans="2:11" s="3" customFormat="1" ht="18">
      <c r="B33" s="203" t="s">
        <v>97</v>
      </c>
      <c r="C33" s="204"/>
      <c r="D33" s="205"/>
      <c r="E33" s="208" t="s">
        <v>65</v>
      </c>
      <c r="F33" s="209"/>
      <c r="G33" s="159">
        <v>5</v>
      </c>
      <c r="H33" s="160" t="s">
        <v>57</v>
      </c>
      <c r="I33" s="161">
        <v>25000</v>
      </c>
      <c r="J33" s="162">
        <f aca="true" t="shared" si="1" ref="J33:J38">G33*I33</f>
        <v>125000</v>
      </c>
      <c r="K33" s="16"/>
    </row>
    <row r="34" spans="2:11" s="3" customFormat="1" ht="18">
      <c r="B34" s="126" t="s">
        <v>98</v>
      </c>
      <c r="C34" s="127"/>
      <c r="D34" s="128"/>
      <c r="E34" s="206" t="s">
        <v>103</v>
      </c>
      <c r="F34" s="207"/>
      <c r="G34" s="163">
        <v>1</v>
      </c>
      <c r="H34" s="156" t="s">
        <v>57</v>
      </c>
      <c r="I34" s="164">
        <v>50000</v>
      </c>
      <c r="J34" s="157">
        <f t="shared" si="1"/>
        <v>50000</v>
      </c>
      <c r="K34" s="16"/>
    </row>
    <row r="35" spans="2:11" s="3" customFormat="1" ht="18">
      <c r="B35" s="126" t="s">
        <v>99</v>
      </c>
      <c r="C35" s="127"/>
      <c r="D35" s="128"/>
      <c r="E35" s="206" t="s">
        <v>104</v>
      </c>
      <c r="F35" s="207"/>
      <c r="G35" s="163">
        <v>2</v>
      </c>
      <c r="H35" s="156" t="s">
        <v>57</v>
      </c>
      <c r="I35" s="164">
        <v>25000</v>
      </c>
      <c r="J35" s="157">
        <f t="shared" si="1"/>
        <v>50000</v>
      </c>
      <c r="K35" s="16"/>
    </row>
    <row r="36" spans="2:11" s="3" customFormat="1" ht="18">
      <c r="B36" s="126" t="s">
        <v>100</v>
      </c>
      <c r="C36" s="127"/>
      <c r="D36" s="128"/>
      <c r="E36" s="206" t="s">
        <v>105</v>
      </c>
      <c r="F36" s="207"/>
      <c r="G36" s="163">
        <v>1</v>
      </c>
      <c r="H36" s="156" t="s">
        <v>57</v>
      </c>
      <c r="I36" s="164">
        <v>25000</v>
      </c>
      <c r="J36" s="157">
        <f t="shared" si="1"/>
        <v>25000</v>
      </c>
      <c r="K36" s="16"/>
    </row>
    <row r="37" spans="2:11" s="3" customFormat="1" ht="18">
      <c r="B37" s="126" t="s">
        <v>101</v>
      </c>
      <c r="C37" s="127"/>
      <c r="D37" s="128"/>
      <c r="E37" s="206" t="s">
        <v>65</v>
      </c>
      <c r="F37" s="207"/>
      <c r="G37" s="163">
        <v>1</v>
      </c>
      <c r="H37" s="156" t="s">
        <v>57</v>
      </c>
      <c r="I37" s="164">
        <v>80000</v>
      </c>
      <c r="J37" s="157">
        <f t="shared" si="1"/>
        <v>80000</v>
      </c>
      <c r="K37" s="16"/>
    </row>
    <row r="38" spans="2:11" s="3" customFormat="1" ht="18">
      <c r="B38" s="210" t="s">
        <v>102</v>
      </c>
      <c r="C38" s="211"/>
      <c r="D38" s="212"/>
      <c r="E38" s="206" t="s">
        <v>89</v>
      </c>
      <c r="F38" s="207"/>
      <c r="G38" s="163">
        <f>rdto_variable!$C$2*rdto_variable!E8</f>
        <v>45000</v>
      </c>
      <c r="H38" s="156" t="s">
        <v>57</v>
      </c>
      <c r="I38" s="164">
        <v>3.75</v>
      </c>
      <c r="J38" s="165">
        <f t="shared" si="1"/>
        <v>168750</v>
      </c>
      <c r="K38" s="16"/>
    </row>
    <row r="39" spans="2:12" ht="18">
      <c r="B39" s="213" t="s">
        <v>22</v>
      </c>
      <c r="C39" s="214"/>
      <c r="D39" s="214"/>
      <c r="E39" s="214"/>
      <c r="F39" s="214"/>
      <c r="G39" s="214"/>
      <c r="H39" s="214"/>
      <c r="I39" s="214"/>
      <c r="J39" s="115">
        <f>SUM(J33:J38)</f>
        <v>498750</v>
      </c>
      <c r="K39" s="16"/>
      <c r="L39" s="16"/>
    </row>
    <row r="40" spans="2:12" s="3" customFormat="1" ht="18">
      <c r="B40" s="82"/>
      <c r="C40" s="82"/>
      <c r="D40" s="82"/>
      <c r="E40" s="82"/>
      <c r="F40" s="82"/>
      <c r="G40" s="25" t="s">
        <v>58</v>
      </c>
      <c r="H40" s="82"/>
      <c r="I40" s="82"/>
      <c r="J40" s="27"/>
      <c r="K40" s="16"/>
      <c r="L40" s="19"/>
    </row>
    <row r="41" spans="2:12" s="3" customFormat="1" ht="21">
      <c r="B41" s="215" t="s">
        <v>68</v>
      </c>
      <c r="C41" s="216"/>
      <c r="D41" s="216"/>
      <c r="E41" s="217"/>
      <c r="F41" s="217"/>
      <c r="G41" s="105"/>
      <c r="H41" s="106"/>
      <c r="I41" s="107"/>
      <c r="J41" s="108"/>
      <c r="K41" s="16"/>
      <c r="L41" s="24"/>
    </row>
    <row r="42" spans="2:12" s="3" customFormat="1" ht="18">
      <c r="B42" s="183" t="s">
        <v>41</v>
      </c>
      <c r="C42" s="184"/>
      <c r="D42" s="185"/>
      <c r="E42" s="186"/>
      <c r="F42" s="187"/>
      <c r="G42" s="121"/>
      <c r="H42" s="122"/>
      <c r="I42" s="123"/>
      <c r="J42" s="11"/>
      <c r="K42" s="16"/>
      <c r="L42" s="24"/>
    </row>
    <row r="43" spans="2:12" s="3" customFormat="1" ht="18">
      <c r="B43" s="180" t="s">
        <v>108</v>
      </c>
      <c r="C43" s="181"/>
      <c r="D43" s="182"/>
      <c r="E43" s="206" t="s">
        <v>109</v>
      </c>
      <c r="F43" s="207"/>
      <c r="G43" s="79">
        <v>350</v>
      </c>
      <c r="H43" s="120" t="s">
        <v>44</v>
      </c>
      <c r="I43" s="123">
        <v>390</v>
      </c>
      <c r="J43" s="11">
        <f>G43*I43</f>
        <v>136500</v>
      </c>
      <c r="K43" s="16"/>
      <c r="L43" s="24"/>
    </row>
    <row r="44" spans="2:12" s="3" customFormat="1" ht="18">
      <c r="B44" s="180" t="s">
        <v>73</v>
      </c>
      <c r="C44" s="181"/>
      <c r="D44" s="182"/>
      <c r="E44" s="206" t="s">
        <v>110</v>
      </c>
      <c r="F44" s="207"/>
      <c r="G44" s="79">
        <v>200</v>
      </c>
      <c r="H44" s="120" t="s">
        <v>44</v>
      </c>
      <c r="I44" s="123">
        <v>362</v>
      </c>
      <c r="J44" s="11">
        <f>G44*I44</f>
        <v>72400</v>
      </c>
      <c r="K44" s="16"/>
      <c r="L44" s="24"/>
    </row>
    <row r="45" spans="2:12" s="3" customFormat="1" ht="18">
      <c r="B45" s="126"/>
      <c r="C45" s="127"/>
      <c r="D45" s="128"/>
      <c r="E45" s="176"/>
      <c r="F45" s="175"/>
      <c r="G45" s="79"/>
      <c r="H45" s="120"/>
      <c r="I45" s="123"/>
      <c r="J45" s="11"/>
      <c r="K45" s="16"/>
      <c r="L45" s="24"/>
    </row>
    <row r="46" spans="2:12" s="3" customFormat="1" ht="18">
      <c r="B46" s="177" t="s">
        <v>42</v>
      </c>
      <c r="C46" s="178"/>
      <c r="D46" s="179"/>
      <c r="E46" s="188"/>
      <c r="F46" s="187"/>
      <c r="G46" s="79"/>
      <c r="H46" s="120"/>
      <c r="I46" s="123"/>
      <c r="J46" s="11"/>
      <c r="K46" s="16"/>
      <c r="L46" s="24"/>
    </row>
    <row r="47" spans="2:12" s="3" customFormat="1" ht="18">
      <c r="B47" s="126" t="s">
        <v>111</v>
      </c>
      <c r="C47" s="127"/>
      <c r="D47" s="128"/>
      <c r="E47" s="206" t="s">
        <v>112</v>
      </c>
      <c r="F47" s="207"/>
      <c r="G47" s="79">
        <v>3</v>
      </c>
      <c r="H47" s="120" t="s">
        <v>44</v>
      </c>
      <c r="I47" s="123">
        <v>23500</v>
      </c>
      <c r="J47" s="11">
        <f aca="true" t="shared" si="2" ref="J47:J62">G47*I47</f>
        <v>70500</v>
      </c>
      <c r="K47" s="16"/>
      <c r="L47" s="24"/>
    </row>
    <row r="48" spans="2:12" s="3" customFormat="1" ht="18">
      <c r="B48" s="126"/>
      <c r="C48" s="127"/>
      <c r="D48" s="128"/>
      <c r="E48" s="188"/>
      <c r="F48" s="187"/>
      <c r="G48" s="79"/>
      <c r="H48" s="120"/>
      <c r="I48" s="123"/>
      <c r="J48" s="11"/>
      <c r="K48" s="16"/>
      <c r="L48" s="24"/>
    </row>
    <row r="49" spans="2:13" s="3" customFormat="1" ht="18">
      <c r="B49" s="177" t="s">
        <v>43</v>
      </c>
      <c r="C49" s="178"/>
      <c r="D49" s="179"/>
      <c r="E49" s="188"/>
      <c r="F49" s="187"/>
      <c r="G49" s="79"/>
      <c r="H49" s="120"/>
      <c r="I49" s="123"/>
      <c r="J49" s="11"/>
      <c r="K49" s="16"/>
      <c r="L49" s="24"/>
      <c r="M49" s="3" t="s">
        <v>64</v>
      </c>
    </row>
    <row r="50" spans="2:12" s="3" customFormat="1" ht="18">
      <c r="B50" s="126" t="s">
        <v>113</v>
      </c>
      <c r="C50" s="127"/>
      <c r="D50" s="128"/>
      <c r="E50" s="206" t="s">
        <v>103</v>
      </c>
      <c r="F50" s="207"/>
      <c r="G50" s="121">
        <v>3</v>
      </c>
      <c r="H50" s="122" t="s">
        <v>40</v>
      </c>
      <c r="I50" s="123">
        <v>7229</v>
      </c>
      <c r="J50" s="11">
        <f t="shared" si="2"/>
        <v>21687</v>
      </c>
      <c r="K50" s="16"/>
      <c r="L50" s="24"/>
    </row>
    <row r="51" spans="2:12" s="3" customFormat="1" ht="18">
      <c r="B51" s="126" t="s">
        <v>114</v>
      </c>
      <c r="C51" s="127"/>
      <c r="D51" s="128"/>
      <c r="E51" s="206" t="s">
        <v>115</v>
      </c>
      <c r="F51" s="207"/>
      <c r="G51" s="121">
        <v>30</v>
      </c>
      <c r="H51" s="122" t="s">
        <v>40</v>
      </c>
      <c r="I51" s="123">
        <v>3172</v>
      </c>
      <c r="J51" s="11">
        <f t="shared" si="2"/>
        <v>95160</v>
      </c>
      <c r="K51" s="16"/>
      <c r="L51" s="24"/>
    </row>
    <row r="52" spans="2:12" s="3" customFormat="1" ht="18">
      <c r="B52" s="126" t="s">
        <v>141</v>
      </c>
      <c r="C52" s="127"/>
      <c r="D52" s="128"/>
      <c r="E52" s="206" t="s">
        <v>116</v>
      </c>
      <c r="F52" s="207"/>
      <c r="G52" s="121">
        <v>1</v>
      </c>
      <c r="H52" s="122" t="s">
        <v>40</v>
      </c>
      <c r="I52" s="123">
        <v>211689</v>
      </c>
      <c r="J52" s="11">
        <f t="shared" si="2"/>
        <v>211689</v>
      </c>
      <c r="K52" s="16"/>
      <c r="L52" s="24"/>
    </row>
    <row r="53" spans="2:12" s="3" customFormat="1" ht="18">
      <c r="B53" s="126"/>
      <c r="C53" s="127"/>
      <c r="D53" s="128"/>
      <c r="E53" s="176"/>
      <c r="F53" s="175"/>
      <c r="G53" s="121"/>
      <c r="H53" s="122"/>
      <c r="I53" s="123"/>
      <c r="J53" s="11"/>
      <c r="K53" s="16"/>
      <c r="L53" s="24"/>
    </row>
    <row r="54" spans="2:12" s="3" customFormat="1" ht="18">
      <c r="B54" s="177" t="s">
        <v>56</v>
      </c>
      <c r="C54" s="127"/>
      <c r="D54" s="128"/>
      <c r="E54" s="176"/>
      <c r="F54" s="175"/>
      <c r="G54" s="121"/>
      <c r="H54" s="122"/>
      <c r="I54" s="123"/>
      <c r="J54" s="11"/>
      <c r="K54" s="16"/>
      <c r="L54" s="24"/>
    </row>
    <row r="55" spans="2:12" s="3" customFormat="1" ht="18">
      <c r="B55" s="126" t="s">
        <v>142</v>
      </c>
      <c r="C55" s="127"/>
      <c r="D55" s="128"/>
      <c r="E55" s="206" t="s">
        <v>123</v>
      </c>
      <c r="F55" s="207"/>
      <c r="G55" s="121">
        <v>6</v>
      </c>
      <c r="H55" s="122" t="s">
        <v>40</v>
      </c>
      <c r="I55" s="123">
        <v>3950</v>
      </c>
      <c r="J55" s="11">
        <f t="shared" si="2"/>
        <v>23700</v>
      </c>
      <c r="K55" s="16"/>
      <c r="L55" s="24"/>
    </row>
    <row r="56" spans="2:12" s="3" customFormat="1" ht="18">
      <c r="B56" s="180"/>
      <c r="C56" s="181"/>
      <c r="D56" s="182"/>
      <c r="E56" s="176"/>
      <c r="F56" s="175"/>
      <c r="G56" s="121"/>
      <c r="H56" s="122"/>
      <c r="I56" s="123"/>
      <c r="J56" s="11"/>
      <c r="K56" s="16"/>
      <c r="L56" s="24"/>
    </row>
    <row r="57" spans="2:12" s="3" customFormat="1" ht="18">
      <c r="B57" s="183" t="s">
        <v>72</v>
      </c>
      <c r="C57" s="181"/>
      <c r="D57" s="182"/>
      <c r="E57" s="176"/>
      <c r="F57" s="175"/>
      <c r="G57" s="121"/>
      <c r="H57" s="122"/>
      <c r="I57" s="123"/>
      <c r="J57" s="11"/>
      <c r="K57" s="16"/>
      <c r="L57" s="24"/>
    </row>
    <row r="58" spans="2:12" s="3" customFormat="1" ht="18">
      <c r="B58" s="180" t="s">
        <v>117</v>
      </c>
      <c r="C58" s="181"/>
      <c r="D58" s="182"/>
      <c r="E58" s="206" t="s">
        <v>89</v>
      </c>
      <c r="F58" s="207"/>
      <c r="G58" s="121">
        <f>ROUNDUP(rdto_variable!E11*rdto_variable!C2,0)</f>
        <v>2250</v>
      </c>
      <c r="H58" s="122" t="s">
        <v>17</v>
      </c>
      <c r="I58" s="123">
        <v>65</v>
      </c>
      <c r="J58" s="11">
        <f t="shared" si="2"/>
        <v>146250</v>
      </c>
      <c r="K58" s="16"/>
      <c r="L58" s="24"/>
    </row>
    <row r="59" spans="2:12" s="3" customFormat="1" ht="18">
      <c r="B59" s="180" t="s">
        <v>118</v>
      </c>
      <c r="C59" s="181"/>
      <c r="D59" s="182"/>
      <c r="E59" s="206" t="s">
        <v>89</v>
      </c>
      <c r="F59" s="207"/>
      <c r="G59" s="121">
        <v>2</v>
      </c>
      <c r="H59" s="122" t="s">
        <v>17</v>
      </c>
      <c r="I59" s="123">
        <v>60000</v>
      </c>
      <c r="J59" s="11">
        <f t="shared" si="2"/>
        <v>120000</v>
      </c>
      <c r="K59" s="16"/>
      <c r="L59" s="24"/>
    </row>
    <row r="60" spans="2:12" s="3" customFormat="1" ht="18">
      <c r="B60" s="180" t="s">
        <v>134</v>
      </c>
      <c r="C60" s="181"/>
      <c r="D60" s="182"/>
      <c r="E60" s="206" t="s">
        <v>89</v>
      </c>
      <c r="F60" s="207"/>
      <c r="G60" s="121">
        <v>40</v>
      </c>
      <c r="H60" s="122" t="s">
        <v>135</v>
      </c>
      <c r="I60" s="123">
        <v>60000</v>
      </c>
      <c r="J60" s="11">
        <f t="shared" si="2"/>
        <v>2400000</v>
      </c>
      <c r="K60" s="16"/>
      <c r="L60" s="24"/>
    </row>
    <row r="61" spans="2:12" s="3" customFormat="1" ht="18">
      <c r="B61" s="180" t="s">
        <v>119</v>
      </c>
      <c r="C61" s="181"/>
      <c r="D61" s="182"/>
      <c r="E61" s="206" t="s">
        <v>121</v>
      </c>
      <c r="F61" s="207"/>
      <c r="G61" s="121">
        <v>1</v>
      </c>
      <c r="H61" s="122" t="s">
        <v>57</v>
      </c>
      <c r="I61" s="123">
        <v>30000</v>
      </c>
      <c r="J61" s="11">
        <f t="shared" si="2"/>
        <v>30000</v>
      </c>
      <c r="K61" s="16"/>
      <c r="L61" s="24"/>
    </row>
    <row r="62" spans="2:12" s="3" customFormat="1" ht="18">
      <c r="B62" s="180" t="s">
        <v>120</v>
      </c>
      <c r="C62" s="181"/>
      <c r="D62" s="182"/>
      <c r="E62" s="206" t="s">
        <v>122</v>
      </c>
      <c r="F62" s="207"/>
      <c r="G62" s="121">
        <v>1</v>
      </c>
      <c r="H62" s="122" t="s">
        <v>66</v>
      </c>
      <c r="I62" s="123">
        <v>25000</v>
      </c>
      <c r="J62" s="11">
        <f t="shared" si="2"/>
        <v>25000</v>
      </c>
      <c r="K62" s="16"/>
      <c r="L62" s="24"/>
    </row>
    <row r="63" spans="2:14" ht="18">
      <c r="B63" s="259" t="s">
        <v>23</v>
      </c>
      <c r="C63" s="260"/>
      <c r="D63" s="260"/>
      <c r="E63" s="260"/>
      <c r="F63" s="260"/>
      <c r="G63" s="260"/>
      <c r="H63" s="260"/>
      <c r="I63" s="260"/>
      <c r="J63" s="118">
        <f>SUM(J42:J62)</f>
        <v>3352886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ht="18">
      <c r="B65" s="288" t="s">
        <v>24</v>
      </c>
      <c r="C65" s="289"/>
      <c r="D65" s="289"/>
      <c r="E65" s="289"/>
      <c r="F65" s="289"/>
      <c r="G65" s="289"/>
      <c r="H65" s="289"/>
      <c r="I65" s="289"/>
      <c r="J65" s="89">
        <f>total_mano_obra+total_maquinaria+total_insumos</f>
        <v>5745636</v>
      </c>
      <c r="K65" s="16"/>
      <c r="M65" s="16"/>
      <c r="N65" s="16"/>
      <c r="O65" s="10"/>
      <c r="P65" s="10"/>
    </row>
    <row r="66" spans="2:14" s="3" customFormat="1" ht="18">
      <c r="B66" s="83"/>
      <c r="C66" s="83"/>
      <c r="D66" s="83"/>
      <c r="E66" s="83"/>
      <c r="F66" s="83"/>
      <c r="G66" s="32"/>
      <c r="H66" s="83"/>
      <c r="I66" s="83"/>
      <c r="J66" s="27"/>
      <c r="K66" s="16"/>
      <c r="M66" s="16"/>
      <c r="N66" s="16"/>
    </row>
    <row r="67" spans="2:14" s="3" customFormat="1" ht="18">
      <c r="B67" s="168" t="s">
        <v>54</v>
      </c>
      <c r="C67" s="169"/>
      <c r="D67" s="170"/>
      <c r="E67" s="293" t="s">
        <v>65</v>
      </c>
      <c r="F67" s="293"/>
      <c r="G67" s="171">
        <v>0.05</v>
      </c>
      <c r="H67" s="172" t="s">
        <v>1</v>
      </c>
      <c r="I67" s="173"/>
      <c r="J67" s="173">
        <f>total_costos_directos*G67</f>
        <v>287281.8</v>
      </c>
      <c r="K67" s="16"/>
      <c r="M67" s="16"/>
      <c r="N67" s="16"/>
    </row>
    <row r="68" spans="2:14" s="3" customFormat="1" ht="18">
      <c r="B68" s="124"/>
      <c r="C68" s="124"/>
      <c r="D68" s="124"/>
      <c r="E68" s="124"/>
      <c r="F68" s="124"/>
      <c r="G68" s="32"/>
      <c r="H68" s="124"/>
      <c r="I68" s="124"/>
      <c r="J68" s="27"/>
      <c r="K68" s="16"/>
      <c r="M68" s="16"/>
      <c r="N68" s="16"/>
    </row>
    <row r="69" spans="2:14" s="3" customFormat="1" ht="20.25">
      <c r="B69" s="114" t="s">
        <v>53</v>
      </c>
      <c r="C69" s="113"/>
      <c r="D69" s="113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>
      <c r="B70" s="256" t="s">
        <v>52</v>
      </c>
      <c r="C70" s="217"/>
      <c r="D70" s="217"/>
      <c r="E70" s="217" t="s">
        <v>15</v>
      </c>
      <c r="F70" s="217"/>
      <c r="G70" s="105" t="s">
        <v>16</v>
      </c>
      <c r="H70" s="106" t="s">
        <v>17</v>
      </c>
      <c r="I70" s="107" t="s">
        <v>18</v>
      </c>
      <c r="J70" s="108" t="s">
        <v>3</v>
      </c>
      <c r="K70" s="16"/>
      <c r="M70" s="16"/>
      <c r="N70" s="16"/>
    </row>
    <row r="71" spans="2:15" s="3" customFormat="1" ht="21">
      <c r="B71" s="210" t="s">
        <v>69</v>
      </c>
      <c r="C71" s="211"/>
      <c r="D71" s="212"/>
      <c r="E71" s="206" t="s">
        <v>65</v>
      </c>
      <c r="F71" s="207"/>
      <c r="G71" s="116">
        <f>E16</f>
        <v>0.015</v>
      </c>
      <c r="H71" s="9" t="s">
        <v>1</v>
      </c>
      <c r="I71" s="117"/>
      <c r="J71" s="11">
        <f>total_costos_directos*tasa_interes_mensual*meses_financiamiento*0.5</f>
        <v>517107.24</v>
      </c>
      <c r="K71" s="16"/>
      <c r="L71" s="211"/>
      <c r="M71" s="211"/>
      <c r="N71" s="211"/>
      <c r="O71" s="211"/>
    </row>
    <row r="72" spans="2:14" s="3" customFormat="1" ht="18">
      <c r="B72" s="210" t="s">
        <v>26</v>
      </c>
      <c r="C72" s="211"/>
      <c r="D72" s="212"/>
      <c r="E72" s="257"/>
      <c r="F72" s="258"/>
      <c r="G72" s="90"/>
      <c r="H72" s="90"/>
      <c r="I72" s="90"/>
      <c r="J72" s="92"/>
      <c r="K72" s="16"/>
      <c r="M72" s="16"/>
      <c r="N72" s="16"/>
    </row>
    <row r="73" spans="2:14" s="3" customFormat="1" ht="18">
      <c r="B73" s="210" t="s">
        <v>2</v>
      </c>
      <c r="C73" s="211"/>
      <c r="D73" s="212"/>
      <c r="E73" s="257"/>
      <c r="F73" s="258"/>
      <c r="G73" s="90"/>
      <c r="H73" s="90"/>
      <c r="I73" s="90"/>
      <c r="J73" s="92"/>
      <c r="K73" s="16"/>
      <c r="M73" s="16"/>
      <c r="N73" s="16"/>
    </row>
    <row r="74" spans="2:14" s="3" customFormat="1" ht="18">
      <c r="B74" s="241" t="s">
        <v>27</v>
      </c>
      <c r="C74" s="242"/>
      <c r="D74" s="243"/>
      <c r="E74" s="235"/>
      <c r="F74" s="236"/>
      <c r="G74" s="91"/>
      <c r="H74" s="91"/>
      <c r="I74" s="91"/>
      <c r="J74" s="93"/>
      <c r="K74" s="16"/>
      <c r="M74" s="16"/>
      <c r="N74" s="16"/>
    </row>
    <row r="75" spans="2:14" ht="18">
      <c r="B75" s="233" t="s">
        <v>49</v>
      </c>
      <c r="C75" s="234"/>
      <c r="D75" s="234"/>
      <c r="E75" s="234"/>
      <c r="F75" s="234"/>
      <c r="G75" s="234"/>
      <c r="H75" s="234"/>
      <c r="I75" s="234"/>
      <c r="J75" s="115">
        <f>SUM(J71:J74)</f>
        <v>517107.24</v>
      </c>
      <c r="K75" s="16"/>
      <c r="M75" s="16"/>
      <c r="N75" s="16"/>
    </row>
    <row r="76" spans="2:12" s="3" customFormat="1" ht="18" customHeight="1">
      <c r="B76" s="82"/>
      <c r="C76" s="82"/>
      <c r="D76" s="82"/>
      <c r="E76" s="82"/>
      <c r="F76" s="82"/>
      <c r="G76" s="25"/>
      <c r="H76" s="82"/>
      <c r="I76" s="82"/>
      <c r="J76" s="27"/>
      <c r="K76" s="16"/>
      <c r="L76" s="16"/>
    </row>
    <row r="77" spans="2:12" ht="18" customHeight="1">
      <c r="B77" s="271" t="s">
        <v>28</v>
      </c>
      <c r="C77" s="272"/>
      <c r="D77" s="272"/>
      <c r="E77" s="272"/>
      <c r="F77" s="272"/>
      <c r="G77" s="272"/>
      <c r="H77" s="272"/>
      <c r="I77" s="272"/>
      <c r="J77" s="286">
        <f>total_costos_directos+imprevistos+total_costos_indirectos</f>
        <v>6550025.04</v>
      </c>
      <c r="K77" s="16"/>
      <c r="L77" s="16"/>
    </row>
    <row r="78" spans="2:12" s="3" customFormat="1" ht="18" customHeight="1">
      <c r="B78" s="233"/>
      <c r="C78" s="234"/>
      <c r="D78" s="234"/>
      <c r="E78" s="234"/>
      <c r="F78" s="234"/>
      <c r="G78" s="234"/>
      <c r="H78" s="234"/>
      <c r="I78" s="234"/>
      <c r="J78" s="287"/>
      <c r="K78" s="16"/>
      <c r="L78" s="16"/>
    </row>
    <row r="79" spans="2:12" s="3" customFormat="1" ht="18" customHeight="1">
      <c r="B79" s="29"/>
      <c r="C79" s="29"/>
      <c r="D79" s="29"/>
      <c r="E79" s="29"/>
      <c r="F79" s="29"/>
      <c r="G79" s="30"/>
      <c r="H79" s="29"/>
      <c r="I79" s="29"/>
      <c r="J79" s="31"/>
      <c r="K79" s="16"/>
      <c r="L79" s="16"/>
    </row>
    <row r="80" spans="2:12" s="3" customFormat="1" ht="18" customHeight="1">
      <c r="B80" s="82"/>
      <c r="C80" s="82"/>
      <c r="D80" s="82"/>
      <c r="E80" s="82"/>
      <c r="F80" s="82"/>
      <c r="G80" s="25"/>
      <c r="H80" s="82"/>
      <c r="I80" s="82"/>
      <c r="J80" s="27"/>
      <c r="K80" s="16"/>
      <c r="L80" s="16"/>
    </row>
    <row r="81" spans="2:12" s="3" customFormat="1" ht="18" customHeight="1">
      <c r="B81" s="82"/>
      <c r="C81" s="82"/>
      <c r="D81" s="82"/>
      <c r="E81" s="82"/>
      <c r="F81" s="82"/>
      <c r="G81" s="25"/>
      <c r="H81" s="82"/>
      <c r="I81" s="82"/>
      <c r="J81" s="27"/>
      <c r="K81" s="16"/>
      <c r="L81" s="16"/>
    </row>
    <row r="82" spans="2:12" ht="18" customHeight="1">
      <c r="B82" s="250" t="s">
        <v>70</v>
      </c>
      <c r="C82" s="251"/>
      <c r="D82" s="251"/>
      <c r="E82" s="251"/>
      <c r="F82" s="251"/>
      <c r="G82" s="251"/>
      <c r="H82" s="251"/>
      <c r="I82" s="251"/>
      <c r="J82" s="252"/>
      <c r="K82" s="16"/>
      <c r="L82" s="24"/>
    </row>
    <row r="83" spans="2:12" ht="18" customHeight="1">
      <c r="B83" s="253" t="s">
        <v>34</v>
      </c>
      <c r="C83" s="254"/>
      <c r="D83" s="254"/>
      <c r="E83" s="254"/>
      <c r="F83" s="254"/>
      <c r="G83" s="254"/>
      <c r="H83" s="254"/>
      <c r="I83" s="254"/>
      <c r="J83" s="255"/>
      <c r="K83" s="16"/>
      <c r="L83" s="24"/>
    </row>
    <row r="84" spans="2:12" s="3" customFormat="1" ht="18" customHeight="1">
      <c r="B84" s="273" t="s">
        <v>61</v>
      </c>
      <c r="C84" s="273"/>
      <c r="D84" s="273"/>
      <c r="E84" s="238" t="s">
        <v>60</v>
      </c>
      <c r="F84" s="239"/>
      <c r="G84" s="239"/>
      <c r="H84" s="239"/>
      <c r="I84" s="239"/>
      <c r="J84" s="240"/>
      <c r="K84" s="16"/>
      <c r="L84" s="24"/>
    </row>
    <row r="85" spans="2:12" s="3" customFormat="1" ht="18" customHeight="1">
      <c r="B85" s="273"/>
      <c r="C85" s="273"/>
      <c r="D85" s="273"/>
      <c r="E85" s="237">
        <f>G85*0.9</f>
        <v>144</v>
      </c>
      <c r="F85" s="237"/>
      <c r="G85" s="268">
        <f>precio_de_venta</f>
        <v>160</v>
      </c>
      <c r="H85" s="268"/>
      <c r="I85" s="237">
        <f>G85*1.1</f>
        <v>176</v>
      </c>
      <c r="J85" s="237"/>
      <c r="K85" s="16"/>
      <c r="L85" s="24"/>
    </row>
    <row r="86" spans="2:12" s="3" customFormat="1" ht="18" customHeight="1">
      <c r="B86" s="237">
        <f>rendimiento*0.9</f>
        <v>40500</v>
      </c>
      <c r="C86" s="237"/>
      <c r="D86" s="237"/>
      <c r="E86" s="232">
        <f>E$85*$B$86-rdto_variable!$C$44</f>
        <v>-569255.04</v>
      </c>
      <c r="F86" s="232"/>
      <c r="G86" s="232">
        <f>G$85*$B$86-rdto_variable!$C$44</f>
        <v>78744.95999999996</v>
      </c>
      <c r="H86" s="232"/>
      <c r="I86" s="232">
        <f>I$85*$B$86-rdto_variable!$C$44</f>
        <v>726744.96</v>
      </c>
      <c r="J86" s="232"/>
      <c r="K86" s="16"/>
      <c r="L86" s="24"/>
    </row>
    <row r="87" spans="2:12" s="3" customFormat="1" ht="18" customHeight="1">
      <c r="B87" s="237">
        <f>rendimiento</f>
        <v>45000</v>
      </c>
      <c r="C87" s="237"/>
      <c r="D87" s="237"/>
      <c r="E87" s="232">
        <f>E$85*$B$87-total_costos</f>
        <v>-70025.04000000004</v>
      </c>
      <c r="F87" s="232"/>
      <c r="G87" s="232">
        <f>G$85*$B$87-total_costos</f>
        <v>649974.96</v>
      </c>
      <c r="H87" s="232"/>
      <c r="I87" s="232">
        <f>I$85*$B$87-total_costos</f>
        <v>1369974.96</v>
      </c>
      <c r="J87" s="232"/>
      <c r="K87" s="16"/>
      <c r="L87" s="24"/>
    </row>
    <row r="88" spans="2:12" s="3" customFormat="1" ht="18" customHeight="1">
      <c r="B88" s="237">
        <f>rendimiento*1.1</f>
        <v>49500.00000000001</v>
      </c>
      <c r="C88" s="237"/>
      <c r="D88" s="237"/>
      <c r="E88" s="232">
        <f>E$85*$B$88-rdto_variable!$D$44</f>
        <v>429204.9600000009</v>
      </c>
      <c r="F88" s="232"/>
      <c r="G88" s="232">
        <f>G$85*$B$88-rdto_variable!$D$44</f>
        <v>1221204.960000001</v>
      </c>
      <c r="H88" s="232"/>
      <c r="I88" s="232">
        <f>I$85*$B$88-rdto_variable!$D$44</f>
        <v>2013204.9600000018</v>
      </c>
      <c r="J88" s="232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280" t="s">
        <v>71</v>
      </c>
      <c r="C90" s="281"/>
      <c r="D90" s="281"/>
      <c r="E90" s="281"/>
      <c r="F90" s="281"/>
      <c r="G90" s="281"/>
      <c r="H90" s="281"/>
      <c r="I90" s="281"/>
      <c r="J90" s="282"/>
      <c r="K90" s="16"/>
      <c r="L90" s="24"/>
    </row>
    <row r="91" spans="2:12" s="3" customFormat="1" ht="18" customHeight="1">
      <c r="B91" s="283"/>
      <c r="C91" s="284"/>
      <c r="D91" s="284"/>
      <c r="E91" s="284"/>
      <c r="F91" s="284"/>
      <c r="G91" s="284"/>
      <c r="H91" s="284"/>
      <c r="I91" s="284"/>
      <c r="J91" s="285"/>
      <c r="K91" s="16"/>
      <c r="L91" s="24"/>
    </row>
    <row r="92" spans="2:12" s="3" customFormat="1" ht="18" customHeight="1">
      <c r="B92" s="269" t="s">
        <v>61</v>
      </c>
      <c r="C92" s="264"/>
      <c r="D92" s="264"/>
      <c r="E92" s="264">
        <f>B86</f>
        <v>40500</v>
      </c>
      <c r="F92" s="264"/>
      <c r="G92" s="264">
        <f>B87</f>
        <v>45000</v>
      </c>
      <c r="H92" s="264"/>
      <c r="I92" s="264">
        <f>B88</f>
        <v>49500.00000000001</v>
      </c>
      <c r="J92" s="266"/>
      <c r="K92" s="16"/>
      <c r="L92" s="24"/>
    </row>
    <row r="93" spans="2:12" ht="18" customHeight="1">
      <c r="B93" s="270"/>
      <c r="C93" s="265"/>
      <c r="D93" s="265"/>
      <c r="E93" s="265"/>
      <c r="F93" s="265"/>
      <c r="G93" s="265"/>
      <c r="H93" s="265"/>
      <c r="I93" s="265"/>
      <c r="J93" s="267"/>
      <c r="K93" s="16"/>
      <c r="L93" s="24"/>
    </row>
    <row r="94" spans="2:12" ht="18" customHeight="1">
      <c r="B94" s="274" t="s">
        <v>62</v>
      </c>
      <c r="C94" s="275"/>
      <c r="D94" s="275"/>
      <c r="E94" s="262">
        <f>rdto_variable!C44/limon!E92</f>
        <v>158.05568</v>
      </c>
      <c r="F94" s="262"/>
      <c r="G94" s="263">
        <f>total_costos/$G$92</f>
        <v>145.556112</v>
      </c>
      <c r="H94" s="263"/>
      <c r="I94" s="262">
        <f>rdto_variable!D44/limon!I92</f>
        <v>135.3291927272727</v>
      </c>
      <c r="J94" s="278"/>
      <c r="K94" s="16"/>
      <c r="L94" s="24"/>
    </row>
    <row r="95" spans="2:12" ht="18" customHeight="1">
      <c r="B95" s="276"/>
      <c r="C95" s="277"/>
      <c r="D95" s="277"/>
      <c r="E95" s="263"/>
      <c r="F95" s="263"/>
      <c r="G95" s="263"/>
      <c r="H95" s="263"/>
      <c r="I95" s="263"/>
      <c r="J95" s="279"/>
      <c r="K95" s="16"/>
      <c r="L95" s="24"/>
    </row>
    <row r="96" spans="2:12" ht="18" customHeight="1">
      <c r="B96" s="46"/>
      <c r="C96" s="1"/>
      <c r="D96" s="3"/>
      <c r="E96" s="3"/>
      <c r="F96" s="95"/>
      <c r="G96" s="95"/>
      <c r="H96" s="95"/>
      <c r="I96" s="15"/>
      <c r="J96" s="15"/>
      <c r="K96" s="16"/>
      <c r="L96" s="24"/>
    </row>
    <row r="97" spans="2:11" s="3" customFormat="1" ht="18" customHeight="1">
      <c r="B97" s="294" t="s">
        <v>30</v>
      </c>
      <c r="C97" s="295"/>
      <c r="D97" s="295"/>
      <c r="E97" s="295"/>
      <c r="F97" s="295"/>
      <c r="G97" s="295"/>
      <c r="H97" s="295"/>
      <c r="I97" s="295"/>
      <c r="J97" s="296"/>
      <c r="K97" s="80"/>
    </row>
    <row r="98" spans="2:14" s="3" customFormat="1" ht="33" customHeight="1">
      <c r="B98" s="244" t="s">
        <v>129</v>
      </c>
      <c r="C98" s="245"/>
      <c r="D98" s="245"/>
      <c r="E98" s="245"/>
      <c r="F98" s="245"/>
      <c r="G98" s="245"/>
      <c r="H98" s="245"/>
      <c r="I98" s="245"/>
      <c r="J98" s="246"/>
      <c r="K98" s="80"/>
      <c r="N98" s="96"/>
    </row>
    <row r="99" spans="2:11" s="3" customFormat="1" ht="20.25" customHeight="1">
      <c r="B99" s="244" t="s">
        <v>138</v>
      </c>
      <c r="C99" s="245"/>
      <c r="D99" s="245"/>
      <c r="E99" s="245"/>
      <c r="F99" s="245"/>
      <c r="G99" s="245"/>
      <c r="H99" s="245"/>
      <c r="I99" s="245"/>
      <c r="J99" s="246"/>
      <c r="K99" s="81"/>
    </row>
    <row r="100" spans="2:11" s="3" customFormat="1" ht="33" customHeight="1">
      <c r="B100" s="244" t="s">
        <v>130</v>
      </c>
      <c r="C100" s="245"/>
      <c r="D100" s="245"/>
      <c r="E100" s="245"/>
      <c r="F100" s="245"/>
      <c r="G100" s="245"/>
      <c r="H100" s="245"/>
      <c r="I100" s="245"/>
      <c r="J100" s="246"/>
      <c r="K100" s="80"/>
    </row>
    <row r="101" spans="2:11" s="3" customFormat="1" ht="20.25" customHeight="1">
      <c r="B101" s="244" t="s">
        <v>131</v>
      </c>
      <c r="C101" s="245"/>
      <c r="D101" s="245"/>
      <c r="E101" s="245"/>
      <c r="F101" s="245"/>
      <c r="G101" s="245"/>
      <c r="H101" s="245"/>
      <c r="I101" s="245"/>
      <c r="J101" s="246"/>
      <c r="K101" s="80"/>
    </row>
    <row r="102" spans="2:11" s="3" customFormat="1" ht="20.25" customHeight="1">
      <c r="B102" s="247" t="s">
        <v>137</v>
      </c>
      <c r="C102" s="248"/>
      <c r="D102" s="248"/>
      <c r="E102" s="248"/>
      <c r="F102" s="248"/>
      <c r="G102" s="248"/>
      <c r="H102" s="248"/>
      <c r="I102" s="248"/>
      <c r="J102" s="249"/>
      <c r="K102" s="80"/>
    </row>
    <row r="103" spans="2:11" s="3" customFormat="1" ht="20.25" customHeight="1">
      <c r="B103" s="247" t="s">
        <v>132</v>
      </c>
      <c r="C103" s="248"/>
      <c r="D103" s="248"/>
      <c r="E103" s="248"/>
      <c r="F103" s="248"/>
      <c r="G103" s="248"/>
      <c r="H103" s="248"/>
      <c r="I103" s="248"/>
      <c r="J103" s="249"/>
      <c r="K103" s="80"/>
    </row>
    <row r="104" spans="2:11" s="3" customFormat="1" ht="20.25" customHeight="1">
      <c r="B104" s="290" t="s">
        <v>133</v>
      </c>
      <c r="C104" s="291"/>
      <c r="D104" s="291"/>
      <c r="E104" s="291"/>
      <c r="F104" s="291"/>
      <c r="G104" s="291"/>
      <c r="H104" s="291"/>
      <c r="I104" s="291"/>
      <c r="J104" s="292"/>
      <c r="K104" s="81"/>
    </row>
    <row r="105" spans="2:11" s="3" customFormat="1" ht="18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3"/>
    </row>
    <row r="106" spans="2:11" s="3" customFormat="1" ht="16.5" customHeight="1">
      <c r="B106" s="39"/>
      <c r="C106" s="39"/>
      <c r="D106" s="39"/>
      <c r="E106" s="39"/>
      <c r="F106" s="39"/>
      <c r="G106" s="40"/>
      <c r="H106" s="39"/>
      <c r="I106" s="39"/>
      <c r="J106" s="39"/>
      <c r="K106" s="10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10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2" s="3" customFormat="1" ht="15">
      <c r="B111" s="66"/>
      <c r="C111" s="66"/>
      <c r="D111" s="66"/>
      <c r="E111" s="66"/>
      <c r="F111" s="66"/>
      <c r="G111" s="67"/>
      <c r="H111" s="66"/>
      <c r="I111" s="66"/>
      <c r="J111" s="66"/>
      <c r="K111" s="68"/>
      <c r="L111" s="66"/>
    </row>
    <row r="112" spans="2:12" s="3" customFormat="1" ht="15">
      <c r="B112" s="66"/>
      <c r="C112" s="66"/>
      <c r="D112" s="66"/>
      <c r="E112" s="66"/>
      <c r="F112" s="66"/>
      <c r="G112" s="67"/>
      <c r="H112" s="66"/>
      <c r="I112" s="66"/>
      <c r="J112" s="66"/>
      <c r="K112" s="68"/>
      <c r="L112" s="66"/>
    </row>
    <row r="113" spans="2:12" s="3" customFormat="1" ht="15">
      <c r="B113" s="66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s="3" customFormat="1" ht="15">
      <c r="B114" s="66"/>
      <c r="C114" s="66"/>
      <c r="D114" s="66"/>
      <c r="E114" s="66"/>
      <c r="F114" s="66"/>
      <c r="G114" s="67"/>
      <c r="H114" s="66"/>
      <c r="I114" s="66"/>
      <c r="J114" s="66"/>
      <c r="K114" s="68"/>
      <c r="L114" s="66"/>
    </row>
    <row r="115" spans="2:12" ht="18">
      <c r="B115" s="55"/>
      <c r="C115" s="55"/>
      <c r="D115" s="56"/>
      <c r="E115" s="56"/>
      <c r="F115" s="57"/>
      <c r="G115" s="57"/>
      <c r="H115" s="57"/>
      <c r="I115" s="66"/>
      <c r="J115" s="66"/>
      <c r="K115" s="68"/>
      <c r="L115" s="66"/>
    </row>
    <row r="116" spans="2:12" ht="18">
      <c r="B116" s="55"/>
      <c r="C116" s="58"/>
      <c r="D116" s="58"/>
      <c r="E116" s="59"/>
      <c r="F116" s="58"/>
      <c r="G116" s="60"/>
      <c r="H116" s="61"/>
      <c r="I116" s="66"/>
      <c r="J116" s="66"/>
      <c r="K116" s="68"/>
      <c r="L116" s="66"/>
    </row>
    <row r="117" spans="2:12" ht="18">
      <c r="B117" s="56"/>
      <c r="C117" s="56"/>
      <c r="D117" s="56"/>
      <c r="E117" s="56"/>
      <c r="F117" s="56"/>
      <c r="G117" s="56"/>
      <c r="H117" s="56"/>
      <c r="I117" s="66"/>
      <c r="J117" s="66"/>
      <c r="K117" s="68"/>
      <c r="L117" s="66"/>
    </row>
    <row r="118" spans="2:12" ht="18">
      <c r="B118" s="55"/>
      <c r="C118" s="56"/>
      <c r="D118" s="56"/>
      <c r="E118" s="56"/>
      <c r="F118" s="56"/>
      <c r="G118" s="56"/>
      <c r="H118" s="56"/>
      <c r="I118" s="66"/>
      <c r="J118" s="66"/>
      <c r="K118" s="68"/>
      <c r="L118" s="66"/>
    </row>
    <row r="119" spans="2:12" ht="18">
      <c r="B119" s="69"/>
      <c r="C119" s="70"/>
      <c r="D119" s="70"/>
      <c r="E119" s="62"/>
      <c r="F119" s="62"/>
      <c r="G119" s="62"/>
      <c r="H119" s="62"/>
      <c r="I119" s="66"/>
      <c r="J119" s="68"/>
      <c r="K119" s="68"/>
      <c r="L119" s="66"/>
    </row>
    <row r="120" spans="2:12" ht="18">
      <c r="B120" s="69"/>
      <c r="C120" s="70"/>
      <c r="D120" s="70"/>
      <c r="E120" s="62"/>
      <c r="F120" s="62"/>
      <c r="G120" s="62"/>
      <c r="H120" s="62"/>
      <c r="I120" s="66"/>
      <c r="J120" s="68"/>
      <c r="K120" s="68"/>
      <c r="L120" s="66"/>
    </row>
    <row r="121" spans="2:12" ht="18">
      <c r="B121" s="63"/>
      <c r="C121" s="64"/>
      <c r="D121" s="64"/>
      <c r="E121" s="63"/>
      <c r="F121" s="63"/>
      <c r="G121" s="63"/>
      <c r="H121" s="65"/>
      <c r="I121" s="66"/>
      <c r="J121" s="66"/>
      <c r="K121" s="68"/>
      <c r="L121" s="66"/>
    </row>
    <row r="122" spans="2:12" ht="18">
      <c r="B122" s="56"/>
      <c r="C122" s="56"/>
      <c r="D122" s="56"/>
      <c r="E122" s="56"/>
      <c r="F122" s="56"/>
      <c r="G122" s="56"/>
      <c r="H122" s="56"/>
      <c r="I122" s="66"/>
      <c r="J122" s="66"/>
      <c r="K122" s="68"/>
      <c r="L122" s="66"/>
    </row>
    <row r="123" spans="2:12" ht="18">
      <c r="B123" s="55"/>
      <c r="C123" s="56"/>
      <c r="D123" s="56"/>
      <c r="E123" s="56"/>
      <c r="F123" s="56"/>
      <c r="G123" s="56"/>
      <c r="H123" s="56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261"/>
      <c r="C126" s="261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63"/>
      <c r="C137" s="64"/>
      <c r="D137" s="64"/>
      <c r="E137" s="63"/>
      <c r="F137" s="63"/>
      <c r="G137" s="63"/>
      <c r="H137" s="65"/>
      <c r="I137" s="66"/>
      <c r="J137" s="66"/>
      <c r="K137" s="68"/>
      <c r="L137" s="66"/>
    </row>
    <row r="138" spans="2:12" ht="18">
      <c r="B138" s="56"/>
      <c r="C138" s="56"/>
      <c r="D138" s="56"/>
      <c r="E138" s="56"/>
      <c r="F138" s="56"/>
      <c r="G138" s="56"/>
      <c r="H138" s="56"/>
      <c r="I138" s="66"/>
      <c r="J138" s="66"/>
      <c r="K138" s="68"/>
      <c r="L138" s="66"/>
    </row>
    <row r="139" spans="2:12" ht="18">
      <c r="B139" s="63"/>
      <c r="C139" s="64"/>
      <c r="D139" s="64"/>
      <c r="E139" s="63"/>
      <c r="F139" s="63"/>
      <c r="G139" s="63"/>
      <c r="H139" s="65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76"/>
      <c r="C150" s="76"/>
      <c r="D150" s="76"/>
      <c r="E150" s="76"/>
      <c r="F150" s="7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8"/>
      <c r="D153" s="68"/>
      <c r="E153" s="68"/>
      <c r="F153" s="68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8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8"/>
      <c r="D160" s="68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7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8"/>
      <c r="C173" s="68"/>
      <c r="D173" s="68"/>
      <c r="E173" s="68"/>
      <c r="F173" s="68"/>
      <c r="G173" s="68"/>
      <c r="H173" s="68"/>
      <c r="I173" s="68"/>
      <c r="J173" s="66"/>
      <c r="K173" s="68"/>
      <c r="L173" s="66"/>
    </row>
    <row r="174" spans="2:12" s="3" customFormat="1" ht="15">
      <c r="B174" s="68"/>
      <c r="C174" s="68"/>
      <c r="D174" s="68"/>
      <c r="E174" s="68"/>
      <c r="F174" s="68"/>
      <c r="G174" s="77"/>
      <c r="H174" s="68"/>
      <c r="I174" s="68"/>
      <c r="J174" s="66"/>
      <c r="K174" s="68"/>
      <c r="L174" s="77"/>
    </row>
    <row r="175" spans="2:12" s="3" customFormat="1" ht="15">
      <c r="B175" s="68"/>
      <c r="C175" s="68"/>
      <c r="D175" s="68"/>
      <c r="E175" s="68"/>
      <c r="F175" s="68"/>
      <c r="G175" s="68"/>
      <c r="H175" s="68"/>
      <c r="I175" s="78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8"/>
      <c r="I192" s="68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</sheetData>
  <sheetProtection/>
  <mergeCells count="97">
    <mergeCell ref="B104:J104"/>
    <mergeCell ref="B98:J98"/>
    <mergeCell ref="B99:J99"/>
    <mergeCell ref="E67:F67"/>
    <mergeCell ref="E87:F87"/>
    <mergeCell ref="E92:F93"/>
    <mergeCell ref="B97:J97"/>
    <mergeCell ref="E71:F71"/>
    <mergeCell ref="E60:F60"/>
    <mergeCell ref="E43:F43"/>
    <mergeCell ref="E44:F44"/>
    <mergeCell ref="E47:F47"/>
    <mergeCell ref="E50:F50"/>
    <mergeCell ref="B100:J100"/>
    <mergeCell ref="B65:I65"/>
    <mergeCell ref="I94:J95"/>
    <mergeCell ref="I85:J85"/>
    <mergeCell ref="G94:H95"/>
    <mergeCell ref="B90:J91"/>
    <mergeCell ref="J77:J78"/>
    <mergeCell ref="E62:F62"/>
    <mergeCell ref="B94:D95"/>
    <mergeCell ref="G86:H86"/>
    <mergeCell ref="G88:H88"/>
    <mergeCell ref="E72:F72"/>
    <mergeCell ref="E51:F51"/>
    <mergeCell ref="E52:F52"/>
    <mergeCell ref="E55:F55"/>
    <mergeCell ref="E61:F61"/>
    <mergeCell ref="E58:F58"/>
    <mergeCell ref="E59:F59"/>
    <mergeCell ref="G92:H93"/>
    <mergeCell ref="I92:J93"/>
    <mergeCell ref="G85:H85"/>
    <mergeCell ref="B92:D93"/>
    <mergeCell ref="B77:I78"/>
    <mergeCell ref="B84:D85"/>
    <mergeCell ref="E88:F88"/>
    <mergeCell ref="B70:D70"/>
    <mergeCell ref="E73:F73"/>
    <mergeCell ref="B63:I63"/>
    <mergeCell ref="E70:F70"/>
    <mergeCell ref="B126:C126"/>
    <mergeCell ref="B71:D71"/>
    <mergeCell ref="B88:D88"/>
    <mergeCell ref="E85:F85"/>
    <mergeCell ref="E94:F95"/>
    <mergeCell ref="B74:D74"/>
    <mergeCell ref="B101:J101"/>
    <mergeCell ref="B102:J102"/>
    <mergeCell ref="B103:J103"/>
    <mergeCell ref="B82:J82"/>
    <mergeCell ref="I88:J88"/>
    <mergeCell ref="I86:J86"/>
    <mergeCell ref="B83:J83"/>
    <mergeCell ref="B87:D87"/>
    <mergeCell ref="I87:J87"/>
    <mergeCell ref="E28:F28"/>
    <mergeCell ref="L71:O71"/>
    <mergeCell ref="G87:H87"/>
    <mergeCell ref="B73:D73"/>
    <mergeCell ref="B72:D72"/>
    <mergeCell ref="B75:I75"/>
    <mergeCell ref="E74:F74"/>
    <mergeCell ref="B86:D86"/>
    <mergeCell ref="E84:J84"/>
    <mergeCell ref="E86:F86"/>
    <mergeCell ref="D6:J6"/>
    <mergeCell ref="E20:F20"/>
    <mergeCell ref="B14:D14"/>
    <mergeCell ref="E21:F21"/>
    <mergeCell ref="B32:D32"/>
    <mergeCell ref="B30:I30"/>
    <mergeCell ref="E32:F32"/>
    <mergeCell ref="E23:F23"/>
    <mergeCell ref="E24:F24"/>
    <mergeCell ref="E25:F25"/>
    <mergeCell ref="B39:I39"/>
    <mergeCell ref="B41:D41"/>
    <mergeCell ref="E41:F41"/>
    <mergeCell ref="B2:J2"/>
    <mergeCell ref="E3:G3"/>
    <mergeCell ref="B12:E12"/>
    <mergeCell ref="G12:J12"/>
    <mergeCell ref="D4:H4"/>
    <mergeCell ref="B21:D21"/>
    <mergeCell ref="E22:F22"/>
    <mergeCell ref="E26:F26"/>
    <mergeCell ref="E38:F38"/>
    <mergeCell ref="E27:F27"/>
    <mergeCell ref="E33:F33"/>
    <mergeCell ref="E34:F34"/>
    <mergeCell ref="B38:D38"/>
    <mergeCell ref="E35:F35"/>
    <mergeCell ref="E36:F36"/>
    <mergeCell ref="E37:F37"/>
    <mergeCell ref="E29:F2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D26" sqref="D26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74</v>
      </c>
      <c r="C1" s="50">
        <v>45000</v>
      </c>
    </row>
    <row r="2" spans="2:3" ht="15">
      <c r="B2" s="47" t="s">
        <v>75</v>
      </c>
      <c r="C2" s="189">
        <f>((rendimiento-$C$1)/$C$1)+1</f>
        <v>1</v>
      </c>
    </row>
    <row r="3" ht="18">
      <c r="B3" s="13"/>
    </row>
    <row r="4" spans="2:12" ht="18">
      <c r="B4" s="297" t="s">
        <v>33</v>
      </c>
      <c r="C4" s="297"/>
      <c r="E4" s="3" t="s">
        <v>84</v>
      </c>
      <c r="K4" s="191"/>
      <c r="L4" s="10"/>
    </row>
    <row r="5" spans="1:5" ht="18">
      <c r="A5" s="192" t="s">
        <v>76</v>
      </c>
      <c r="B5" s="193" t="s">
        <v>107</v>
      </c>
      <c r="C5" s="194"/>
      <c r="D5" s="194"/>
      <c r="E5" s="195">
        <v>45000</v>
      </c>
    </row>
    <row r="6" spans="1:5" ht="18">
      <c r="A6" s="192" t="s">
        <v>76</v>
      </c>
      <c r="B6" s="193" t="s">
        <v>95</v>
      </c>
      <c r="C6" s="196"/>
      <c r="D6" s="196"/>
      <c r="E6" s="195">
        <v>45000</v>
      </c>
    </row>
    <row r="7" spans="1:5" ht="18">
      <c r="A7" s="192" t="s">
        <v>76</v>
      </c>
      <c r="B7" s="193" t="s">
        <v>79</v>
      </c>
      <c r="C7" s="196"/>
      <c r="D7" s="196"/>
      <c r="E7" s="195">
        <v>0</v>
      </c>
    </row>
    <row r="8" spans="1:5" ht="18">
      <c r="A8" s="197" t="s">
        <v>77</v>
      </c>
      <c r="B8" s="198" t="s">
        <v>102</v>
      </c>
      <c r="C8" s="201"/>
      <c r="D8" s="201"/>
      <c r="E8" s="200">
        <v>45000</v>
      </c>
    </row>
    <row r="9" spans="1:5" ht="18">
      <c r="A9" s="197" t="s">
        <v>77</v>
      </c>
      <c r="B9" s="198" t="s">
        <v>80</v>
      </c>
      <c r="C9" s="201"/>
      <c r="D9" s="201"/>
      <c r="E9" s="200">
        <v>0</v>
      </c>
    </row>
    <row r="10" spans="1:5" ht="18">
      <c r="A10" s="197" t="s">
        <v>77</v>
      </c>
      <c r="B10" s="198" t="s">
        <v>81</v>
      </c>
      <c r="C10" s="199"/>
      <c r="D10" s="199"/>
      <c r="E10" s="200">
        <v>0</v>
      </c>
    </row>
    <row r="11" spans="1:5" ht="18">
      <c r="A11" s="192" t="s">
        <v>78</v>
      </c>
      <c r="B11" s="193" t="s">
        <v>117</v>
      </c>
      <c r="C11" s="194"/>
      <c r="D11" s="194"/>
      <c r="E11" s="195">
        <f>C1/20</f>
        <v>2250</v>
      </c>
    </row>
    <row r="12" spans="1:5" ht="18">
      <c r="A12" s="192" t="s">
        <v>78</v>
      </c>
      <c r="B12" s="193" t="s">
        <v>82</v>
      </c>
      <c r="C12" s="194"/>
      <c r="D12" s="194"/>
      <c r="E12" s="195">
        <v>0</v>
      </c>
    </row>
    <row r="13" spans="1:5" ht="18">
      <c r="A13" s="192" t="s">
        <v>78</v>
      </c>
      <c r="B13" s="193" t="s">
        <v>83</v>
      </c>
      <c r="C13" s="202"/>
      <c r="D13" s="202"/>
      <c r="E13" s="195">
        <v>0</v>
      </c>
    </row>
    <row r="18" spans="2:4" ht="15">
      <c r="B18" s="298" t="s">
        <v>29</v>
      </c>
      <c r="C18" s="298"/>
      <c r="D18" s="298"/>
    </row>
    <row r="20" spans="2:4" ht="18">
      <c r="B20" s="49" t="s">
        <v>31</v>
      </c>
      <c r="C20" s="48">
        <f>limon!B86</f>
        <v>40500</v>
      </c>
      <c r="D20" s="48">
        <f>limon!B88</f>
        <v>49500.00000000001</v>
      </c>
    </row>
    <row r="21" ht="15">
      <c r="B21" s="24"/>
    </row>
    <row r="22" spans="2:4" ht="15">
      <c r="B22" s="47" t="s">
        <v>32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35</v>
      </c>
      <c r="C25" s="10">
        <f>SUM(limon!J22:J29)-_xlfn.IFERROR(INDEX(limon!$J$22:$J$29,MATCH(B5,limon!$B$22:$B$29,0)),"0")-_xlfn.IFERROR(INDEX(limon!$J$22:$J$29,MATCH(B6,limon!$B$22:$B$29,0)),"0")-_xlfn.IFERROR(INDEX(limon!$J$22:$J$29,MATCH(B7,limon!$B$22:$B$29,0)),"0")</f>
        <v>904000</v>
      </c>
      <c r="D25" s="10">
        <f>SUM(limon!J22:J29)-_xlfn.IFERROR(INDEX(limon!$J$22:$J$29,MATCH(B5,limon!$B$22:$B$29,0)),"0")-_xlfn.IFERROR(INDEX(limon!$J$22:$J$29,MATCH(B6,limon!$B$22:$B$29,0)),"0")-_xlfn.IFERROR(INDEX(limon!$J$22:$J$29,MATCH(B7,limon!$B$22:$B$29,0)),"0")</f>
        <v>904000</v>
      </c>
      <c r="E25" s="10"/>
    </row>
    <row r="26" spans="2:4" ht="18">
      <c r="B26" s="51" t="s">
        <v>36</v>
      </c>
      <c r="C26" s="190">
        <f>C22*(_xlfn.IFERROR(INDEX(limon!$J$22:$J$29,MATCH(B5,limon!$B$22:$B$29,0)),"0")+_xlfn.IFERROR(INDEX(limon!$J$22:$J$29,MATCH(B6,limon!$B$22:$B$29,0)),"0")+_xlfn.IFERROR(INDEX(limon!$J$22:$J$29,MATCH(B7,limon!$B$22:$B$29,0)),"0"))</f>
        <v>891000</v>
      </c>
      <c r="D26" s="190">
        <f>D22*(_xlfn.IFERROR(INDEX(limon!$J$22:$J$29,MATCH(B5,limon!$B$22:$B$29,0)),"0")+_xlfn.IFERROR(INDEX(limon!$J$22:$J$29,MATCH(B6,limon!$B$22:$B$29,0)),"0")+_xlfn.IFERROR(INDEX(limon!$J$22:$J$29,MATCH(B7,limon!$B$22:$B$29,0)),"0"))</f>
        <v>1089000</v>
      </c>
    </row>
    <row r="27" spans="2:4" ht="18">
      <c r="B27" s="17" t="s">
        <v>37</v>
      </c>
      <c r="C27" s="10">
        <f>SUM(C25:C26)</f>
        <v>1795000</v>
      </c>
      <c r="D27" s="10">
        <f>SUM(D25:D26)</f>
        <v>1993000</v>
      </c>
    </row>
    <row r="28" ht="18">
      <c r="B28" s="17"/>
    </row>
    <row r="29" ht="18">
      <c r="B29" s="49" t="s">
        <v>21</v>
      </c>
    </row>
    <row r="30" spans="2:4" ht="18">
      <c r="B30" s="17" t="s">
        <v>35</v>
      </c>
      <c r="C30" s="10">
        <f>SUM(limon!J33:J38)-_xlfn.IFERROR(INDEX(limon!$J$33:$J$38,MATCH(B8,limon!$B$33:$B$38,0)),"0")-_xlfn.IFERROR(INDEX(limon!$J$33:$J$38,MATCH(B9,limon!$B$33:$B$38,0)),"0")-_xlfn.IFERROR(INDEX(limon!$J$33:$J$38,MATCH(B10,limon!$B$33:$B$38,0)),"0")</f>
        <v>330000</v>
      </c>
      <c r="D30" s="10">
        <f>SUM(limon!J33:J38)-_xlfn.IFERROR(INDEX(limon!$J$33:$J$38,MATCH(B8,limon!$B$33:$B$38,0)),"0")-_xlfn.IFERROR(INDEX(limon!$J$33:$J$38,MATCH(B9,limon!$B$33:$B$38,0)),"0")-_xlfn.IFERROR(INDEX(limon!$J$33:$J$38,MATCH(B10,limon!$B$33:$B$38,0)),"0")</f>
        <v>330000</v>
      </c>
    </row>
    <row r="31" spans="2:4" ht="18">
      <c r="B31" s="51" t="s">
        <v>36</v>
      </c>
      <c r="C31" s="190">
        <f>C22*(_xlfn.IFERROR(INDEX(limon!$J$33:$J$38,MATCH(B8,limon!$B$33:$B$38,0)),"0")+_xlfn.IFERROR(INDEX(limon!$J$33:$J$38,MATCH(B9,limon!$B$33:$B$38,0)),"0")+_xlfn.IFERROR(INDEX(limon!$J$33:$J$38,MATCH(B10,limon!$B$33:$B$38,0)),"0"))</f>
        <v>151875</v>
      </c>
      <c r="D31" s="190">
        <f>D22*(_xlfn.IFERROR(INDEX(limon!$J$33:$J$38,MATCH(B8,limon!$B$33:$B$38,0)),"0")+_xlfn.IFERROR(INDEX(limon!$J$33:$J$38,MATCH(B9,limon!$B$33:$B$38,0)),"0")+_xlfn.IFERROR(INDEX(limon!$J$33:$J$38,MATCH(B10,limon!$B$33:$B$38,0)),"0"))</f>
        <v>185625.00000000003</v>
      </c>
    </row>
    <row r="32" spans="2:4" ht="18">
      <c r="B32" s="17" t="s">
        <v>37</v>
      </c>
      <c r="C32" s="10">
        <f>SUM(C30:C31)</f>
        <v>481875</v>
      </c>
      <c r="D32" s="10">
        <f>SUM(D30:D31)</f>
        <v>515625</v>
      </c>
    </row>
    <row r="34" ht="18">
      <c r="B34" s="49" t="s">
        <v>38</v>
      </c>
    </row>
    <row r="35" spans="2:4" ht="18">
      <c r="B35" s="17" t="s">
        <v>35</v>
      </c>
      <c r="C35" s="10">
        <f>SUM(limon!J42:J62)-_xlfn.IFERROR(INDEX(limon!$J$42:$J$62,MATCH(B11,limon!$B$42:$B$62,0)),"0")-_xlfn.IFERROR(INDEX(limon!$J$42:$J$62,MATCH(B12,limon!$B$42:$B$62,0)),"0")-_xlfn.IFERROR(INDEX(limon!$J$42:$J$62,MATCH(B13,limon!$B$42:$B$62,0)),"0")</f>
        <v>3206636</v>
      </c>
      <c r="D35" s="10">
        <f>SUM(limon!J42:J62)-_xlfn.IFERROR(INDEX(limon!$J$42:$J$62,MATCH(B11,limon!$B$42:$B$62,0)),"0")-_xlfn.IFERROR(INDEX(limon!$J$42:$J$62,MATCH(B12,limon!$B$42:$B$62,0)),"0")-_xlfn.IFERROR(INDEX(limon!$J$42:$J$62,MATCH(B13,limon!$B$42:$B$62,0)),"0")</f>
        <v>3206636</v>
      </c>
    </row>
    <row r="36" spans="2:4" ht="18">
      <c r="B36" s="51" t="s">
        <v>36</v>
      </c>
      <c r="C36" s="190">
        <f>C22*(_xlfn.IFERROR(INDEX(limon!$J$42:$J$62,MATCH(B11,limon!$B$42:$B$62,0)),"0")+_xlfn.IFERROR(INDEX(limon!$J$42:$J$62,MATCH(B12,limon!$B$42:$B$62,0)),"0")+_xlfn.IFERROR(INDEX(limon!$J$42:$J$62,MATCH(B13,limon!$B$42:$B$62,0)),"0"))</f>
        <v>131625</v>
      </c>
      <c r="D36" s="190">
        <f>D22*(_xlfn.IFERROR(INDEX(limon!$J$42:$J$62,MATCH(B11,limon!$B$42:$B$62,0)),"0")+_xlfn.IFERROR(INDEX(limon!$J$42:$J$62,MATCH(B12,limon!$B$42:$B$62,0)),"0")+_xlfn.IFERROR(INDEX(limon!$J$42:$J$62,MATCH(B13,limon!$B$42:$B$62,0)),"0"))</f>
        <v>160875</v>
      </c>
    </row>
    <row r="37" spans="2:4" ht="18">
      <c r="B37" s="17" t="s">
        <v>37</v>
      </c>
      <c r="C37" s="10">
        <f>SUM(C35:C36)</f>
        <v>3338261</v>
      </c>
      <c r="D37" s="10">
        <f>SUM(D35:D36)</f>
        <v>3367511</v>
      </c>
    </row>
    <row r="38" spans="2:4" ht="15">
      <c r="B38" s="24"/>
      <c r="C38" s="28"/>
      <c r="D38" s="28"/>
    </row>
    <row r="39" spans="2:4" ht="18">
      <c r="B39" s="53" t="s">
        <v>39</v>
      </c>
      <c r="C39" s="54">
        <f>C27+C32+C37</f>
        <v>5615136</v>
      </c>
      <c r="D39" s="54">
        <f>D27+D32+D37</f>
        <v>5876136</v>
      </c>
    </row>
    <row r="40" ht="15">
      <c r="B40" s="24"/>
    </row>
    <row r="41" spans="2:4" ht="18">
      <c r="B41" s="52" t="s">
        <v>0</v>
      </c>
      <c r="C41" s="10">
        <f>C39*limon!$G$67</f>
        <v>280756.8</v>
      </c>
      <c r="D41" s="10">
        <f>D39*limon!$G$67</f>
        <v>293806.8</v>
      </c>
    </row>
    <row r="42" spans="2:4" ht="18">
      <c r="B42" s="52" t="s">
        <v>25</v>
      </c>
      <c r="C42" s="10">
        <f>C39*tasa_interes_mensual*meses_financiamiento*0.5</f>
        <v>505362.24</v>
      </c>
      <c r="D42" s="10">
        <f>D39*tasa_interes_mensual*meses_financiamiento*0.5</f>
        <v>528852.24</v>
      </c>
    </row>
    <row r="43" ht="15">
      <c r="B43" s="24"/>
    </row>
    <row r="44" spans="2:4" ht="18">
      <c r="B44" s="53" t="s">
        <v>28</v>
      </c>
      <c r="C44" s="54">
        <f>C39+C41+C42</f>
        <v>6401255.04</v>
      </c>
      <c r="D44" s="54">
        <f>D39+D41+D42</f>
        <v>6698795.04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2017-10-06T20:07:18Z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