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6" activeTab="0"/>
  </bookViews>
  <sheets>
    <sheet name="Maíz-O higgin 2019-20 Tec. Alt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<sst xmlns="http://schemas.openxmlformats.org/spreadsheetml/2006/main" count="168" uniqueCount="119">
  <si>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</si>
  <si>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</si>
  <si>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</si>
  <si>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</si>
  <si>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</si>
  <si>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</si>
  <si>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</si>
  <si>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</si>
  <si>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</si>
  <si>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</si>
  <si>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</si>
  <si>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</si>
  <si>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</si>
  <si>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</si>
  <si>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</si>
  <si>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</si>
  <si>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</si>
  <si>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</si>
  <si>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</si>
  <si>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</si>
  <si>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</si>
  <si>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</si>
  <si>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</si>
  <si>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</si>
  <si>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</si>
  <si>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</si>
  <si>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</si>
  <si>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</si>
  <si>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</si>
  <si>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</si>
  <si>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</si>
  <si>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</si>
  <si>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</si>
  <si>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</si>
  <si>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</si>
  <si>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</si>
  <si>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</si>
  <si>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</si>
  <si>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</si>
  <si>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</si>
  <si>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</si>
  <si>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</si>
  <si>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</si>
  <si>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</si>
  <si>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</si>
  <si>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</si>
  <si>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</si>
  <si>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</si>
  <si>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</si>
  <si>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</si>
  <si>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</si>
  <si>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</si>
  <si>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Costo oportunidad (arriendo)</t>
  </si>
  <si>
    <t xml:space="preserve">Administración </t>
  </si>
  <si>
    <t>Contribuciones</t>
  </si>
  <si>
    <t>Otros:</t>
  </si>
  <si>
    <t>Rendimiento (quintales/hectárea)</t>
  </si>
  <si>
    <t>Costo unitario ($/quintal)</t>
  </si>
  <si>
    <t>Precio ($/quintal)</t>
  </si>
  <si>
    <t>Rendimiento (quintales/hectárea):</t>
  </si>
  <si>
    <t>Semilla</t>
  </si>
  <si>
    <t>Tecnología de riego: surco</t>
  </si>
  <si>
    <t>Densidad (plantas/hectárea): sin información</t>
  </si>
  <si>
    <t>Destino de producción: industrial</t>
  </si>
  <si>
    <t>Tecnología: Alta</t>
  </si>
  <si>
    <t>Fecha de cosecha: marzo - mayo</t>
  </si>
  <si>
    <t>Apoyo a la siembra y fertilización</t>
  </si>
  <si>
    <t>Riegos</t>
  </si>
  <si>
    <t>Paleo regueros</t>
  </si>
  <si>
    <t>Labores de cosecha</t>
  </si>
  <si>
    <t>Picado de rastrojo</t>
  </si>
  <si>
    <t xml:space="preserve">Arado </t>
  </si>
  <si>
    <t xml:space="preserve">Rastraje </t>
  </si>
  <si>
    <t>Siembra</t>
  </si>
  <si>
    <t>Aplicación pesticidas post emergencia</t>
  </si>
  <si>
    <t>Cultivador - abonador</t>
  </si>
  <si>
    <t>hectárea</t>
  </si>
  <si>
    <t>bolsa</t>
  </si>
  <si>
    <t>tonelada</t>
  </si>
  <si>
    <t>unidad</t>
  </si>
  <si>
    <t>Variedad: intermedio</t>
  </si>
  <si>
    <t>1 hectárea julio 2020</t>
  </si>
  <si>
    <r>
      <rPr>
        <sz val="11"/>
        <rFont val="Arial"/>
        <family val="2"/>
      </rPr>
      <t>(1) Nombre científico del maíz grano</t>
    </r>
    <r>
      <rPr>
        <b/>
        <sz val="11"/>
        <rFont val="Arial"/>
        <family val="2"/>
      </rPr>
      <t>.</t>
    </r>
  </si>
  <si>
    <t>(2) El precio del maíz grano  utilizado en el análisis de sensibilidad corresponde al precio promedio regional durante la temporada 2019/2020. Año de sequía afectando a los rendimientos del cultivo.</t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</si>
  <si>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</si>
  <si>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</si>
  <si>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</si>
  <si>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1,50%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</si>
  <si>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</si>
  <si>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</si>
  <si>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</si>
  <si>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</si>
  <si>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</si>
  <si>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</si>
  <si>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</si>
  <si>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</si>
  <si>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 xml:space="preserve"> Mezcla (17-20-20)</t>
  </si>
  <si>
    <t xml:space="preserve"> Urea</t>
  </si>
  <si>
    <t xml:space="preserve"> Adengo 465 SC</t>
  </si>
  <si>
    <t xml:space="preserve"> Clorpirifós 48% CE</t>
  </si>
  <si>
    <t xml:space="preserve"> Induce Ph 900 SL</t>
  </si>
  <si>
    <t xml:space="preserve"> Flete insumo - producto</t>
  </si>
  <si>
    <t xml:space="preserve"> Secado maíz a 14,5%</t>
  </si>
  <si>
    <r>
      <t xml:space="preserve"> Análisis de suelo (fertilidad completa) </t>
    </r>
    <r>
      <rPr>
        <vertAlign val="superscript"/>
        <sz val="14"/>
        <rFont val="Arial"/>
        <family val="2"/>
      </rPr>
      <t>(5)</t>
    </r>
  </si>
  <si>
    <t>Fecha de siembra: septiembre - noviembre</t>
  </si>
  <si>
    <t>septiembre - noviembre</t>
  </si>
  <si>
    <t>noviembre - marzo</t>
  </si>
  <si>
    <t>noviembre - enero</t>
  </si>
  <si>
    <t>marzo - mayo</t>
  </si>
  <si>
    <t>marzo - junio</t>
  </si>
  <si>
    <t>agosto - noviembre</t>
  </si>
  <si>
    <t>octubre - enero</t>
  </si>
  <si>
    <t>junio-noviembre</t>
  </si>
  <si>
    <t>octubre - diciembre</t>
  </si>
  <si>
    <t>septiembre-noviembre</t>
  </si>
  <si>
    <t>septiembre - diciembre</t>
  </si>
  <si>
    <t>junio - octubre</t>
  </si>
  <si>
    <r>
      <t>Maíz (Zea mays L.)</t>
    </r>
    <r>
      <rPr>
        <b/>
        <vertAlign val="superscript"/>
        <sz val="15"/>
        <rFont val="Arial"/>
        <family val="2"/>
      </rPr>
      <t>(1)</t>
    </r>
  </si>
  <si>
    <t>Región de O'Higgins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</si>
</sst>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37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1" fillId="34" borderId="14" xfId="0" applyFont="1" applyFill="1" applyBorder="1" applyAlignment="1">
      <alignment/>
    </xf>
    <xf numFmtId="3" fontId="65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3" xfId="56" applyNumberFormat="1" applyFont="1" applyFill="1" applyBorder="1" applyAlignment="1" applyProtection="1">
      <alignment horizontal="center" vertical="center" wrapText="1"/>
      <protection/>
    </xf>
    <xf numFmtId="0" fontId="63" fillId="23" borderId="23" xfId="56" applyFont="1" applyFill="1" applyBorder="1" applyAlignment="1" applyProtection="1">
      <alignment horizontal="center" vertical="center" wrapText="1"/>
      <protection/>
    </xf>
    <xf numFmtId="3" fontId="63" fillId="23" borderId="23" xfId="56" applyNumberFormat="1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horizontal="right" vertical="center"/>
      <protection/>
    </xf>
    <xf numFmtId="0" fontId="63" fillId="23" borderId="23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 horizontal="left"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4" xfId="56" applyNumberFormat="1" applyFont="1" applyFill="1" applyBorder="1" applyAlignment="1">
      <alignment horizontal="right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0" fontId="10" fillId="34" borderId="24" xfId="67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4" xfId="56" applyNumberFormat="1" applyFont="1" applyFill="1" applyBorder="1" applyAlignment="1" applyProtection="1">
      <alignment horizontal="center"/>
      <protection/>
    </xf>
    <xf numFmtId="17" fontId="10" fillId="0" borderId="19" xfId="67" applyNumberFormat="1" applyFont="1" applyFill="1" applyBorder="1" applyAlignment="1" applyProtection="1">
      <alignment/>
      <protection/>
    </xf>
    <xf numFmtId="0" fontId="61" fillId="0" borderId="14" xfId="0" applyFont="1" applyFill="1" applyBorder="1" applyAlignment="1">
      <alignment/>
    </xf>
    <xf numFmtId="180" fontId="10" fillId="0" borderId="20" xfId="67" applyFont="1" applyFill="1" applyBorder="1" applyAlignment="1" applyProtection="1">
      <alignment/>
      <protection/>
    </xf>
    <xf numFmtId="180" fontId="10" fillId="0" borderId="0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0" fontId="10" fillId="0" borderId="13" xfId="67" applyFont="1" applyFill="1" applyBorder="1" applyAlignment="1" applyProtection="1">
      <alignment/>
      <protection/>
    </xf>
    <xf numFmtId="181" fontId="10" fillId="0" borderId="14" xfId="67" applyNumberFormat="1" applyFont="1" applyFill="1" applyBorder="1" applyAlignment="1">
      <alignment/>
      <protection/>
    </xf>
    <xf numFmtId="0" fontId="60" fillId="0" borderId="14" xfId="0" applyFont="1" applyFill="1" applyBorder="1" applyAlignment="1">
      <alignment/>
    </xf>
    <xf numFmtId="3" fontId="8" fillId="0" borderId="14" xfId="67" applyNumberFormat="1" applyFont="1" applyFill="1" applyBorder="1" applyAlignment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/>
    </xf>
    <xf numFmtId="180" fontId="8" fillId="0" borderId="0" xfId="67" applyFont="1" applyFill="1" applyBorder="1" applyAlignment="1" applyProtection="1">
      <alignment/>
      <protection/>
    </xf>
    <xf numFmtId="181" fontId="10" fillId="0" borderId="13" xfId="67" applyNumberFormat="1" applyFont="1" applyFill="1" applyBorder="1" applyAlignment="1" applyProtection="1">
      <alignment/>
      <protection/>
    </xf>
    <xf numFmtId="0" fontId="60" fillId="0" borderId="13" xfId="0" applyFont="1" applyFill="1" applyBorder="1" applyAlignment="1">
      <alignment/>
    </xf>
    <xf numFmtId="180" fontId="8" fillId="0" borderId="13" xfId="67" applyFont="1" applyFill="1" applyBorder="1" applyAlignment="1" applyProtection="1">
      <alignment/>
      <protection/>
    </xf>
    <xf numFmtId="3" fontId="8" fillId="0" borderId="17" xfId="55" applyNumberFormat="1" applyFont="1" applyFill="1" applyBorder="1" applyAlignment="1">
      <alignment horizontal="right"/>
      <protection/>
    </xf>
    <xf numFmtId="195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8" fillId="34" borderId="16" xfId="55" applyFont="1" applyFill="1" applyBorder="1">
      <alignment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181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3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 horizontal="left"/>
      <protection/>
    </xf>
    <xf numFmtId="180" fontId="10" fillId="34" borderId="16" xfId="67" applyFont="1" applyFill="1" applyBorder="1" applyAlignment="1" applyProtection="1">
      <alignment horizontal="left"/>
      <protection/>
    </xf>
    <xf numFmtId="3" fontId="10" fillId="34" borderId="21" xfId="56" applyNumberFormat="1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 applyProtection="1">
      <alignment/>
      <protection/>
    </xf>
    <xf numFmtId="3" fontId="10" fillId="0" borderId="22" xfId="56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1" xfId="55" applyFont="1" applyFill="1" applyBorder="1">
      <alignment/>
      <protection/>
    </xf>
    <xf numFmtId="0" fontId="10" fillId="34" borderId="19" xfId="56" applyFont="1" applyFill="1" applyBorder="1" applyAlignment="1">
      <alignment vertical="center"/>
      <protection/>
    </xf>
    <xf numFmtId="0" fontId="10" fillId="34" borderId="17" xfId="56" applyFont="1" applyFill="1" applyBorder="1" applyAlignment="1">
      <alignment vertical="center"/>
      <protection/>
    </xf>
    <xf numFmtId="0" fontId="10" fillId="34" borderId="20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34" borderId="15" xfId="56" applyFont="1" applyFill="1" applyBorder="1" applyAlignment="1">
      <alignment vertical="center"/>
      <protection/>
    </xf>
    <xf numFmtId="0" fontId="10" fillId="34" borderId="16" xfId="56" applyFont="1" applyFill="1" applyBorder="1" applyAlignment="1">
      <alignment vertic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 horizontal="left"/>
      <protection locked="0"/>
    </xf>
    <xf numFmtId="0" fontId="8" fillId="34" borderId="20" xfId="67" applyNumberFormat="1" applyFont="1" applyFill="1" applyBorder="1" applyAlignment="1" applyProtection="1">
      <alignment horizontal="left" vertical="center" wrapText="1"/>
      <protection/>
    </xf>
    <xf numFmtId="0" fontId="8" fillId="34" borderId="0" xfId="67" applyNumberFormat="1" applyFont="1" applyFill="1" applyBorder="1" applyAlignment="1" applyProtection="1">
      <alignment horizontal="left" vertical="center" wrapText="1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180" fontId="10" fillId="34" borderId="15" xfId="67" applyFont="1" applyFill="1" applyBorder="1" applyAlignment="1" applyProtection="1">
      <alignment horizontal="lef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6" fillId="34" borderId="23" xfId="67" applyNumberFormat="1" applyFont="1" applyFill="1" applyBorder="1" applyAlignment="1" applyProtection="1">
      <alignment horizontal="left"/>
      <protection/>
    </xf>
    <xf numFmtId="0" fontId="66" fillId="34" borderId="18" xfId="67" applyNumberFormat="1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>
      <alignment/>
      <protection/>
    </xf>
    <xf numFmtId="0" fontId="10" fillId="34" borderId="23" xfId="56" applyFont="1" applyFill="1" applyBorder="1" applyAlignment="1">
      <alignment/>
      <protection/>
    </xf>
    <xf numFmtId="0" fontId="10" fillId="34" borderId="25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64" fillId="23" borderId="25" xfId="56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12" fillId="34" borderId="20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3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8" borderId="19" xfId="55" applyFont="1" applyFill="1" applyBorder="1" applyAlignment="1">
      <alignment horizontal="center"/>
      <protection/>
    </xf>
    <xf numFmtId="0" fontId="63" fillId="38" borderId="14" xfId="55" applyFont="1" applyFill="1" applyBorder="1" applyAlignment="1">
      <alignment horizontal="center"/>
      <protection/>
    </xf>
    <xf numFmtId="0" fontId="63" fillId="38" borderId="17" xfId="55" applyFont="1" applyFill="1" applyBorder="1" applyAlignment="1">
      <alignment horizontal="center"/>
      <protection/>
    </xf>
    <xf numFmtId="0" fontId="63" fillId="38" borderId="25" xfId="55" applyFont="1" applyFill="1" applyBorder="1" applyAlignment="1">
      <alignment horizontal="center"/>
      <protection/>
    </xf>
    <xf numFmtId="0" fontId="63" fillId="38" borderId="23" xfId="55" applyFont="1" applyFill="1" applyBorder="1" applyAlignment="1">
      <alignment horizontal="center"/>
      <protection/>
    </xf>
    <xf numFmtId="0" fontId="63" fillId="38" borderId="18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8" borderId="19" xfId="67" applyNumberFormat="1" applyFont="1" applyFill="1" applyBorder="1" applyAlignment="1" applyProtection="1">
      <alignment horizontal="center"/>
      <protection/>
    </xf>
    <xf numFmtId="17" fontId="63" fillId="38" borderId="14" xfId="67" applyNumberFormat="1" applyFont="1" applyFill="1" applyBorder="1" applyAlignment="1" applyProtection="1">
      <alignment horizontal="center"/>
      <protection/>
    </xf>
    <xf numFmtId="17" fontId="63" fillId="38" borderId="17" xfId="67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9" borderId="19" xfId="0" applyFont="1" applyFill="1" applyBorder="1" applyAlignment="1">
      <alignment horizontal="center"/>
    </xf>
    <xf numFmtId="0" fontId="63" fillId="39" borderId="14" xfId="0" applyFont="1" applyFill="1" applyBorder="1" applyAlignment="1">
      <alignment horizontal="center"/>
    </xf>
    <xf numFmtId="0" fontId="63" fillId="39" borderId="17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9" borderId="15" xfId="0" applyFont="1" applyFill="1" applyBorder="1" applyAlignment="1">
      <alignment horizontal="center"/>
    </xf>
    <xf numFmtId="0" fontId="63" fillId="39" borderId="13" xfId="0" applyFont="1" applyFill="1" applyBorder="1" applyAlignment="1">
      <alignment horizontal="center"/>
    </xf>
    <xf numFmtId="0" fontId="63" fillId="39" borderId="16" xfId="0" applyFont="1" applyFill="1" applyBorder="1" applyAlignment="1">
      <alignment horizont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63" fillId="23" borderId="23" xfId="56" applyFont="1" applyFill="1" applyBorder="1" applyAlignment="1" applyProtection="1">
      <alignment horizontal="center" vertical="center"/>
      <protection/>
    </xf>
    <xf numFmtId="0" fontId="63" fillId="39" borderId="19" xfId="0" applyFont="1" applyFill="1" applyBorder="1" applyAlignment="1">
      <alignment horizontal="center" vertical="center"/>
    </xf>
    <xf numFmtId="0" fontId="63" fillId="39" borderId="14" xfId="0" applyFont="1" applyFill="1" applyBorder="1" applyAlignment="1">
      <alignment horizontal="center" vertical="center"/>
    </xf>
    <xf numFmtId="0" fontId="63" fillId="39" borderId="17" xfId="0" applyFont="1" applyFill="1" applyBorder="1" applyAlignment="1">
      <alignment horizontal="center" vertical="center"/>
    </xf>
    <xf numFmtId="0" fontId="63" fillId="39" borderId="15" xfId="0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2</xdr:col>
      <xdr:colOff>628650</xdr:colOff>
      <xdr:row>95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16217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8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6.574218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25"/>
      <c r="C2" s="125"/>
      <c r="D2" s="287" t="s">
        <v>33</v>
      </c>
      <c r="E2" s="287"/>
      <c r="F2" s="287"/>
      <c r="G2" s="287"/>
      <c r="H2" s="287"/>
      <c r="I2" s="287"/>
      <c r="J2" s="287"/>
    </row>
    <row r="3" spans="2:11" s="3" customFormat="1" ht="18" customHeight="1">
      <c r="B3" s="88"/>
      <c r="C3" s="104"/>
      <c r="D3" s="288" t="s">
        <v>117</v>
      </c>
      <c r="E3" s="288"/>
      <c r="F3" s="288"/>
      <c r="G3" s="288"/>
      <c r="H3" s="288"/>
      <c r="I3" s="288"/>
      <c r="J3" s="288"/>
      <c r="K3" s="14"/>
    </row>
    <row r="4" spans="2:11" s="3" customFormat="1" ht="18" customHeight="1">
      <c r="B4" s="88"/>
      <c r="C4" s="104"/>
      <c r="D4" s="288" t="s">
        <v>118</v>
      </c>
      <c r="E4" s="288"/>
      <c r="F4" s="288"/>
      <c r="G4" s="288"/>
      <c r="H4" s="288"/>
      <c r="I4" s="288"/>
      <c r="J4" s="288"/>
      <c r="K4" s="14"/>
    </row>
    <row r="5" spans="2:11" s="3" customFormat="1" ht="18" customHeight="1">
      <c r="B5" s="42"/>
      <c r="C5" s="42"/>
      <c r="D5" s="105"/>
      <c r="E5" s="44"/>
      <c r="F5" s="120"/>
      <c r="G5" s="120"/>
      <c r="H5" s="120"/>
      <c r="I5" s="120"/>
      <c r="J5" s="120"/>
      <c r="K5" s="16"/>
    </row>
    <row r="6" spans="2:11" s="3" customFormat="1" ht="18" customHeight="1">
      <c r="B6" s="42"/>
      <c r="C6" s="42"/>
      <c r="D6" s="296" t="s">
        <v>29</v>
      </c>
      <c r="E6" s="297"/>
      <c r="F6" s="297"/>
      <c r="G6" s="297"/>
      <c r="H6" s="297"/>
      <c r="I6" s="297"/>
      <c r="J6" s="298"/>
      <c r="K6" s="16"/>
    </row>
    <row r="7" spans="2:11" s="3" customFormat="1" ht="18" customHeight="1">
      <c r="B7" s="42"/>
      <c r="C7" s="42"/>
      <c r="D7" s="197" t="s">
        <v>81</v>
      </c>
      <c r="E7" s="198"/>
      <c r="F7" s="198"/>
      <c r="G7" s="203" t="s">
        <v>80</v>
      </c>
      <c r="H7" s="204"/>
      <c r="I7" s="205"/>
      <c r="J7" s="86"/>
      <c r="K7" s="16"/>
    </row>
    <row r="8" spans="2:11" s="3" customFormat="1" ht="18" customHeight="1">
      <c r="B8" s="42"/>
      <c r="C8" s="42"/>
      <c r="D8" s="199" t="s">
        <v>61</v>
      </c>
      <c r="E8" s="200"/>
      <c r="F8" s="200"/>
      <c r="G8" s="206" t="s">
        <v>63</v>
      </c>
      <c r="H8" s="207"/>
      <c r="I8" s="208"/>
      <c r="J8" s="90"/>
      <c r="K8" s="16"/>
    </row>
    <row r="9" spans="2:11" s="3" customFormat="1" ht="18" customHeight="1">
      <c r="B9" s="42"/>
      <c r="C9" s="42"/>
      <c r="D9" s="199" t="s">
        <v>62</v>
      </c>
      <c r="E9" s="200"/>
      <c r="F9" s="200"/>
      <c r="G9" s="206" t="s">
        <v>64</v>
      </c>
      <c r="H9" s="207"/>
      <c r="I9" s="208"/>
      <c r="J9" s="90"/>
      <c r="K9" s="18"/>
    </row>
    <row r="10" spans="2:11" s="3" customFormat="1" ht="18" customHeight="1">
      <c r="B10" s="42"/>
      <c r="C10" s="42"/>
      <c r="D10" s="201" t="s">
        <v>104</v>
      </c>
      <c r="E10" s="202"/>
      <c r="F10" s="202"/>
      <c r="G10" s="209" t="s">
        <v>65</v>
      </c>
      <c r="H10" s="210"/>
      <c r="I10" s="211"/>
      <c r="J10" s="91"/>
      <c r="K10" s="18"/>
    </row>
    <row r="11" spans="2:11" s="3" customFormat="1" ht="18" customHeight="1">
      <c r="B11" s="42"/>
      <c r="C11" s="42"/>
      <c r="D11" s="26"/>
      <c r="E11" s="87"/>
      <c r="F11" s="87"/>
      <c r="G11" s="26"/>
      <c r="H11" s="88"/>
      <c r="I11" s="89"/>
      <c r="J11" s="113"/>
      <c r="K11" s="18"/>
    </row>
    <row r="12" spans="2:11" ht="17.25">
      <c r="B12" s="289" t="s">
        <v>30</v>
      </c>
      <c r="C12" s="290"/>
      <c r="D12" s="290"/>
      <c r="E12" s="291"/>
      <c r="F12" s="41"/>
      <c r="G12" s="292" t="s">
        <v>4</v>
      </c>
      <c r="H12" s="293"/>
      <c r="I12" s="293"/>
      <c r="J12" s="294"/>
      <c r="K12" s="16"/>
    </row>
    <row r="13" spans="2:11" ht="17.25">
      <c r="B13" s="96" t="s">
        <v>59</v>
      </c>
      <c r="C13" s="97"/>
      <c r="D13" s="85"/>
      <c r="E13" s="212">
        <v>150</v>
      </c>
      <c r="F13" s="42"/>
      <c r="G13" s="100" t="s">
        <v>47</v>
      </c>
      <c r="H13" s="85"/>
      <c r="I13" s="85"/>
      <c r="J13" s="126">
        <f>E13*E14</f>
        <v>2475000</v>
      </c>
      <c r="K13" s="16"/>
    </row>
    <row r="14" spans="2:13" ht="18" customHeight="1">
      <c r="B14" s="158" t="s">
        <v>90</v>
      </c>
      <c r="C14" s="159"/>
      <c r="D14" s="159"/>
      <c r="E14" s="213">
        <v>16500</v>
      </c>
      <c r="F14" s="42"/>
      <c r="G14" s="101" t="s">
        <v>44</v>
      </c>
      <c r="H14" s="42"/>
      <c r="I14" s="42"/>
      <c r="J14" s="127">
        <f>J26+J36+J52+J55</f>
        <v>1367349.9</v>
      </c>
      <c r="K14" s="16"/>
      <c r="M14" s="146"/>
    </row>
    <row r="15" spans="2:11" ht="17.25">
      <c r="B15" s="119" t="s">
        <v>34</v>
      </c>
      <c r="C15" s="43"/>
      <c r="D15" s="42"/>
      <c r="E15" s="213">
        <v>20000</v>
      </c>
      <c r="F15" s="42"/>
      <c r="G15" s="101" t="s">
        <v>46</v>
      </c>
      <c r="H15" s="44"/>
      <c r="I15" s="42"/>
      <c r="J15" s="127">
        <f>J26+J36+J52+J55+J65</f>
        <v>2017390.8939999999</v>
      </c>
      <c r="K15" s="16"/>
    </row>
    <row r="16" spans="2:11" ht="17.25">
      <c r="B16" s="119" t="s">
        <v>2</v>
      </c>
      <c r="C16" s="45"/>
      <c r="D16" s="42"/>
      <c r="E16" s="214">
        <v>0.015</v>
      </c>
      <c r="F16" s="42"/>
      <c r="G16" s="101" t="s">
        <v>48</v>
      </c>
      <c r="H16" s="42"/>
      <c r="I16" s="42"/>
      <c r="J16" s="127">
        <f>J13-J14</f>
        <v>1107650.1</v>
      </c>
      <c r="K16" s="16"/>
    </row>
    <row r="17" spans="2:11" ht="17.25">
      <c r="B17" s="119" t="s">
        <v>3</v>
      </c>
      <c r="C17" s="45"/>
      <c r="D17" s="42"/>
      <c r="E17" s="232">
        <v>8</v>
      </c>
      <c r="F17" s="42"/>
      <c r="G17" s="101" t="s">
        <v>49</v>
      </c>
      <c r="H17" s="42"/>
      <c r="I17" s="42"/>
      <c r="J17" s="127">
        <f>J13-J15</f>
        <v>457609.10600000015</v>
      </c>
      <c r="K17" s="16"/>
    </row>
    <row r="18" spans="2:11" ht="17.25">
      <c r="B18" s="98"/>
      <c r="C18" s="99"/>
      <c r="D18" s="92"/>
      <c r="E18" s="215"/>
      <c r="F18" s="42"/>
      <c r="G18" s="102" t="s">
        <v>26</v>
      </c>
      <c r="H18" s="92"/>
      <c r="I18" s="103"/>
      <c r="J18" s="128">
        <f>G82</f>
        <v>13449.272626666665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07" t="s">
        <v>27</v>
      </c>
      <c r="C20" s="106"/>
      <c r="D20" s="106"/>
      <c r="E20" s="295"/>
      <c r="F20" s="295"/>
      <c r="G20" s="108"/>
      <c r="H20" s="109"/>
      <c r="I20" s="117"/>
      <c r="J20" s="110"/>
      <c r="K20" s="16"/>
    </row>
    <row r="21" spans="2:11" s="3" customFormat="1" ht="18" customHeight="1">
      <c r="B21" s="162" t="s">
        <v>7</v>
      </c>
      <c r="C21" s="163"/>
      <c r="D21" s="163"/>
      <c r="E21" s="176" t="s">
        <v>35</v>
      </c>
      <c r="F21" s="175"/>
      <c r="G21" s="129" t="s">
        <v>5</v>
      </c>
      <c r="H21" s="130" t="s">
        <v>6</v>
      </c>
      <c r="I21" s="131" t="s">
        <v>41</v>
      </c>
      <c r="J21" s="132" t="s">
        <v>1</v>
      </c>
      <c r="K21" s="16"/>
    </row>
    <row r="22" spans="2:10" s="3" customFormat="1" ht="17.25">
      <c r="B22" s="219" t="s">
        <v>66</v>
      </c>
      <c r="C22" s="220"/>
      <c r="D22" s="221"/>
      <c r="E22" s="233" t="s">
        <v>105</v>
      </c>
      <c r="F22" s="234"/>
      <c r="G22" s="216">
        <v>0.5</v>
      </c>
      <c r="H22" s="133" t="s">
        <v>37</v>
      </c>
      <c r="I22" s="184">
        <f>$E$15</f>
        <v>20000</v>
      </c>
      <c r="J22" s="145">
        <f>G22*I22</f>
        <v>10000</v>
      </c>
    </row>
    <row r="23" spans="2:10" s="3" customFormat="1" ht="17.25">
      <c r="B23" s="139" t="s">
        <v>67</v>
      </c>
      <c r="C23" s="140"/>
      <c r="D23" s="187"/>
      <c r="E23" s="235" t="s">
        <v>106</v>
      </c>
      <c r="F23" s="236"/>
      <c r="G23" s="217">
        <v>4</v>
      </c>
      <c r="H23" s="134" t="s">
        <v>37</v>
      </c>
      <c r="I23" s="185">
        <f>$E$15</f>
        <v>20000</v>
      </c>
      <c r="J23" s="10">
        <f>G23*I23</f>
        <v>80000</v>
      </c>
    </row>
    <row r="24" spans="2:10" s="3" customFormat="1" ht="17.25">
      <c r="B24" s="139" t="s">
        <v>68</v>
      </c>
      <c r="C24" s="140"/>
      <c r="D24" s="187"/>
      <c r="E24" s="235" t="s">
        <v>107</v>
      </c>
      <c r="F24" s="236"/>
      <c r="G24" s="217">
        <v>0.5</v>
      </c>
      <c r="H24" s="134" t="s">
        <v>37</v>
      </c>
      <c r="I24" s="185">
        <f>$E$15</f>
        <v>20000</v>
      </c>
      <c r="J24" s="10">
        <f>G24*I24</f>
        <v>10000</v>
      </c>
    </row>
    <row r="25" spans="2:10" s="3" customFormat="1" ht="17.25">
      <c r="B25" s="82" t="s">
        <v>69</v>
      </c>
      <c r="C25" s="116"/>
      <c r="D25" s="83"/>
      <c r="E25" s="237" t="s">
        <v>108</v>
      </c>
      <c r="F25" s="238"/>
      <c r="G25" s="218">
        <v>0.5</v>
      </c>
      <c r="H25" s="134" t="s">
        <v>37</v>
      </c>
      <c r="I25" s="185">
        <f>$E$15</f>
        <v>20000</v>
      </c>
      <c r="J25" s="10">
        <f>G25*I25</f>
        <v>10000</v>
      </c>
    </row>
    <row r="26" spans="2:11" ht="17.25">
      <c r="B26" s="166" t="s">
        <v>8</v>
      </c>
      <c r="C26" s="167"/>
      <c r="D26" s="167"/>
      <c r="E26" s="167"/>
      <c r="F26" s="167"/>
      <c r="G26" s="167"/>
      <c r="H26" s="167"/>
      <c r="I26" s="167"/>
      <c r="J26" s="93">
        <f>SUM(J22:J25)</f>
        <v>110000</v>
      </c>
      <c r="K26" s="3"/>
    </row>
    <row r="27" spans="2:10" s="3" customFormat="1" ht="17.25">
      <c r="B27" s="84"/>
      <c r="C27" s="84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162" t="s">
        <v>91</v>
      </c>
      <c r="C28" s="163"/>
      <c r="D28" s="163"/>
      <c r="E28" s="176" t="s">
        <v>35</v>
      </c>
      <c r="F28" s="176"/>
      <c r="G28" s="129" t="s">
        <v>5</v>
      </c>
      <c r="H28" s="130" t="s">
        <v>6</v>
      </c>
      <c r="I28" s="131" t="s">
        <v>41</v>
      </c>
      <c r="J28" s="132" t="s">
        <v>1</v>
      </c>
      <c r="K28" s="3"/>
    </row>
    <row r="29" spans="2:10" s="3" customFormat="1" ht="17.25">
      <c r="B29" s="139" t="s">
        <v>70</v>
      </c>
      <c r="C29" s="140"/>
      <c r="D29" s="187"/>
      <c r="E29" s="233" t="s">
        <v>109</v>
      </c>
      <c r="F29" s="234"/>
      <c r="G29" s="217">
        <v>1</v>
      </c>
      <c r="H29" s="135" t="s">
        <v>76</v>
      </c>
      <c r="I29" s="186">
        <v>40000</v>
      </c>
      <c r="J29" s="114">
        <f>I29*G29</f>
        <v>40000</v>
      </c>
    </row>
    <row r="30" spans="2:10" s="3" customFormat="1" ht="17.25">
      <c r="B30" s="139" t="s">
        <v>71</v>
      </c>
      <c r="C30" s="140"/>
      <c r="D30" s="187"/>
      <c r="E30" s="235" t="s">
        <v>110</v>
      </c>
      <c r="F30" s="236"/>
      <c r="G30" s="217">
        <v>1</v>
      </c>
      <c r="H30" s="135" t="s">
        <v>76</v>
      </c>
      <c r="I30" s="186">
        <v>70000</v>
      </c>
      <c r="J30" s="115">
        <f>G30*I30</f>
        <v>70000</v>
      </c>
    </row>
    <row r="31" spans="2:10" s="3" customFormat="1" ht="17.25">
      <c r="B31" s="139" t="s">
        <v>72</v>
      </c>
      <c r="C31" s="140"/>
      <c r="D31" s="187"/>
      <c r="E31" s="235" t="s">
        <v>105</v>
      </c>
      <c r="F31" s="236"/>
      <c r="G31" s="217">
        <v>2</v>
      </c>
      <c r="H31" s="135" t="s">
        <v>76</v>
      </c>
      <c r="I31" s="186">
        <v>35000</v>
      </c>
      <c r="J31" s="115">
        <f>G31*I31</f>
        <v>70000</v>
      </c>
    </row>
    <row r="32" spans="2:10" s="3" customFormat="1" ht="17.25">
      <c r="B32" s="139" t="s">
        <v>73</v>
      </c>
      <c r="C32" s="140"/>
      <c r="D32" s="187"/>
      <c r="E32" s="235" t="s">
        <v>105</v>
      </c>
      <c r="F32" s="236"/>
      <c r="G32" s="217">
        <v>1</v>
      </c>
      <c r="H32" s="135" t="s">
        <v>76</v>
      </c>
      <c r="I32" s="186">
        <v>35000</v>
      </c>
      <c r="J32" s="115">
        <f>I32*G32</f>
        <v>35000</v>
      </c>
    </row>
    <row r="33" spans="2:10" s="3" customFormat="1" ht="17.25">
      <c r="B33" s="139" t="s">
        <v>74</v>
      </c>
      <c r="C33" s="140"/>
      <c r="D33" s="187"/>
      <c r="E33" s="235" t="s">
        <v>105</v>
      </c>
      <c r="F33" s="236"/>
      <c r="G33" s="217">
        <v>2</v>
      </c>
      <c r="H33" s="135" t="s">
        <v>76</v>
      </c>
      <c r="I33" s="186">
        <v>15000</v>
      </c>
      <c r="J33" s="115">
        <f>I33*G33</f>
        <v>30000</v>
      </c>
    </row>
    <row r="34" spans="2:10" s="3" customFormat="1" ht="17.25">
      <c r="B34" s="139" t="s">
        <v>75</v>
      </c>
      <c r="C34" s="140"/>
      <c r="D34" s="187"/>
      <c r="E34" s="235" t="s">
        <v>111</v>
      </c>
      <c r="F34" s="236"/>
      <c r="G34" s="217">
        <v>1</v>
      </c>
      <c r="H34" s="135" t="s">
        <v>76</v>
      </c>
      <c r="I34" s="186">
        <v>25000</v>
      </c>
      <c r="J34" s="115">
        <f>I34*G34</f>
        <v>25000</v>
      </c>
    </row>
    <row r="35" spans="2:10" s="3" customFormat="1" ht="17.25">
      <c r="B35" s="82" t="s">
        <v>69</v>
      </c>
      <c r="C35" s="116"/>
      <c r="D35" s="116"/>
      <c r="E35" s="237" t="s">
        <v>108</v>
      </c>
      <c r="F35" s="238"/>
      <c r="G35" s="218">
        <v>1</v>
      </c>
      <c r="H35" s="135" t="s">
        <v>76</v>
      </c>
      <c r="I35" s="222">
        <v>70000</v>
      </c>
      <c r="J35" s="115">
        <v>65000</v>
      </c>
    </row>
    <row r="36" spans="2:12" ht="15.75" customHeight="1">
      <c r="B36" s="166" t="s">
        <v>10</v>
      </c>
      <c r="C36" s="167"/>
      <c r="D36" s="167"/>
      <c r="E36" s="167"/>
      <c r="F36" s="167"/>
      <c r="G36" s="167"/>
      <c r="H36" s="167"/>
      <c r="I36" s="167"/>
      <c r="J36" s="111">
        <f>SUM(J29:J35)</f>
        <v>335000</v>
      </c>
      <c r="K36" s="3"/>
      <c r="L36" s="16"/>
    </row>
    <row r="37" spans="2:12" s="3" customFormat="1" ht="17.25">
      <c r="B37" s="84"/>
      <c r="C37" s="84"/>
      <c r="D37" s="84"/>
      <c r="E37" s="84"/>
      <c r="F37" s="84"/>
      <c r="G37" s="25"/>
      <c r="H37" s="84"/>
      <c r="I37" s="84"/>
      <c r="J37" s="27"/>
      <c r="L37" s="19"/>
    </row>
    <row r="38" spans="2:12" s="3" customFormat="1" ht="18" customHeight="1">
      <c r="B38" s="162" t="s">
        <v>92</v>
      </c>
      <c r="C38" s="163"/>
      <c r="D38" s="163"/>
      <c r="E38" s="176" t="s">
        <v>35</v>
      </c>
      <c r="F38" s="176"/>
      <c r="G38" s="129" t="s">
        <v>5</v>
      </c>
      <c r="H38" s="130" t="s">
        <v>6</v>
      </c>
      <c r="I38" s="131" t="s">
        <v>41</v>
      </c>
      <c r="J38" s="132" t="s">
        <v>1</v>
      </c>
      <c r="L38" s="24"/>
    </row>
    <row r="39" spans="2:12" s="3" customFormat="1" ht="17.25">
      <c r="B39" s="239" t="s">
        <v>60</v>
      </c>
      <c r="C39" s="240"/>
      <c r="D39" s="240"/>
      <c r="E39" s="233" t="s">
        <v>112</v>
      </c>
      <c r="F39" s="234"/>
      <c r="G39" s="144">
        <v>2.1</v>
      </c>
      <c r="H39" s="136" t="s">
        <v>77</v>
      </c>
      <c r="I39" s="194">
        <v>88900</v>
      </c>
      <c r="J39" s="226">
        <f>G39*I39</f>
        <v>186690</v>
      </c>
      <c r="L39" s="24"/>
    </row>
    <row r="40" spans="2:12" s="3" customFormat="1" ht="17.25">
      <c r="B40" s="241" t="s">
        <v>24</v>
      </c>
      <c r="C40" s="118"/>
      <c r="D40" s="118"/>
      <c r="E40" s="179"/>
      <c r="F40" s="180"/>
      <c r="G40" s="138"/>
      <c r="H40" s="135"/>
      <c r="I40" s="186"/>
      <c r="J40" s="227"/>
      <c r="L40" s="24"/>
    </row>
    <row r="41" spans="2:12" s="3" customFormat="1" ht="17.25">
      <c r="B41" s="245" t="s">
        <v>96</v>
      </c>
      <c r="C41" s="181"/>
      <c r="D41" s="230"/>
      <c r="E41" s="235" t="s">
        <v>105</v>
      </c>
      <c r="F41" s="236"/>
      <c r="G41" s="217">
        <v>750</v>
      </c>
      <c r="H41" s="135" t="s">
        <v>38</v>
      </c>
      <c r="I41" s="195">
        <v>337</v>
      </c>
      <c r="J41" s="227">
        <f>G41*I41</f>
        <v>252750</v>
      </c>
      <c r="L41" s="24"/>
    </row>
    <row r="42" spans="2:12" s="3" customFormat="1" ht="17.25">
      <c r="B42" s="245" t="s">
        <v>97</v>
      </c>
      <c r="C42" s="181"/>
      <c r="D42" s="230"/>
      <c r="E42" s="235" t="s">
        <v>113</v>
      </c>
      <c r="F42" s="236"/>
      <c r="G42" s="217">
        <v>600</v>
      </c>
      <c r="H42" s="135" t="s">
        <v>38</v>
      </c>
      <c r="I42" s="195">
        <v>320</v>
      </c>
      <c r="J42" s="227">
        <f>G42*I42</f>
        <v>192000</v>
      </c>
      <c r="L42" s="24"/>
    </row>
    <row r="43" spans="2:12" s="3" customFormat="1" ht="17.25">
      <c r="B43" s="242" t="s">
        <v>51</v>
      </c>
      <c r="C43" s="243"/>
      <c r="D43" s="230"/>
      <c r="E43" s="179"/>
      <c r="F43" s="180"/>
      <c r="G43" s="138"/>
      <c r="H43" s="135"/>
      <c r="I43" s="186"/>
      <c r="J43" s="227"/>
      <c r="L43" s="24"/>
    </row>
    <row r="44" spans="2:12" s="3" customFormat="1" ht="17.25">
      <c r="B44" s="229" t="s">
        <v>98</v>
      </c>
      <c r="C44" s="230"/>
      <c r="D44" s="230"/>
      <c r="E44" s="235" t="s">
        <v>114</v>
      </c>
      <c r="F44" s="236"/>
      <c r="G44" s="217">
        <v>0.4</v>
      </c>
      <c r="H44" s="135" t="s">
        <v>39</v>
      </c>
      <c r="I44" s="195">
        <v>96620</v>
      </c>
      <c r="J44" s="227">
        <f>G44*I44</f>
        <v>38648</v>
      </c>
      <c r="L44" s="24"/>
    </row>
    <row r="45" spans="2:12" s="3" customFormat="1" ht="17.25">
      <c r="B45" s="244" t="s">
        <v>25</v>
      </c>
      <c r="C45" s="118"/>
      <c r="D45" s="118"/>
      <c r="E45" s="179"/>
      <c r="F45" s="180"/>
      <c r="G45" s="138"/>
      <c r="H45" s="135"/>
      <c r="I45" s="186"/>
      <c r="J45" s="227"/>
      <c r="L45" s="24"/>
    </row>
    <row r="46" spans="2:12" s="3" customFormat="1" ht="17.25">
      <c r="B46" s="229" t="s">
        <v>99</v>
      </c>
      <c r="C46" s="230"/>
      <c r="D46" s="231"/>
      <c r="E46" s="235" t="s">
        <v>114</v>
      </c>
      <c r="F46" s="236"/>
      <c r="G46" s="217">
        <v>4</v>
      </c>
      <c r="H46" s="183" t="s">
        <v>39</v>
      </c>
      <c r="I46" s="182">
        <v>5170</v>
      </c>
      <c r="J46" s="227">
        <f>G46*I46</f>
        <v>20680</v>
      </c>
      <c r="L46" s="24"/>
    </row>
    <row r="47" spans="2:12" s="3" customFormat="1" ht="17.25">
      <c r="B47" s="244" t="s">
        <v>55</v>
      </c>
      <c r="C47" s="230"/>
      <c r="D47" s="230"/>
      <c r="E47" s="179"/>
      <c r="F47" s="180"/>
      <c r="G47" s="141"/>
      <c r="H47" s="137"/>
      <c r="I47" s="186"/>
      <c r="J47" s="28"/>
      <c r="L47" s="24"/>
    </row>
    <row r="48" spans="2:12" s="3" customFormat="1" ht="17.25">
      <c r="B48" s="245" t="s">
        <v>100</v>
      </c>
      <c r="C48" s="246"/>
      <c r="D48" s="247"/>
      <c r="E48" s="235" t="s">
        <v>115</v>
      </c>
      <c r="F48" s="236"/>
      <c r="G48" s="190">
        <v>1</v>
      </c>
      <c r="H48" s="137" t="s">
        <v>39</v>
      </c>
      <c r="I48" s="195">
        <v>12670</v>
      </c>
      <c r="J48" s="228">
        <f>G48*I48</f>
        <v>12670</v>
      </c>
      <c r="L48" s="24"/>
    </row>
    <row r="49" spans="2:12" s="3" customFormat="1" ht="17.25">
      <c r="B49" s="245" t="s">
        <v>101</v>
      </c>
      <c r="C49" s="123"/>
      <c r="D49" s="223"/>
      <c r="E49" s="235" t="s">
        <v>108</v>
      </c>
      <c r="F49" s="236"/>
      <c r="G49" s="190">
        <f>E13*100/1000</f>
        <v>15</v>
      </c>
      <c r="H49" s="137" t="s">
        <v>78</v>
      </c>
      <c r="I49" s="195">
        <v>6000</v>
      </c>
      <c r="J49" s="228">
        <f>G49*I49</f>
        <v>90000</v>
      </c>
      <c r="L49" s="24"/>
    </row>
    <row r="50" spans="2:12" s="3" customFormat="1" ht="17.25">
      <c r="B50" s="245" t="s">
        <v>102</v>
      </c>
      <c r="C50" s="123"/>
      <c r="D50" s="223"/>
      <c r="E50" s="235" t="s">
        <v>108</v>
      </c>
      <c r="F50" s="236"/>
      <c r="G50" s="191">
        <f>E13*100/1000</f>
        <v>15</v>
      </c>
      <c r="H50" s="137" t="s">
        <v>78</v>
      </c>
      <c r="I50" s="195">
        <v>4000</v>
      </c>
      <c r="J50" s="228">
        <f>G50*I50</f>
        <v>60000</v>
      </c>
      <c r="L50" s="24"/>
    </row>
    <row r="51" spans="2:12" s="3" customFormat="1" ht="18" customHeight="1">
      <c r="B51" s="248" t="s">
        <v>103</v>
      </c>
      <c r="C51" s="224"/>
      <c r="D51" s="225"/>
      <c r="E51" s="237" t="s">
        <v>116</v>
      </c>
      <c r="F51" s="238"/>
      <c r="G51" s="192">
        <v>0.1</v>
      </c>
      <c r="H51" s="193" t="s">
        <v>79</v>
      </c>
      <c r="I51" s="196">
        <v>38000</v>
      </c>
      <c r="J51" s="227">
        <f>G51*I51</f>
        <v>3800</v>
      </c>
      <c r="L51" s="24"/>
    </row>
    <row r="52" spans="2:14" ht="17.25">
      <c r="B52" s="160" t="s">
        <v>11</v>
      </c>
      <c r="C52" s="161"/>
      <c r="D52" s="161"/>
      <c r="E52" s="161"/>
      <c r="F52" s="161"/>
      <c r="G52" s="161"/>
      <c r="H52" s="161"/>
      <c r="I52" s="161"/>
      <c r="J52" s="112">
        <f>SUM(J39:J51)</f>
        <v>857238</v>
      </c>
      <c r="K52" s="16"/>
      <c r="M52" s="16"/>
      <c r="N52" s="16"/>
    </row>
    <row r="53" spans="2:14" s="3" customFormat="1" ht="17.25">
      <c r="B53" s="29"/>
      <c r="C53" s="29"/>
      <c r="D53" s="29"/>
      <c r="E53" s="29"/>
      <c r="F53" s="29"/>
      <c r="G53" s="30"/>
      <c r="H53" s="29"/>
      <c r="I53" s="29"/>
      <c r="J53" s="31"/>
      <c r="K53" s="16"/>
      <c r="M53" s="16"/>
      <c r="N53" s="16"/>
    </row>
    <row r="54" spans="2:16" ht="18" customHeight="1">
      <c r="B54" s="162" t="s">
        <v>42</v>
      </c>
      <c r="C54" s="163"/>
      <c r="D54" s="163"/>
      <c r="E54" s="174"/>
      <c r="F54" s="174"/>
      <c r="G54" s="129" t="s">
        <v>5</v>
      </c>
      <c r="H54" s="130" t="s">
        <v>6</v>
      </c>
      <c r="I54" s="131"/>
      <c r="J54" s="132" t="s">
        <v>1</v>
      </c>
      <c r="K54" s="16"/>
      <c r="M54" s="16"/>
      <c r="N54" s="16"/>
      <c r="O54" s="9"/>
      <c r="P54" s="9"/>
    </row>
    <row r="55" spans="2:14" s="3" customFormat="1" ht="17.25">
      <c r="B55" s="249" t="s">
        <v>50</v>
      </c>
      <c r="C55" s="250"/>
      <c r="D55" s="251"/>
      <c r="E55" s="252"/>
      <c r="F55" s="253"/>
      <c r="G55" s="256">
        <v>0.05</v>
      </c>
      <c r="H55" s="254" t="s">
        <v>36</v>
      </c>
      <c r="I55" s="255"/>
      <c r="J55" s="255">
        <f>(J26+J36+J52)*G55</f>
        <v>65111.9</v>
      </c>
      <c r="K55" s="16"/>
      <c r="M55" s="16"/>
      <c r="N55" s="16"/>
    </row>
    <row r="56" spans="11:14" s="3" customFormat="1" ht="17.25">
      <c r="K56" s="16"/>
      <c r="M56" s="16"/>
      <c r="N56" s="16"/>
    </row>
    <row r="57" spans="2:14" s="3" customFormat="1" ht="17.25">
      <c r="B57" s="164" t="s">
        <v>43</v>
      </c>
      <c r="C57" s="165"/>
      <c r="D57" s="165"/>
      <c r="E57" s="165"/>
      <c r="F57" s="165"/>
      <c r="G57" s="165"/>
      <c r="H57" s="165"/>
      <c r="I57" s="165"/>
      <c r="J57" s="93">
        <f>J26+J36+J52+J55</f>
        <v>1367349.9</v>
      </c>
      <c r="K57" s="16"/>
      <c r="M57" s="16"/>
      <c r="N57" s="16"/>
    </row>
    <row r="58" spans="2:14" s="3" customFormat="1" ht="17.25">
      <c r="B58" s="118"/>
      <c r="C58" s="118"/>
      <c r="D58" s="118"/>
      <c r="E58" s="118"/>
      <c r="F58" s="118"/>
      <c r="G58" s="32"/>
      <c r="H58" s="118"/>
      <c r="I58" s="118"/>
      <c r="J58" s="27"/>
      <c r="K58" s="16"/>
      <c r="M58" s="16"/>
      <c r="N58" s="16"/>
    </row>
    <row r="59" spans="2:14" s="3" customFormat="1" ht="21">
      <c r="B59" s="107" t="s">
        <v>45</v>
      </c>
      <c r="C59" s="106"/>
      <c r="D59" s="106"/>
      <c r="E59" s="20"/>
      <c r="F59" s="20"/>
      <c r="G59" s="21"/>
      <c r="H59" s="22"/>
      <c r="I59" s="23"/>
      <c r="J59" s="23"/>
      <c r="K59" s="16"/>
      <c r="M59" s="16"/>
      <c r="N59" s="16"/>
    </row>
    <row r="60" spans="2:14" s="3" customFormat="1" ht="18" customHeight="1">
      <c r="B60" s="257" t="s">
        <v>31</v>
      </c>
      <c r="C60" s="258"/>
      <c r="D60" s="258"/>
      <c r="E60" s="322"/>
      <c r="F60" s="322"/>
      <c r="G60" s="129" t="s">
        <v>5</v>
      </c>
      <c r="H60" s="130" t="s">
        <v>6</v>
      </c>
      <c r="I60" s="131"/>
      <c r="J60" s="132" t="s">
        <v>1</v>
      </c>
      <c r="K60" s="16"/>
      <c r="M60" s="16"/>
      <c r="N60" s="16"/>
    </row>
    <row r="61" spans="2:15" s="3" customFormat="1" ht="18" customHeight="1">
      <c r="B61" s="259" t="s">
        <v>93</v>
      </c>
      <c r="C61" s="153"/>
      <c r="D61" s="153"/>
      <c r="E61" s="177"/>
      <c r="F61" s="178"/>
      <c r="G61" s="142">
        <f>E16</f>
        <v>0.015</v>
      </c>
      <c r="H61" s="143" t="s">
        <v>36</v>
      </c>
      <c r="I61" s="155"/>
      <c r="J61" s="11">
        <f>J57*E16*E17*0.5</f>
        <v>82040.99399999999</v>
      </c>
      <c r="K61" s="16"/>
      <c r="L61" s="318"/>
      <c r="M61" s="318"/>
      <c r="N61" s="318"/>
      <c r="O61" s="318"/>
    </row>
    <row r="62" spans="2:18" ht="18" customHeight="1" outlineLevel="1">
      <c r="B62" s="139" t="s">
        <v>52</v>
      </c>
      <c r="C62" s="140"/>
      <c r="D62" s="140"/>
      <c r="E62" s="151"/>
      <c r="F62" s="147"/>
      <c r="G62" s="148"/>
      <c r="H62" s="153"/>
      <c r="I62" s="156"/>
      <c r="J62" s="188">
        <v>500000</v>
      </c>
      <c r="L62"/>
      <c r="M62"/>
      <c r="N62"/>
      <c r="O62"/>
      <c r="P62"/>
      <c r="Q62"/>
      <c r="R62"/>
    </row>
    <row r="63" spans="2:18" ht="18" customHeight="1" outlineLevel="1">
      <c r="B63" s="139" t="s">
        <v>53</v>
      </c>
      <c r="C63" s="140"/>
      <c r="D63" s="140"/>
      <c r="E63" s="151"/>
      <c r="F63" s="147"/>
      <c r="G63" s="148"/>
      <c r="H63" s="153"/>
      <c r="I63" s="156"/>
      <c r="J63" s="188">
        <v>18000</v>
      </c>
      <c r="K63" s="9">
        <v>2</v>
      </c>
      <c r="L63"/>
      <c r="M63"/>
      <c r="N63"/>
      <c r="O63"/>
      <c r="P63"/>
      <c r="Q63"/>
      <c r="R63"/>
    </row>
    <row r="64" spans="2:18" ht="18" customHeight="1" outlineLevel="1">
      <c r="B64" s="82" t="s">
        <v>54</v>
      </c>
      <c r="C64" s="116"/>
      <c r="D64" s="116"/>
      <c r="E64" s="152"/>
      <c r="F64" s="149"/>
      <c r="G64" s="150"/>
      <c r="H64" s="154"/>
      <c r="I64" s="157"/>
      <c r="J64" s="189">
        <v>50000</v>
      </c>
      <c r="L64"/>
      <c r="M64"/>
      <c r="N64"/>
      <c r="O64"/>
      <c r="P64"/>
      <c r="Q64"/>
      <c r="R64"/>
    </row>
    <row r="65" spans="2:14" ht="17.25">
      <c r="B65" s="166" t="s">
        <v>28</v>
      </c>
      <c r="C65" s="167"/>
      <c r="D65" s="167"/>
      <c r="E65" s="167"/>
      <c r="F65" s="167"/>
      <c r="G65" s="167"/>
      <c r="H65" s="167"/>
      <c r="I65" s="167"/>
      <c r="J65" s="93">
        <f>SUM(J61:J64)</f>
        <v>650040.994</v>
      </c>
      <c r="K65" s="16"/>
      <c r="M65" s="16"/>
      <c r="N65" s="16"/>
    </row>
    <row r="66" spans="2:12" s="3" customFormat="1" ht="17.25">
      <c r="B66" s="84"/>
      <c r="C66" s="84"/>
      <c r="D66" s="84"/>
      <c r="E66" s="84"/>
      <c r="F66" s="84"/>
      <c r="G66" s="25"/>
      <c r="H66" s="84"/>
      <c r="I66" s="84"/>
      <c r="J66" s="27"/>
      <c r="K66" s="16"/>
      <c r="L66" s="16"/>
    </row>
    <row r="67" spans="2:12" ht="17.25">
      <c r="B67" s="168" t="s">
        <v>13</v>
      </c>
      <c r="C67" s="169"/>
      <c r="D67" s="169"/>
      <c r="E67" s="169"/>
      <c r="F67" s="169"/>
      <c r="G67" s="169"/>
      <c r="H67" s="169"/>
      <c r="I67" s="169"/>
      <c r="J67" s="172">
        <f>J57+J65</f>
        <v>2017390.8939999999</v>
      </c>
      <c r="K67" s="16"/>
      <c r="L67" s="16"/>
    </row>
    <row r="68" spans="2:12" s="3" customFormat="1" ht="17.25">
      <c r="B68" s="170"/>
      <c r="C68" s="171"/>
      <c r="D68" s="171"/>
      <c r="E68" s="171"/>
      <c r="F68" s="171"/>
      <c r="G68" s="171"/>
      <c r="H68" s="171"/>
      <c r="I68" s="171"/>
      <c r="J68" s="173"/>
      <c r="K68" s="16"/>
      <c r="L68" s="16"/>
    </row>
    <row r="69" spans="2:12" s="3" customFormat="1" ht="18" customHeight="1">
      <c r="B69" s="121"/>
      <c r="C69" s="121"/>
      <c r="D69" s="121"/>
      <c r="E69" s="121"/>
      <c r="F69" s="121"/>
      <c r="G69" s="121"/>
      <c r="H69" s="121"/>
      <c r="I69" s="121"/>
      <c r="J69" s="122"/>
      <c r="K69" s="16"/>
      <c r="L69" s="16"/>
    </row>
    <row r="70" spans="2:12" ht="18" customHeight="1">
      <c r="B70" s="309" t="s">
        <v>94</v>
      </c>
      <c r="C70" s="310"/>
      <c r="D70" s="310"/>
      <c r="E70" s="310"/>
      <c r="F70" s="310"/>
      <c r="G70" s="310"/>
      <c r="H70" s="310"/>
      <c r="I70" s="310"/>
      <c r="J70" s="311"/>
      <c r="K70" s="16"/>
      <c r="L70" s="24"/>
    </row>
    <row r="71" spans="2:12" ht="18" customHeight="1">
      <c r="B71" s="315" t="s">
        <v>40</v>
      </c>
      <c r="C71" s="316"/>
      <c r="D71" s="316"/>
      <c r="E71" s="316"/>
      <c r="F71" s="316"/>
      <c r="G71" s="316"/>
      <c r="H71" s="316"/>
      <c r="I71" s="316"/>
      <c r="J71" s="317"/>
      <c r="K71" s="16"/>
      <c r="L71" s="24"/>
    </row>
    <row r="72" spans="2:12" s="3" customFormat="1" ht="18" customHeight="1">
      <c r="B72" s="329" t="s">
        <v>56</v>
      </c>
      <c r="C72" s="330"/>
      <c r="D72" s="331"/>
      <c r="E72" s="282" t="s">
        <v>58</v>
      </c>
      <c r="F72" s="283"/>
      <c r="G72" s="283"/>
      <c r="H72" s="283"/>
      <c r="I72" s="283"/>
      <c r="J72" s="284"/>
      <c r="K72" s="16"/>
      <c r="L72" s="24"/>
    </row>
    <row r="73" spans="2:12" s="3" customFormat="1" ht="18" customHeight="1">
      <c r="B73" s="332"/>
      <c r="C73" s="333"/>
      <c r="D73" s="334"/>
      <c r="E73" s="279">
        <f>G73*0.9</f>
        <v>14850</v>
      </c>
      <c r="F73" s="281"/>
      <c r="G73" s="285">
        <f>E14</f>
        <v>16500</v>
      </c>
      <c r="H73" s="286"/>
      <c r="I73" s="279">
        <f>G73*1.1</f>
        <v>18150</v>
      </c>
      <c r="J73" s="281"/>
      <c r="K73" s="16"/>
      <c r="L73" s="24"/>
    </row>
    <row r="74" spans="2:12" s="3" customFormat="1" ht="18" customHeight="1">
      <c r="B74" s="279">
        <f>+B75*0.9</f>
        <v>135</v>
      </c>
      <c r="C74" s="280"/>
      <c r="D74" s="281"/>
      <c r="E74" s="277">
        <f>E$73*$B$74-$J$67</f>
        <v>-12640.893999999855</v>
      </c>
      <c r="F74" s="278"/>
      <c r="G74" s="277">
        <f>G$73*$B$74-$J$67</f>
        <v>210109.10600000015</v>
      </c>
      <c r="H74" s="278"/>
      <c r="I74" s="277">
        <f>I$73*$B$74-$J$67</f>
        <v>432859.10600000015</v>
      </c>
      <c r="J74" s="278"/>
      <c r="K74" s="16"/>
      <c r="L74" s="24"/>
    </row>
    <row r="75" spans="2:12" s="3" customFormat="1" ht="18" customHeight="1">
      <c r="B75" s="279">
        <f>+E13</f>
        <v>150</v>
      </c>
      <c r="C75" s="280"/>
      <c r="D75" s="281"/>
      <c r="E75" s="277">
        <f>E$73*$B$75-$J$67</f>
        <v>210109.10600000015</v>
      </c>
      <c r="F75" s="278"/>
      <c r="G75" s="277">
        <f>G$73*$B$75-$J$67</f>
        <v>457609.10600000015</v>
      </c>
      <c r="H75" s="278"/>
      <c r="I75" s="277">
        <f>I$73*$B$75-$J$67</f>
        <v>705109.1060000001</v>
      </c>
      <c r="J75" s="278"/>
      <c r="K75" s="16"/>
      <c r="L75" s="24"/>
    </row>
    <row r="76" spans="2:12" s="3" customFormat="1" ht="18" customHeight="1">
      <c r="B76" s="279">
        <f>+B75*1.1</f>
        <v>165</v>
      </c>
      <c r="C76" s="280"/>
      <c r="D76" s="281"/>
      <c r="E76" s="277">
        <f>E$73*$B$76-$J$67</f>
        <v>432859.10600000015</v>
      </c>
      <c r="F76" s="278"/>
      <c r="G76" s="277">
        <f>G$73*$B$76-$J$67</f>
        <v>705109.1060000001</v>
      </c>
      <c r="H76" s="278"/>
      <c r="I76" s="277">
        <f>I$73*$B$76-$J$67</f>
        <v>977359.1060000001</v>
      </c>
      <c r="J76" s="278"/>
      <c r="K76" s="16"/>
      <c r="L76" s="24"/>
    </row>
    <row r="77" spans="2:12" s="3" customFormat="1" ht="18" customHeight="1">
      <c r="B77" s="34"/>
      <c r="C77" s="34"/>
      <c r="D77" s="35"/>
      <c r="E77" s="35"/>
      <c r="F77" s="35"/>
      <c r="G77" s="36"/>
      <c r="H77" s="12"/>
      <c r="I77" s="15"/>
      <c r="J77" s="15"/>
      <c r="K77" s="16"/>
      <c r="L77" s="24"/>
    </row>
    <row r="78" spans="2:12" s="3" customFormat="1" ht="18" customHeight="1">
      <c r="B78" s="323" t="s">
        <v>95</v>
      </c>
      <c r="C78" s="324"/>
      <c r="D78" s="324"/>
      <c r="E78" s="324"/>
      <c r="F78" s="324"/>
      <c r="G78" s="324"/>
      <c r="H78" s="324"/>
      <c r="I78" s="324"/>
      <c r="J78" s="325"/>
      <c r="K78" s="16"/>
      <c r="L78" s="24"/>
    </row>
    <row r="79" spans="2:12" s="3" customFormat="1" ht="18" customHeight="1">
      <c r="B79" s="326"/>
      <c r="C79" s="327"/>
      <c r="D79" s="327"/>
      <c r="E79" s="327"/>
      <c r="F79" s="327"/>
      <c r="G79" s="327"/>
      <c r="H79" s="327"/>
      <c r="I79" s="327"/>
      <c r="J79" s="328"/>
      <c r="K79" s="16"/>
      <c r="L79" s="24"/>
    </row>
    <row r="80" spans="2:12" s="3" customFormat="1" ht="18" customHeight="1">
      <c r="B80" s="263" t="s">
        <v>56</v>
      </c>
      <c r="C80" s="264"/>
      <c r="D80" s="264"/>
      <c r="E80" s="264">
        <f>B74</f>
        <v>135</v>
      </c>
      <c r="F80" s="264"/>
      <c r="G80" s="264">
        <f>E13</f>
        <v>150</v>
      </c>
      <c r="H80" s="264"/>
      <c r="I80" s="264">
        <f>B76</f>
        <v>165</v>
      </c>
      <c r="J80" s="271"/>
      <c r="K80" s="16"/>
      <c r="L80" s="24"/>
    </row>
    <row r="81" spans="2:12" ht="18" customHeight="1">
      <c r="B81" s="265"/>
      <c r="C81" s="266"/>
      <c r="D81" s="266"/>
      <c r="E81" s="266"/>
      <c r="F81" s="266"/>
      <c r="G81" s="266"/>
      <c r="H81" s="266"/>
      <c r="I81" s="266"/>
      <c r="J81" s="272"/>
      <c r="K81" s="16"/>
      <c r="L81" s="24"/>
    </row>
    <row r="82" spans="2:12" ht="18" customHeight="1">
      <c r="B82" s="267" t="s">
        <v>57</v>
      </c>
      <c r="C82" s="268"/>
      <c r="D82" s="268"/>
      <c r="E82" s="273">
        <f>$J$67/E80</f>
        <v>14943.63625185185</v>
      </c>
      <c r="F82" s="273"/>
      <c r="G82" s="273">
        <f>$J$67/G80</f>
        <v>13449.272626666665</v>
      </c>
      <c r="H82" s="273"/>
      <c r="I82" s="273">
        <f>$J$67/I80</f>
        <v>12226.611478787878</v>
      </c>
      <c r="J82" s="275"/>
      <c r="K82" s="16"/>
      <c r="L82" s="24"/>
    </row>
    <row r="83" spans="2:12" ht="18" customHeight="1">
      <c r="B83" s="269"/>
      <c r="C83" s="270"/>
      <c r="D83" s="270"/>
      <c r="E83" s="274"/>
      <c r="F83" s="274"/>
      <c r="G83" s="274"/>
      <c r="H83" s="274"/>
      <c r="I83" s="274"/>
      <c r="J83" s="276"/>
      <c r="K83" s="16"/>
      <c r="L83" s="24"/>
    </row>
    <row r="84" spans="2:12" ht="18" customHeight="1">
      <c r="B84" s="46"/>
      <c r="C84" s="1"/>
      <c r="D84" s="3"/>
      <c r="E84" s="3"/>
      <c r="F84" s="94"/>
      <c r="G84" s="94"/>
      <c r="H84" s="94"/>
      <c r="I84" s="15"/>
      <c r="J84" s="15"/>
      <c r="K84" s="16"/>
      <c r="L84" s="24"/>
    </row>
    <row r="85" spans="2:11" s="3" customFormat="1" ht="18" customHeight="1">
      <c r="B85" s="319" t="s">
        <v>15</v>
      </c>
      <c r="C85" s="320"/>
      <c r="D85" s="320"/>
      <c r="E85" s="320"/>
      <c r="F85" s="320"/>
      <c r="G85" s="320"/>
      <c r="H85" s="320"/>
      <c r="I85" s="320"/>
      <c r="J85" s="321"/>
      <c r="K85" s="80"/>
    </row>
    <row r="86" spans="2:11" s="3" customFormat="1" ht="18" customHeight="1">
      <c r="B86" s="260" t="s">
        <v>82</v>
      </c>
      <c r="C86" s="261"/>
      <c r="D86" s="261"/>
      <c r="E86" s="261"/>
      <c r="F86" s="261"/>
      <c r="G86" s="261"/>
      <c r="H86" s="261"/>
      <c r="I86" s="261"/>
      <c r="J86" s="262"/>
      <c r="K86" s="80"/>
    </row>
    <row r="87" spans="2:14" s="3" customFormat="1" ht="18.75" customHeight="1">
      <c r="B87" s="300" t="s">
        <v>83</v>
      </c>
      <c r="C87" s="301"/>
      <c r="D87" s="301"/>
      <c r="E87" s="301"/>
      <c r="F87" s="301"/>
      <c r="G87" s="301"/>
      <c r="H87" s="301"/>
      <c r="I87" s="301"/>
      <c r="J87" s="302"/>
      <c r="K87" s="80"/>
      <c r="N87" s="95"/>
    </row>
    <row r="88" spans="2:11" s="3" customFormat="1" ht="15.75" customHeight="1">
      <c r="B88" s="300" t="s">
        <v>84</v>
      </c>
      <c r="C88" s="301"/>
      <c r="D88" s="301"/>
      <c r="E88" s="301"/>
      <c r="F88" s="301"/>
      <c r="G88" s="301"/>
      <c r="H88" s="301"/>
      <c r="I88" s="301"/>
      <c r="J88" s="302"/>
      <c r="K88" s="81"/>
    </row>
    <row r="89" spans="2:11" s="3" customFormat="1" ht="45.75" customHeight="1">
      <c r="B89" s="300" t="s">
        <v>85</v>
      </c>
      <c r="C89" s="301"/>
      <c r="D89" s="301"/>
      <c r="E89" s="301"/>
      <c r="F89" s="301"/>
      <c r="G89" s="301"/>
      <c r="H89" s="301"/>
      <c r="I89" s="301"/>
      <c r="J89" s="302"/>
      <c r="K89" s="81"/>
    </row>
    <row r="90" spans="2:11" s="3" customFormat="1" ht="16.5" customHeight="1">
      <c r="B90" s="303" t="s">
        <v>86</v>
      </c>
      <c r="C90" s="304"/>
      <c r="D90" s="304"/>
      <c r="E90" s="304"/>
      <c r="F90" s="304"/>
      <c r="G90" s="304"/>
      <c r="H90" s="304"/>
      <c r="I90" s="304"/>
      <c r="J90" s="305"/>
      <c r="K90" s="80"/>
    </row>
    <row r="91" spans="2:11" s="3" customFormat="1" ht="18" customHeight="1">
      <c r="B91" s="300" t="s">
        <v>87</v>
      </c>
      <c r="C91" s="301"/>
      <c r="D91" s="301"/>
      <c r="E91" s="301"/>
      <c r="F91" s="301"/>
      <c r="G91" s="301"/>
      <c r="H91" s="301"/>
      <c r="I91" s="301"/>
      <c r="J91" s="302"/>
      <c r="K91" s="80"/>
    </row>
    <row r="92" spans="2:11" s="3" customFormat="1" ht="17.25">
      <c r="B92" s="306" t="s">
        <v>88</v>
      </c>
      <c r="C92" s="307"/>
      <c r="D92" s="307"/>
      <c r="E92" s="307"/>
      <c r="F92" s="307"/>
      <c r="G92" s="307"/>
      <c r="H92" s="307"/>
      <c r="I92" s="307"/>
      <c r="J92" s="308"/>
      <c r="K92" s="80"/>
    </row>
    <row r="93" spans="2:11" s="3" customFormat="1" ht="18.75" customHeight="1">
      <c r="B93" s="312" t="s">
        <v>89</v>
      </c>
      <c r="C93" s="313"/>
      <c r="D93" s="313"/>
      <c r="E93" s="313"/>
      <c r="F93" s="313"/>
      <c r="G93" s="313"/>
      <c r="H93" s="313"/>
      <c r="I93" s="313"/>
      <c r="J93" s="314"/>
      <c r="K93" s="80"/>
    </row>
    <row r="94" spans="2:11" s="3" customFormat="1" ht="18" customHeight="1">
      <c r="B94" s="124"/>
      <c r="C94" s="124"/>
      <c r="D94" s="124"/>
      <c r="E94" s="124"/>
      <c r="F94" s="124"/>
      <c r="G94" s="124"/>
      <c r="H94" s="124"/>
      <c r="I94" s="124"/>
      <c r="J94" s="124"/>
      <c r="K94" s="81"/>
    </row>
    <row r="95" spans="2:11" s="3" customFormat="1" ht="18" customHeight="1">
      <c r="B95" s="37"/>
      <c r="C95" s="38"/>
      <c r="D95" s="38"/>
      <c r="E95" s="38"/>
      <c r="F95" s="38"/>
      <c r="G95" s="38"/>
      <c r="H95" s="38"/>
      <c r="I95" s="38"/>
      <c r="J95" s="38"/>
      <c r="K95" s="33"/>
    </row>
    <row r="96" spans="2:11" s="3" customFormat="1" ht="16.5" customHeight="1">
      <c r="B96" s="39"/>
      <c r="C96" s="39"/>
      <c r="D96" s="39"/>
      <c r="E96" s="39"/>
      <c r="F96" s="39"/>
      <c r="G96" s="40"/>
      <c r="H96" s="39"/>
      <c r="I96" s="39"/>
      <c r="J96" s="39"/>
      <c r="K96" s="9"/>
    </row>
    <row r="97" spans="2:11" s="3" customFormat="1" ht="14.25">
      <c r="B97" s="4"/>
      <c r="C97" s="4"/>
      <c r="D97" s="4"/>
      <c r="E97" s="4"/>
      <c r="F97" s="4"/>
      <c r="G97" s="5"/>
      <c r="H97" s="4"/>
      <c r="I97" s="4"/>
      <c r="J97" s="4"/>
      <c r="K97" s="9"/>
    </row>
    <row r="98" spans="2:11" s="3" customFormat="1" ht="14.25">
      <c r="B98" s="6"/>
      <c r="C98" s="6"/>
      <c r="D98" s="6"/>
      <c r="E98" s="6"/>
      <c r="F98" s="6"/>
      <c r="G98" s="7"/>
      <c r="H98" s="6"/>
      <c r="I98" s="6"/>
      <c r="J98" s="6"/>
      <c r="K98" s="9"/>
    </row>
    <row r="99" spans="2:11" s="3" customFormat="1" ht="14.25">
      <c r="B99" s="6"/>
      <c r="C99" s="6"/>
      <c r="D99" s="6"/>
      <c r="E99" s="6"/>
      <c r="F99" s="6"/>
      <c r="G99" s="7"/>
      <c r="H99" s="6"/>
      <c r="I99" s="6"/>
      <c r="J99" s="6"/>
      <c r="K99" s="9"/>
    </row>
    <row r="100" spans="2:11" s="3" customFormat="1" ht="14.25">
      <c r="B100" s="6"/>
      <c r="C100" s="6"/>
      <c r="D100" s="6"/>
      <c r="E100" s="6"/>
      <c r="F100" s="6"/>
      <c r="G100" s="7"/>
      <c r="H100" s="6"/>
      <c r="I100" s="6"/>
      <c r="J100" s="6"/>
      <c r="K100" s="9"/>
    </row>
    <row r="101" spans="2:12" s="3" customFormat="1" ht="14.25">
      <c r="B101" s="67"/>
      <c r="C101" s="67"/>
      <c r="D101" s="67"/>
      <c r="E101" s="67"/>
      <c r="F101" s="67"/>
      <c r="G101" s="68"/>
      <c r="H101" s="67"/>
      <c r="I101" s="67"/>
      <c r="J101" s="67"/>
      <c r="K101" s="69"/>
      <c r="L101" s="67"/>
    </row>
    <row r="102" spans="2:12" s="3" customFormat="1" ht="14.25">
      <c r="B102" s="67"/>
      <c r="C102" s="67"/>
      <c r="D102" s="67"/>
      <c r="E102" s="67"/>
      <c r="F102" s="67"/>
      <c r="G102" s="68"/>
      <c r="H102" s="67"/>
      <c r="I102" s="67"/>
      <c r="J102" s="67"/>
      <c r="K102" s="69"/>
      <c r="L102" s="67"/>
    </row>
    <row r="103" spans="2:12" s="3" customFormat="1" ht="14.25">
      <c r="B103" s="67"/>
      <c r="C103" s="67"/>
      <c r="D103" s="67"/>
      <c r="E103" s="67"/>
      <c r="F103" s="67"/>
      <c r="G103" s="68"/>
      <c r="H103" s="67"/>
      <c r="I103" s="67"/>
      <c r="J103" s="67"/>
      <c r="K103" s="69"/>
      <c r="L103" s="67"/>
    </row>
    <row r="104" spans="2:12" s="3" customFormat="1" ht="14.2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ht="17.25">
      <c r="B105" s="56"/>
      <c r="C105" s="56"/>
      <c r="D105" s="57"/>
      <c r="E105" s="57"/>
      <c r="F105" s="58"/>
      <c r="G105" s="58"/>
      <c r="H105" s="58"/>
      <c r="I105" s="67"/>
      <c r="J105" s="67"/>
      <c r="K105" s="69"/>
      <c r="L105" s="67"/>
    </row>
    <row r="106" spans="2:12" ht="17.25">
      <c r="B106" s="56"/>
      <c r="C106" s="59"/>
      <c r="D106" s="59"/>
      <c r="E106" s="60"/>
      <c r="F106" s="59"/>
      <c r="G106" s="61"/>
      <c r="H106" s="62"/>
      <c r="I106" s="67"/>
      <c r="J106" s="67"/>
      <c r="K106" s="69"/>
      <c r="L106" s="67"/>
    </row>
    <row r="107" spans="2:12" ht="17.25">
      <c r="B107" s="57"/>
      <c r="C107" s="57"/>
      <c r="D107" s="57"/>
      <c r="E107" s="57"/>
      <c r="F107" s="57"/>
      <c r="G107" s="57"/>
      <c r="H107" s="57"/>
      <c r="I107" s="67"/>
      <c r="J107" s="67"/>
      <c r="K107" s="69"/>
      <c r="L107" s="67"/>
    </row>
    <row r="108" spans="2:12" ht="17.25">
      <c r="B108" s="56"/>
      <c r="C108" s="57"/>
      <c r="D108" s="57"/>
      <c r="E108" s="57"/>
      <c r="F108" s="57"/>
      <c r="G108" s="57"/>
      <c r="H108" s="57"/>
      <c r="I108" s="67"/>
      <c r="J108" s="67"/>
      <c r="K108" s="69"/>
      <c r="L108" s="67"/>
    </row>
    <row r="109" spans="2:12" ht="17.25">
      <c r="B109" s="70"/>
      <c r="C109" s="71"/>
      <c r="D109" s="71"/>
      <c r="E109" s="63"/>
      <c r="F109" s="63"/>
      <c r="G109" s="63"/>
      <c r="H109" s="63"/>
      <c r="I109" s="67"/>
      <c r="J109" s="69"/>
      <c r="K109" s="69"/>
      <c r="L109" s="67"/>
    </row>
    <row r="110" spans="2:12" ht="17.25">
      <c r="B110" s="70"/>
      <c r="C110" s="71"/>
      <c r="D110" s="71"/>
      <c r="E110" s="63"/>
      <c r="F110" s="63"/>
      <c r="G110" s="63"/>
      <c r="H110" s="63"/>
      <c r="I110" s="67"/>
      <c r="J110" s="69"/>
      <c r="K110" s="69"/>
      <c r="L110" s="67"/>
    </row>
    <row r="111" spans="2:12" ht="17.25">
      <c r="B111" s="64"/>
      <c r="C111" s="65"/>
      <c r="D111" s="65"/>
      <c r="E111" s="64"/>
      <c r="F111" s="64"/>
      <c r="G111" s="64"/>
      <c r="H111" s="66"/>
      <c r="I111" s="67"/>
      <c r="J111" s="67"/>
      <c r="K111" s="69"/>
      <c r="L111" s="67"/>
    </row>
    <row r="112" spans="2:12" ht="17.25">
      <c r="B112" s="57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7.25">
      <c r="B113" s="56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7.25">
      <c r="B114" s="72"/>
      <c r="C114" s="73"/>
      <c r="D114" s="74"/>
      <c r="E114" s="75"/>
      <c r="F114" s="74"/>
      <c r="G114" s="76"/>
      <c r="H114" s="76"/>
      <c r="I114" s="67"/>
      <c r="J114" s="67"/>
      <c r="K114" s="69"/>
      <c r="L114" s="67"/>
    </row>
    <row r="115" spans="2:12" ht="17.25">
      <c r="B115" s="72"/>
      <c r="C115" s="73"/>
      <c r="D115" s="74"/>
      <c r="E115" s="75"/>
      <c r="F115" s="74"/>
      <c r="G115" s="76"/>
      <c r="H115" s="76"/>
      <c r="I115" s="67"/>
      <c r="J115" s="67"/>
      <c r="K115" s="69"/>
      <c r="L115" s="67"/>
    </row>
    <row r="116" spans="2:12" ht="17.25">
      <c r="B116" s="299"/>
      <c r="C116" s="299"/>
      <c r="D116" s="74"/>
      <c r="E116" s="75"/>
      <c r="F116" s="74"/>
      <c r="G116" s="76"/>
      <c r="H116" s="76"/>
      <c r="I116" s="67"/>
      <c r="J116" s="67"/>
      <c r="K116" s="69"/>
      <c r="L116" s="67"/>
    </row>
    <row r="117" spans="2:12" ht="17.25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7.25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7.25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7.25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7.25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7.25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7.25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7.25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7.25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64"/>
      <c r="C127" s="65"/>
      <c r="D127" s="65"/>
      <c r="E127" s="64"/>
      <c r="F127" s="64"/>
      <c r="G127" s="64"/>
      <c r="H127" s="66"/>
      <c r="I127" s="67"/>
      <c r="J127" s="67"/>
      <c r="K127" s="69"/>
      <c r="L127" s="67"/>
    </row>
    <row r="128" spans="2:12" ht="17.25">
      <c r="B128" s="57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7.25">
      <c r="B129" s="64"/>
      <c r="C129" s="65"/>
      <c r="D129" s="65"/>
      <c r="E129" s="64"/>
      <c r="F129" s="64"/>
      <c r="G129" s="64"/>
      <c r="H129" s="66"/>
      <c r="I129" s="67"/>
      <c r="J129" s="67"/>
      <c r="K129" s="69"/>
      <c r="L129" s="67"/>
    </row>
    <row r="130" spans="2:12" s="3" customFormat="1" ht="14.25">
      <c r="B130" s="67"/>
      <c r="C130" s="67"/>
      <c r="D130" s="67"/>
      <c r="E130" s="67"/>
      <c r="F130" s="67"/>
      <c r="G130" s="68"/>
      <c r="H130" s="67"/>
      <c r="I130" s="67"/>
      <c r="J130" s="67"/>
      <c r="K130" s="69"/>
      <c r="L130" s="67"/>
    </row>
    <row r="131" spans="2:12" s="3" customFormat="1" ht="14.2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4.2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4.2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4.2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4.2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4.2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4.2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4.2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4.2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4.25">
      <c r="B140" s="77"/>
      <c r="C140" s="77"/>
      <c r="D140" s="77"/>
      <c r="E140" s="77"/>
      <c r="F140" s="77"/>
      <c r="G140" s="68"/>
      <c r="H140" s="67"/>
      <c r="I140" s="67"/>
      <c r="J140" s="67"/>
      <c r="K140" s="69"/>
      <c r="L140" s="67"/>
    </row>
    <row r="141" spans="2:12" s="3" customFormat="1" ht="14.2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4.2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4.25">
      <c r="B143" s="67"/>
      <c r="C143" s="69"/>
      <c r="D143" s="69"/>
      <c r="E143" s="69"/>
      <c r="F143" s="69"/>
      <c r="G143" s="68"/>
      <c r="H143" s="67"/>
      <c r="I143" s="67"/>
      <c r="J143" s="67"/>
      <c r="K143" s="69"/>
      <c r="L143" s="67"/>
    </row>
    <row r="144" spans="2:12" s="3" customFormat="1" ht="14.2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4.2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4.2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4.2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4.2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4.25">
      <c r="B149" s="67"/>
      <c r="C149" s="67"/>
      <c r="D149" s="69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4.25">
      <c r="B150" s="67"/>
      <c r="C150" s="69"/>
      <c r="D150" s="69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4.2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4.2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8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9"/>
      <c r="C163" s="69"/>
      <c r="D163" s="69"/>
      <c r="E163" s="69"/>
      <c r="F163" s="69"/>
      <c r="G163" s="69"/>
      <c r="H163" s="69"/>
      <c r="I163" s="69"/>
      <c r="J163" s="67"/>
      <c r="K163" s="69"/>
      <c r="L163" s="67"/>
    </row>
    <row r="164" spans="2:12" s="3" customFormat="1" ht="14.25">
      <c r="B164" s="69"/>
      <c r="C164" s="69"/>
      <c r="D164" s="69"/>
      <c r="E164" s="69"/>
      <c r="F164" s="69"/>
      <c r="G164" s="78"/>
      <c r="H164" s="69"/>
      <c r="I164" s="69"/>
      <c r="J164" s="67"/>
      <c r="K164" s="69"/>
      <c r="L164" s="78"/>
    </row>
    <row r="165" spans="2:12" s="3" customFormat="1" ht="14.25">
      <c r="B165" s="69"/>
      <c r="C165" s="69"/>
      <c r="D165" s="69"/>
      <c r="E165" s="69"/>
      <c r="F165" s="69"/>
      <c r="G165" s="69"/>
      <c r="H165" s="69"/>
      <c r="I165" s="79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9"/>
      <c r="I172" s="69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9"/>
      <c r="I173" s="69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9"/>
      <c r="I174" s="69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</sheetData>
  <sheetProtection/>
  <mergeCells count="47">
    <mergeCell ref="L61:O61"/>
    <mergeCell ref="B85:J85"/>
    <mergeCell ref="E60:F60"/>
    <mergeCell ref="B78:J79"/>
    <mergeCell ref="B72:D73"/>
    <mergeCell ref="B116:C116"/>
    <mergeCell ref="B87:J87"/>
    <mergeCell ref="B90:J90"/>
    <mergeCell ref="B92:J92"/>
    <mergeCell ref="B70:J70"/>
    <mergeCell ref="B93:J93"/>
    <mergeCell ref="B71:J71"/>
    <mergeCell ref="B89:J89"/>
    <mergeCell ref="B91:J91"/>
    <mergeCell ref="B88:J88"/>
    <mergeCell ref="D2:J2"/>
    <mergeCell ref="D3:J3"/>
    <mergeCell ref="D4:J4"/>
    <mergeCell ref="B12:E12"/>
    <mergeCell ref="G12:J12"/>
    <mergeCell ref="E20:F20"/>
    <mergeCell ref="D6:J6"/>
    <mergeCell ref="B74:D74"/>
    <mergeCell ref="B75:D75"/>
    <mergeCell ref="B76:D76"/>
    <mergeCell ref="E72:J72"/>
    <mergeCell ref="E73:F73"/>
    <mergeCell ref="G73:H73"/>
    <mergeCell ref="I73:J73"/>
    <mergeCell ref="E74:F74"/>
    <mergeCell ref="E75:F75"/>
    <mergeCell ref="E76:F76"/>
    <mergeCell ref="G74:H74"/>
    <mergeCell ref="G75:H75"/>
    <mergeCell ref="G76:H76"/>
    <mergeCell ref="I74:J74"/>
    <mergeCell ref="I75:J75"/>
    <mergeCell ref="I76:J76"/>
    <mergeCell ref="B86:J86"/>
    <mergeCell ref="B80:D81"/>
    <mergeCell ref="B82:D83"/>
    <mergeCell ref="E80:F81"/>
    <mergeCell ref="G80:H81"/>
    <mergeCell ref="I80:J81"/>
    <mergeCell ref="E82:F83"/>
    <mergeCell ref="G82:H83"/>
    <mergeCell ref="I82:J8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(('Maíz-O higgin 2019-20 Tec. Alta'!E13-45000)/45000)+1</f>
        <v>0.0033333333333332993</v>
      </c>
    </row>
    <row r="3" ht="17.25">
      <c r="B3" s="13"/>
    </row>
    <row r="4" spans="2:3" ht="17.25">
      <c r="B4" s="335" t="s">
        <v>18</v>
      </c>
      <c r="C4" s="335"/>
    </row>
    <row r="5" spans="2:5" ht="17.25">
      <c r="B5" s="82" t="s">
        <v>32</v>
      </c>
      <c r="C5" s="116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336" t="s">
        <v>14</v>
      </c>
      <c r="C14" s="336"/>
      <c r="D14" s="336"/>
    </row>
    <row r="16" spans="2:4" ht="17.25">
      <c r="B16" s="49" t="s">
        <v>16</v>
      </c>
      <c r="C16" s="48" t="e">
        <f>'Maíz-O higgin 2019-20 Tec. Alta'!#REF!</f>
        <v>#REF!</v>
      </c>
      <c r="D16" s="48" t="e">
        <f>'Maíz-O higgin 2019-20 Tec. Alta'!#REF!</f>
        <v>#REF!</v>
      </c>
    </row>
    <row r="17" ht="14.25">
      <c r="B17" s="24"/>
    </row>
    <row r="18" spans="2:4" ht="14.25">
      <c r="B18" s="47" t="s">
        <v>17</v>
      </c>
      <c r="C18" s="50" t="e">
        <f>((C16-'Maíz-O higgin 2019-20 Tec. Alta'!E13)/'Maíz-O higgin 2019-20 Tec. Alta'!E13)+1</f>
        <v>#REF!</v>
      </c>
      <c r="D18" s="50" t="e">
        <f>((D16-'Maíz-O higgin 2019-20 Tec. Alta'!E13)/'Maíz-O higgin 2019-20 Tec. Alta'!E13)+1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SUM('Maíz-O higgin 2019-20 Tec. Alta'!J22:J25)</f>
        <v>110000</v>
      </c>
      <c r="D21" s="9">
        <f>SUM('Maíz-O higgin 2019-20 Tec. Alta'!J22:J25)</f>
        <v>110000</v>
      </c>
    </row>
    <row r="22" spans="2:4" ht="17.25">
      <c r="B22" s="51" t="s">
        <v>20</v>
      </c>
      <c r="C22" s="52" t="e">
        <f>C18*'Maíz-O higgin 2019-20 Tec. Alta'!#REF!*'Maíz-O higgin 2019-20 Tec. Alta'!#REF!</f>
        <v>#REF!</v>
      </c>
      <c r="D22" s="52" t="e">
        <f>D18*'Maíz-O higgin 2019-20 Tec. Alta'!#REF!*'Maíz-O higgin 2019-20 Tec. Alta'!#REF!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SUM('Maíz-O higgin 2019-20 Tec. Alta'!J29:J35)</f>
        <v>335000</v>
      </c>
      <c r="D26" s="9">
        <f>SUM('Maíz-O higgin 2019-20 Tec. Alta'!J29:J35)</f>
        <v>335000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335000</v>
      </c>
      <c r="D28" s="9">
        <f>SUM(D26:D27)</f>
        <v>335000</v>
      </c>
    </row>
    <row r="30" ht="17.25">
      <c r="B30" s="49" t="s">
        <v>22</v>
      </c>
    </row>
    <row r="31" spans="2:4" ht="17.25">
      <c r="B31" s="17" t="s">
        <v>19</v>
      </c>
      <c r="C31" s="9">
        <f>SUM('Maíz-O higgin 2019-20 Tec. Alta'!J39:J51)</f>
        <v>857238</v>
      </c>
      <c r="D31" s="9">
        <f>SUM('Maíz-O higgin 2019-20 Tec. Alta'!J39:J51)</f>
        <v>857238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857238</v>
      </c>
      <c r="D33" s="9">
        <f>SUM(D31:D32)</f>
        <v>857238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C35*'Maíz-O higgin 2019-20 Tec. Alta'!G55</f>
        <v>#REF!</v>
      </c>
      <c r="D37" s="9" t="e">
        <f>D35*D18*'Maíz-O higgin 2019-20 Tec. Alta'!G55</f>
        <v>#REF!</v>
      </c>
    </row>
    <row r="38" spans="2:4" ht="17.25">
      <c r="B38" s="53" t="s">
        <v>12</v>
      </c>
      <c r="C38" s="9" t="e">
        <f>C35*'Maíz-O higgin 2019-20 Tec. Alta'!E16*'Maíz-O higgin 2019-20 Tec. Alta'!E17*0.5</f>
        <v>#REF!</v>
      </c>
      <c r="D38" s="9" t="e">
        <f>D35*'Maíz-O higgin 2019-20 Tec. Alta'!E16*'Maíz-O higgin 2019-20 Tec. Alta'!E17*0.5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2020-11-02T21:29:19Z</cp:lastPrinted>
  <dcterms:created xsi:type="dcterms:W3CDTF">2012-07-09T18:51:50Z</dcterms:created>
  <dcterms:modified xsi:type="dcterms:W3CDTF">2020-11-12T22:22:47Z</dcterms:modified>
  <cp:category/>
  <cp:version/>
  <cp:contentType/>
  <cp:contentStatus/>
</cp:coreProperties>
</file>