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'Ficha'!$A$1:$K$127</definedName>
  </definedNames>
  <calcPr fullCalcOnLoad="1"/>
</workbook>
</file>

<file path=xl/sharedStrings.xml><?xml version="1.0" encoding="utf-8"?>
<sst xmlns="http://schemas.openxmlformats.org/spreadsheetml/2006/main" count="205" uniqueCount="144">
  <si>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</si>
  <si>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</si>
  <si>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</si>
  <si>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</si>
  <si>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</si>
  <si>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</si>
  <si>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</si>
  <si>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</si>
  <si>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</si>
  <si>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</si>
  <si>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</si>
  <si>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</si>
  <si>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</si>
  <si>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</si>
  <si>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</si>
  <si>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</si>
  <si>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</si>
  <si>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</si>
  <si>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</si>
  <si>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</si>
  <si>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</si>
  <si>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</si>
  <si>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</si>
  <si>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</si>
  <si>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</si>
  <si>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</si>
  <si>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</si>
  <si>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</si>
  <si>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</si>
  <si>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</si>
  <si>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</si>
  <si>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</si>
  <si>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</si>
  <si>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</si>
  <si>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</si>
  <si>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</si>
  <si>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</si>
  <si>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</si>
  <si>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</si>
  <si>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</si>
  <si>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</si>
  <si>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</si>
  <si>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</si>
  <si>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</si>
  <si>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</si>
  <si>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</si>
  <si>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</si>
  <si>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</si>
  <si>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Cosecha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</si>
  <si>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</si>
  <si>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</si>
  <si>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</si>
  <si>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</si>
  <si>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Poda</t>
  </si>
  <si>
    <t>Poda en verde</t>
  </si>
  <si>
    <t>L</t>
  </si>
  <si>
    <t>Junio-julio</t>
  </si>
  <si>
    <t>Enero-febrero</t>
  </si>
  <si>
    <t>Triturar despunte (poda)</t>
  </si>
  <si>
    <t>Octubre-diciembre</t>
  </si>
  <si>
    <t>Octubre-febrero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</si>
  <si>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</si>
  <si>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</si>
  <si>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</si>
  <si>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</si>
  <si>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</si>
  <si>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</si>
  <si>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</si>
  <si>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</si>
  <si>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</si>
  <si>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Herbicidas:</t>
  </si>
  <si>
    <t>Insecticidas:</t>
  </si>
  <si>
    <t>Otros:</t>
  </si>
  <si>
    <t>Margen neto ($/ha) (4)</t>
  </si>
  <si>
    <t>Punto de equilibrio (5)</t>
  </si>
  <si>
    <t xml:space="preserve"> (3) Las dosis de fertilización promedio podrían variar de acuerdo a los resultados de los distintos análisis( foliar, suelo, etc.)</t>
  </si>
  <si>
    <t>Nogal</t>
  </si>
  <si>
    <t>Mayo</t>
  </si>
  <si>
    <t>Agosto-abril</t>
  </si>
  <si>
    <t>Octubre-abril</t>
  </si>
  <si>
    <t>Septiembre</t>
  </si>
  <si>
    <t>Secado y seleccionado</t>
  </si>
  <si>
    <t>Nitrato potasico</t>
  </si>
  <si>
    <t>Acido fosfórico</t>
  </si>
  <si>
    <t>Septiembre-abril</t>
  </si>
  <si>
    <t>Farmon</t>
  </si>
  <si>
    <t>Agosto-diciembre</t>
  </si>
  <si>
    <t>Sacos</t>
  </si>
  <si>
    <t>Marzo-abril</t>
  </si>
  <si>
    <t>Winspray Miscible</t>
  </si>
  <si>
    <t>Bactericida:</t>
  </si>
  <si>
    <t>Streptoplus</t>
  </si>
  <si>
    <t>Octubre-noviembre</t>
  </si>
  <si>
    <t>Octubre-enero</t>
  </si>
  <si>
    <t xml:space="preserve">Riego </t>
  </si>
  <si>
    <t>Mayo-diciembre</t>
  </si>
  <si>
    <t>Agosto-septiembre</t>
  </si>
  <si>
    <t>Julio-agosto</t>
  </si>
  <si>
    <t>Variedad: Serr</t>
  </si>
  <si>
    <t>Planta</t>
  </si>
  <si>
    <t>Noviembre-enero</t>
  </si>
  <si>
    <t>Electricidad</t>
  </si>
  <si>
    <t>Todo el año</t>
  </si>
  <si>
    <t>Diazinon 40 wp</t>
  </si>
  <si>
    <t>Etrel, desecante</t>
  </si>
  <si>
    <t>Febrero</t>
  </si>
  <si>
    <t>Roundup</t>
  </si>
  <si>
    <t>Intrepid 240 SC</t>
  </si>
  <si>
    <t>Triplex 600 SC</t>
  </si>
  <si>
    <t>Septiembre-octubre</t>
  </si>
  <si>
    <t>Octubre</t>
  </si>
  <si>
    <t>Ácaros:</t>
  </si>
  <si>
    <t>Fecha cosecha: Marzo-abril</t>
  </si>
  <si>
    <t>Fecha Plantación: Plena producción</t>
  </si>
  <si>
    <t>Destino Mercado: Exportación</t>
  </si>
  <si>
    <t>Tipo de producción: Nuez con cáscara</t>
  </si>
  <si>
    <t>Tecnología: Media</t>
  </si>
  <si>
    <t>Remecedora simple (tractor)</t>
  </si>
  <si>
    <t>Urea</t>
  </si>
  <si>
    <t>Oxicloruro de cobre</t>
  </si>
  <si>
    <t>Podexal</t>
  </si>
  <si>
    <t>Karate Zeon</t>
  </si>
  <si>
    <t>Lorsban 4E</t>
  </si>
  <si>
    <t>Fosfimax 40 20</t>
  </si>
  <si>
    <t>Retain (aborto floral)</t>
  </si>
  <si>
    <t>Capachos y otros</t>
  </si>
  <si>
    <t>Analisis foliar</t>
  </si>
  <si>
    <t>Nitrato de magnesio</t>
  </si>
  <si>
    <t>Septiembre-enero</t>
  </si>
  <si>
    <t xml:space="preserve">Rendimiento (kg/ha) </t>
  </si>
  <si>
    <t>Región Metropolitana</t>
  </si>
  <si>
    <t>Cargar a camión</t>
  </si>
  <si>
    <t>Bins</t>
  </si>
  <si>
    <t>Flete</t>
  </si>
  <si>
    <t>Febrero- marzo</t>
  </si>
  <si>
    <t>m²</t>
  </si>
  <si>
    <t>Malla rachel (duración 5 años)</t>
  </si>
  <si>
    <t>Régimen hídrico: Técnificado</t>
  </si>
  <si>
    <t xml:space="preserve"> (1) El precio del  kilo de nuez seca utilizado en el análisis de sensibilidad, corresponde al promedio del precio de la temporada 2011-12.</t>
  </si>
  <si>
    <t>Fertilizantes (3):</t>
  </si>
  <si>
    <t>Acarreo cosecha y bódega</t>
  </si>
  <si>
    <t>1 ha abril 2013</t>
  </si>
  <si>
    <t>Densidad (plantas/ha): 156 (8m x 8m)</t>
  </si>
  <si>
    <t>Carpas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</si>
</sst>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  <numFmt numFmtId="177" formatCode="\5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2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0" tint="-0.0499799996614456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10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0" fontId="46" fillId="0" borderId="0" xfId="0" applyFont="1" applyBorder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0" fontId="7" fillId="35" borderId="12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3" fontId="7" fillId="35" borderId="11" xfId="56" applyNumberFormat="1" applyFont="1" applyFill="1" applyBorder="1" applyAlignment="1">
      <alignment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3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0" fontId="47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0" fontId="9" fillId="0" borderId="0" xfId="56" applyFont="1" applyFill="1" applyAlignment="1">
      <alignment horizontal="right"/>
      <protection/>
    </xf>
    <xf numFmtId="172" fontId="9" fillId="0" borderId="0" xfId="67" applyFont="1" applyFill="1" applyAlignment="1">
      <alignment horizontal="left"/>
      <protection/>
    </xf>
    <xf numFmtId="3" fontId="9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1" fillId="36" borderId="15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45" fillId="0" borderId="0" xfId="0" applyNumberFormat="1" applyFont="1" applyAlignment="1">
      <alignment/>
    </xf>
    <xf numFmtId="9" fontId="7" fillId="0" borderId="15" xfId="69" applyFont="1" applyFill="1" applyBorder="1" applyAlignment="1">
      <alignment vertical="center"/>
    </xf>
    <xf numFmtId="3" fontId="7" fillId="0" borderId="15" xfId="56" applyNumberFormat="1" applyFont="1" applyFill="1" applyBorder="1" applyAlignment="1" applyProtection="1">
      <alignment horizontal="right"/>
      <protection/>
    </xf>
    <xf numFmtId="10" fontId="7" fillId="0" borderId="15" xfId="56" applyNumberFormat="1" applyFont="1" applyFill="1" applyBorder="1" applyAlignment="1">
      <alignment horizontal="right"/>
      <protection/>
    </xf>
    <xf numFmtId="3" fontId="7" fillId="0" borderId="15" xfId="56" applyNumberFormat="1" applyFont="1" applyFill="1" applyBorder="1" applyAlignment="1">
      <alignment horizontal="right"/>
      <protection/>
    </xf>
    <xf numFmtId="0" fontId="46" fillId="0" borderId="0" xfId="0" applyFont="1" applyFill="1" applyAlignment="1">
      <alignment/>
    </xf>
    <xf numFmtId="176" fontId="9" fillId="0" borderId="15" xfId="0" applyNumberFormat="1" applyFont="1" applyFill="1" applyBorder="1" applyAlignment="1">
      <alignment horizontal="center" vertical="center"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18" xfId="67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173" fontId="9" fillId="34" borderId="19" xfId="56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34" borderId="19" xfId="67" applyNumberFormat="1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2" fontId="9" fillId="34" borderId="14" xfId="56" applyNumberFormat="1" applyFont="1" applyFill="1" applyBorder="1" applyAlignment="1" applyProtection="1">
      <alignment horizontal="right"/>
      <protection/>
    </xf>
    <xf numFmtId="173" fontId="9" fillId="34" borderId="14" xfId="56" applyNumberFormat="1" applyFont="1" applyFill="1" applyBorder="1" applyAlignment="1" applyProtection="1">
      <alignment horizontal="right"/>
      <protection/>
    </xf>
    <xf numFmtId="2" fontId="9" fillId="34" borderId="19" xfId="56" applyNumberFormat="1" applyFont="1" applyFill="1" applyBorder="1" applyAlignment="1" applyProtection="1">
      <alignment horizontal="right"/>
      <protection/>
    </xf>
    <xf numFmtId="173" fontId="9" fillId="34" borderId="17" xfId="67" applyNumberFormat="1" applyFont="1" applyFill="1" applyBorder="1" applyAlignment="1" applyProtection="1">
      <alignment horizontal="right"/>
      <protection/>
    </xf>
    <xf numFmtId="172" fontId="9" fillId="34" borderId="18" xfId="67" applyFont="1" applyFill="1" applyBorder="1" applyAlignment="1">
      <alignment horizontal="right"/>
      <protection/>
    </xf>
    <xf numFmtId="3" fontId="9" fillId="34" borderId="18" xfId="56" applyNumberFormat="1" applyFont="1" applyFill="1" applyBorder="1" applyAlignment="1" applyProtection="1">
      <alignment horizontal="right"/>
      <protection/>
    </xf>
    <xf numFmtId="3" fontId="9" fillId="34" borderId="14" xfId="56" applyNumberFormat="1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19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172" fontId="9" fillId="34" borderId="20" xfId="67" applyFont="1" applyFill="1" applyBorder="1" applyAlignment="1">
      <alignment horizontal="right" vertical="center"/>
      <protection/>
    </xf>
    <xf numFmtId="3" fontId="9" fillId="34" borderId="20" xfId="56" applyNumberFormat="1" applyFont="1" applyFill="1" applyBorder="1" applyAlignment="1" applyProtection="1">
      <alignment horizontal="right" vertical="center"/>
      <protection/>
    </xf>
    <xf numFmtId="177" fontId="9" fillId="34" borderId="0" xfId="56" applyNumberFormat="1" applyFont="1" applyFill="1" applyBorder="1" applyAlignment="1" applyProtection="1">
      <alignment horizontal="left"/>
      <protection/>
    </xf>
    <xf numFmtId="0" fontId="49" fillId="34" borderId="21" xfId="56" applyFont="1" applyFill="1" applyBorder="1" applyAlignment="1" applyProtection="1">
      <alignment horizontal="lef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175" fontId="7" fillId="34" borderId="12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46" fillId="34" borderId="0" xfId="0" applyFont="1" applyFill="1" applyBorder="1" applyAlignment="1">
      <alignment/>
    </xf>
    <xf numFmtId="0" fontId="7" fillId="34" borderId="12" xfId="55" applyFont="1" applyFill="1" applyBorder="1" applyAlignment="1">
      <alignment horizontal="left"/>
      <protection/>
    </xf>
    <xf numFmtId="173" fontId="9" fillId="34" borderId="0" xfId="67" applyNumberFormat="1" applyFont="1" applyFill="1" applyBorder="1" applyAlignment="1">
      <alignment horizontal="center"/>
      <protection/>
    </xf>
    <xf numFmtId="0" fontId="7" fillId="34" borderId="24" xfId="55" applyFont="1" applyFill="1" applyBorder="1" applyAlignment="1">
      <alignment horizontal="left"/>
      <protection/>
    </xf>
    <xf numFmtId="173" fontId="9" fillId="34" borderId="25" xfId="67" applyNumberFormat="1" applyFont="1" applyFill="1" applyBorder="1" applyAlignment="1">
      <alignment horizontal="center"/>
      <protection/>
    </xf>
    <xf numFmtId="0" fontId="46" fillId="34" borderId="25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3" fontId="9" fillId="34" borderId="0" xfId="67" applyNumberFormat="1" applyFont="1" applyFill="1" applyBorder="1" applyAlignment="1">
      <alignment/>
      <protection/>
    </xf>
    <xf numFmtId="0" fontId="46" fillId="34" borderId="24" xfId="0" applyFont="1" applyFill="1" applyBorder="1" applyAlignment="1">
      <alignment/>
    </xf>
    <xf numFmtId="3" fontId="9" fillId="34" borderId="25" xfId="56" applyNumberFormat="1" applyFont="1" applyFill="1" applyBorder="1" applyAlignment="1">
      <alignment/>
      <protection/>
    </xf>
    <xf numFmtId="0" fontId="9" fillId="34" borderId="13" xfId="56" applyFont="1" applyFill="1" applyBorder="1" applyAlignment="1">
      <alignment/>
      <protection/>
    </xf>
    <xf numFmtId="3" fontId="7" fillId="35" borderId="14" xfId="0" applyNumberFormat="1" applyFont="1" applyFill="1" applyBorder="1" applyAlignment="1">
      <alignment horizontal="center"/>
    </xf>
    <xf numFmtId="3" fontId="7" fillId="35" borderId="14" xfId="0" applyNumberFormat="1" applyFont="1" applyFill="1" applyBorder="1" applyAlignment="1">
      <alignment horizontal="center" vertical="center"/>
    </xf>
    <xf numFmtId="3" fontId="9" fillId="35" borderId="15" xfId="0" applyNumberFormat="1" applyFont="1" applyFill="1" applyBorder="1" applyAlignment="1">
      <alignment horizontal="center" vertical="center"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3" fontId="7" fillId="35" borderId="27" xfId="56" applyNumberFormat="1" applyFont="1" applyFill="1" applyBorder="1" applyAlignment="1" applyProtection="1">
      <alignment horizontal="right"/>
      <protection/>
    </xf>
    <xf numFmtId="3" fontId="7" fillId="35" borderId="27" xfId="0" applyNumberFormat="1" applyFont="1" applyFill="1" applyBorder="1" applyAlignment="1" applyProtection="1">
      <alignment horizontal="right"/>
      <protection/>
    </xf>
    <xf numFmtId="3" fontId="7" fillId="35" borderId="28" xfId="56" applyNumberFormat="1" applyFont="1" applyFill="1" applyBorder="1" applyAlignment="1" applyProtection="1">
      <alignment horizontal="right"/>
      <protection/>
    </xf>
    <xf numFmtId="3" fontId="50" fillId="37" borderId="28" xfId="56" applyNumberFormat="1" applyFont="1" applyFill="1" applyBorder="1" applyAlignment="1" applyProtection="1">
      <alignment horizontal="right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1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7" fillId="34" borderId="18" xfId="67" applyNumberFormat="1" applyFont="1" applyFill="1" applyBorder="1" applyAlignment="1" applyProtection="1">
      <alignment horizontal="left"/>
      <protection/>
    </xf>
    <xf numFmtId="0" fontId="7" fillId="34" borderId="22" xfId="67" applyNumberFormat="1" applyFont="1" applyFill="1" applyBorder="1" applyAlignment="1" applyProtection="1">
      <alignment horizontal="left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7" fillId="34" borderId="20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7" fillId="34" borderId="21" xfId="67" applyNumberFormat="1" applyFont="1" applyFill="1" applyBorder="1" applyAlignment="1" applyProtection="1">
      <alignment horizontal="left" vertical="center" wrapText="1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>
      <alignment horizontal="center" vertical="center"/>
      <protection/>
    </xf>
    <xf numFmtId="0" fontId="9" fillId="34" borderId="17" xfId="56" applyFont="1" applyFill="1" applyBorder="1" applyAlignment="1">
      <alignment horizontal="center" vertical="center"/>
      <protection/>
    </xf>
    <xf numFmtId="0" fontId="48" fillId="38" borderId="31" xfId="56" applyFont="1" applyFill="1" applyBorder="1" applyAlignment="1" applyProtection="1">
      <alignment horizontal="center" vertical="center"/>
      <protection/>
    </xf>
    <xf numFmtId="0" fontId="48" fillId="38" borderId="32" xfId="56" applyFont="1" applyFill="1" applyBorder="1" applyAlignment="1" applyProtection="1">
      <alignment horizontal="center" vertical="center"/>
      <protection/>
    </xf>
    <xf numFmtId="0" fontId="48" fillId="38" borderId="24" xfId="56" applyFont="1" applyFill="1" applyBorder="1" applyAlignment="1" applyProtection="1">
      <alignment horizontal="center" vertical="center"/>
      <protection/>
    </xf>
    <xf numFmtId="0" fontId="48" fillId="38" borderId="25" xfId="56" applyFont="1" applyFill="1" applyBorder="1" applyAlignment="1" applyProtection="1">
      <alignment horizontal="center" vertical="center"/>
      <protection/>
    </xf>
    <xf numFmtId="0" fontId="48" fillId="38" borderId="33" xfId="55" applyFont="1" applyFill="1" applyBorder="1" applyAlignment="1">
      <alignment horizontal="center"/>
      <protection/>
    </xf>
    <xf numFmtId="0" fontId="48" fillId="38" borderId="34" xfId="55" applyFont="1" applyFill="1" applyBorder="1" applyAlignment="1">
      <alignment horizontal="center"/>
      <protection/>
    </xf>
    <xf numFmtId="0" fontId="48" fillId="38" borderId="35" xfId="55" applyFont="1" applyFill="1" applyBorder="1" applyAlignment="1">
      <alignment horizontal="center"/>
      <protection/>
    </xf>
    <xf numFmtId="4" fontId="48" fillId="38" borderId="32" xfId="56" applyNumberFormat="1" applyFont="1" applyFill="1" applyBorder="1" applyAlignment="1" applyProtection="1">
      <alignment horizontal="center" vertical="center" wrapText="1"/>
      <protection/>
    </xf>
    <xf numFmtId="4" fontId="48" fillId="38" borderId="25" xfId="56" applyNumberFormat="1" applyFont="1" applyFill="1" applyBorder="1" applyAlignment="1" applyProtection="1">
      <alignment horizontal="center" vertical="center" wrapText="1"/>
      <protection/>
    </xf>
    <xf numFmtId="0" fontId="48" fillId="38" borderId="32" xfId="56" applyFont="1" applyFill="1" applyBorder="1" applyAlignment="1" applyProtection="1">
      <alignment horizontal="center" vertical="center" wrapText="1"/>
      <protection/>
    </xf>
    <xf numFmtId="0" fontId="48" fillId="38" borderId="25" xfId="56" applyFont="1" applyFill="1" applyBorder="1" applyAlignment="1" applyProtection="1">
      <alignment horizontal="center" vertical="center" wrapText="1"/>
      <protection/>
    </xf>
    <xf numFmtId="3" fontId="48" fillId="38" borderId="32" xfId="56" applyNumberFormat="1" applyFont="1" applyFill="1" applyBorder="1" applyAlignment="1" applyProtection="1">
      <alignment horizontal="center" vertical="center" wrapText="1"/>
      <protection/>
    </xf>
    <xf numFmtId="3" fontId="48" fillId="38" borderId="25" xfId="56" applyNumberFormat="1" applyFont="1" applyFill="1" applyBorder="1" applyAlignment="1" applyProtection="1">
      <alignment horizontal="center" vertical="center" wrapText="1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>
      <alignment horizontal="center" vertical="center"/>
      <protection/>
    </xf>
    <xf numFmtId="0" fontId="9" fillId="34" borderId="27" xfId="56" applyFont="1" applyFill="1" applyBorder="1" applyAlignment="1">
      <alignment horizontal="center" vertical="center"/>
      <protection/>
    </xf>
    <xf numFmtId="3" fontId="48" fillId="38" borderId="36" xfId="56" applyNumberFormat="1" applyFont="1" applyFill="1" applyBorder="1" applyAlignment="1" applyProtection="1">
      <alignment horizontal="center" vertical="center"/>
      <protection/>
    </xf>
    <xf numFmtId="3" fontId="48" fillId="38" borderId="13" xfId="56" applyNumberFormat="1" applyFont="1" applyFill="1" applyBorder="1" applyAlignment="1" applyProtection="1">
      <alignment horizontal="center" vertical="center"/>
      <protection/>
    </xf>
    <xf numFmtId="0" fontId="9" fillId="34" borderId="26" xfId="56" applyFont="1" applyFill="1" applyBorder="1" applyAlignment="1">
      <alignment horizontal="left" vertical="top" wrapText="1"/>
      <protection/>
    </xf>
    <xf numFmtId="0" fontId="9" fillId="34" borderId="16" xfId="56" applyFont="1" applyFill="1" applyBorder="1" applyAlignment="1">
      <alignment horizontal="left" vertical="top" wrapText="1"/>
      <protection/>
    </xf>
    <xf numFmtId="0" fontId="9" fillId="34" borderId="27" xfId="56" applyFont="1" applyFill="1" applyBorder="1" applyAlignment="1">
      <alignment horizontal="left" vertical="top" wrapText="1"/>
      <protection/>
    </xf>
    <xf numFmtId="3" fontId="9" fillId="34" borderId="20" xfId="53" applyNumberFormat="1" applyFont="1" applyFill="1" applyBorder="1" applyAlignment="1">
      <alignment horizontal="left" vertical="top" wrapText="1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3" fontId="9" fillId="34" borderId="21" xfId="53" applyNumberFormat="1" applyFont="1" applyFill="1" applyBorder="1" applyAlignment="1">
      <alignment horizontal="left" vertical="top" wrapText="1"/>
      <protection/>
    </xf>
    <xf numFmtId="0" fontId="7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/>
    </xf>
    <xf numFmtId="3" fontId="7" fillId="35" borderId="21" xfId="0" applyNumberFormat="1" applyFont="1" applyFill="1" applyBorder="1" applyAlignment="1">
      <alignment horizontal="center"/>
    </xf>
    <xf numFmtId="3" fontId="7" fillId="35" borderId="26" xfId="0" applyNumberFormat="1" applyFont="1" applyFill="1" applyBorder="1" applyAlignment="1">
      <alignment horizontal="center"/>
    </xf>
    <xf numFmtId="3" fontId="7" fillId="35" borderId="27" xfId="0" applyNumberFormat="1" applyFont="1" applyFill="1" applyBorder="1" applyAlignment="1">
      <alignment horizontal="center"/>
    </xf>
    <xf numFmtId="3" fontId="7" fillId="35" borderId="18" xfId="0" applyNumberFormat="1" applyFont="1" applyFill="1" applyBorder="1" applyAlignment="1">
      <alignment horizontal="center"/>
    </xf>
    <xf numFmtId="3" fontId="7" fillId="35" borderId="17" xfId="0" applyNumberFormat="1" applyFont="1" applyFill="1" applyBorder="1" applyAlignment="1">
      <alignment horizontal="center"/>
    </xf>
    <xf numFmtId="3" fontId="9" fillId="34" borderId="18" xfId="53" applyNumberFormat="1" applyFont="1" applyFill="1" applyBorder="1" applyAlignment="1">
      <alignment horizontal="left" vertical="top" wrapText="1"/>
      <protection/>
    </xf>
    <xf numFmtId="3" fontId="9" fillId="34" borderId="22" xfId="53" applyNumberFormat="1" applyFont="1" applyFill="1" applyBorder="1" applyAlignment="1">
      <alignment horizontal="left" vertical="top" wrapText="1"/>
      <protection/>
    </xf>
    <xf numFmtId="3" fontId="9" fillId="34" borderId="17" xfId="53" applyNumberFormat="1" applyFont="1" applyFill="1" applyBorder="1" applyAlignment="1">
      <alignment horizontal="left" vertical="top" wrapText="1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9" fillId="0" borderId="15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left" vertical="top" wrapText="1"/>
      <protection/>
    </xf>
    <xf numFmtId="0" fontId="9" fillId="34" borderId="0" xfId="56" applyFont="1" applyFill="1" applyBorder="1" applyAlignment="1">
      <alignment horizontal="left" vertical="top" wrapText="1"/>
      <protection/>
    </xf>
    <xf numFmtId="0" fontId="9" fillId="34" borderId="21" xfId="56" applyFont="1" applyFill="1" applyBorder="1" applyAlignment="1">
      <alignment horizontal="left" vertical="top" wrapText="1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50" fillId="37" borderId="29" xfId="56" applyFont="1" applyFill="1" applyBorder="1" applyAlignment="1" applyProtection="1">
      <alignment horizontal="left" vertical="center"/>
      <protection/>
    </xf>
    <xf numFmtId="0" fontId="50" fillId="37" borderId="30" xfId="56" applyFont="1" applyFill="1" applyBorder="1" applyAlignment="1" applyProtection="1">
      <alignment horizontal="left" vertical="center"/>
      <protection/>
    </xf>
    <xf numFmtId="0" fontId="9" fillId="0" borderId="15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9525</xdr:rowOff>
    </xdr:from>
    <xdr:to>
      <xdr:col>2</xdr:col>
      <xdr:colOff>676275</xdr:colOff>
      <xdr:row>111</xdr:row>
      <xdr:rowOff>123825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5384125"/>
          <a:ext cx="18859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10" width="18.7109375" style="0" customWidth="1"/>
    <col min="11" max="11" width="10.140625" style="0" customWidth="1"/>
    <col min="15" max="15" width="6.140625" style="0" customWidth="1"/>
    <col min="16" max="19" width="11.421875" style="0" hidden="1" customWidth="1"/>
  </cols>
  <sheetData>
    <row r="1" spans="2:10" ht="18" customHeight="1">
      <c r="B1" s="141" t="s">
        <v>16</v>
      </c>
      <c r="C1" s="141"/>
      <c r="D1" s="141"/>
      <c r="E1" s="141"/>
      <c r="F1" s="141"/>
      <c r="G1" s="141"/>
      <c r="H1" s="141"/>
      <c r="I1" s="141"/>
      <c r="J1" s="141"/>
    </row>
    <row r="2" spans="1:12" ht="18" customHeight="1">
      <c r="A2" s="7"/>
      <c r="B2" s="7"/>
      <c r="C2" s="4"/>
      <c r="D2" s="4"/>
      <c r="E2" s="143" t="s">
        <v>76</v>
      </c>
      <c r="F2" s="143"/>
      <c r="G2" s="143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37"/>
      <c r="E3" s="142" t="s">
        <v>130</v>
      </c>
      <c r="F3" s="142"/>
      <c r="G3" s="142"/>
      <c r="H3" s="6"/>
      <c r="I3" s="6"/>
      <c r="J3" s="5"/>
      <c r="K3" s="8"/>
    </row>
    <row r="4" spans="1:11" ht="18" customHeight="1">
      <c r="A4" s="7"/>
      <c r="B4" s="5"/>
      <c r="C4" s="66"/>
      <c r="D4" s="37"/>
      <c r="E4" s="9"/>
      <c r="F4" s="9"/>
      <c r="G4" s="9" t="s">
        <v>114</v>
      </c>
      <c r="H4" s="9"/>
      <c r="I4" s="5"/>
      <c r="J4" s="10"/>
      <c r="K4" s="11"/>
    </row>
    <row r="5" spans="1:11" ht="18" customHeight="1">
      <c r="A5" s="7"/>
      <c r="B5" s="5"/>
      <c r="C5" s="66"/>
      <c r="D5" s="12" t="s">
        <v>141</v>
      </c>
      <c r="E5" s="66"/>
      <c r="F5" s="66"/>
      <c r="G5" s="10" t="s">
        <v>98</v>
      </c>
      <c r="H5" s="37"/>
      <c r="I5" s="9"/>
      <c r="J5" s="13"/>
      <c r="K5" s="11"/>
    </row>
    <row r="6" spans="1:11" ht="18" customHeight="1">
      <c r="A6" s="7"/>
      <c r="B6" s="5"/>
      <c r="C6" s="66"/>
      <c r="D6" s="12" t="s">
        <v>137</v>
      </c>
      <c r="E6" s="12"/>
      <c r="F6" s="12"/>
      <c r="G6" s="12" t="s">
        <v>115</v>
      </c>
      <c r="H6" s="37"/>
      <c r="I6" s="14"/>
      <c r="J6" s="14"/>
      <c r="K6" s="11"/>
    </row>
    <row r="7" spans="1:11" ht="18" customHeight="1">
      <c r="A7" s="7"/>
      <c r="B7" s="5"/>
      <c r="C7" s="66"/>
      <c r="D7" s="12" t="s">
        <v>113</v>
      </c>
      <c r="E7" s="12"/>
      <c r="F7" s="12"/>
      <c r="G7" s="12" t="s">
        <v>116</v>
      </c>
      <c r="H7" s="37"/>
      <c r="I7" s="14"/>
      <c r="J7" s="14"/>
      <c r="K7" s="15"/>
    </row>
    <row r="8" spans="1:11" ht="18" customHeight="1">
      <c r="A8" s="7"/>
      <c r="B8" s="16"/>
      <c r="C8" s="17"/>
      <c r="D8" s="66" t="s">
        <v>112</v>
      </c>
      <c r="E8" s="10"/>
      <c r="F8" s="18"/>
      <c r="G8" s="52" t="s">
        <v>142</v>
      </c>
      <c r="H8" s="66"/>
      <c r="I8" s="20"/>
      <c r="J8" s="51"/>
      <c r="K8" s="21"/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51"/>
      <c r="K9" s="21"/>
    </row>
    <row r="10" spans="1:11" ht="18" customHeight="1" thickBot="1">
      <c r="A10" s="7"/>
      <c r="B10" s="152" t="s">
        <v>45</v>
      </c>
      <c r="C10" s="153"/>
      <c r="D10" s="153"/>
      <c r="E10" s="154"/>
      <c r="F10" s="22"/>
      <c r="G10" s="152" t="s">
        <v>22</v>
      </c>
      <c r="H10" s="153"/>
      <c r="I10" s="153"/>
      <c r="J10" s="154"/>
      <c r="K10" s="23"/>
    </row>
    <row r="11" spans="1:11" ht="18" customHeight="1">
      <c r="A11" s="7"/>
      <c r="B11" s="95" t="s">
        <v>8</v>
      </c>
      <c r="C11" s="96"/>
      <c r="D11" s="97"/>
      <c r="E11" s="25">
        <v>3500</v>
      </c>
      <c r="F11" s="24"/>
      <c r="G11" s="103" t="s">
        <v>18</v>
      </c>
      <c r="H11" s="97"/>
      <c r="I11" s="97"/>
      <c r="J11" s="104">
        <f>J28+J37+J77</f>
        <v>3728945.5</v>
      </c>
      <c r="K11" s="23"/>
    </row>
    <row r="12" spans="1:11" ht="18" customHeight="1">
      <c r="A12" s="7"/>
      <c r="B12" s="98" t="s">
        <v>43</v>
      </c>
      <c r="C12" s="96"/>
      <c r="D12" s="97"/>
      <c r="E12" s="25">
        <v>1800</v>
      </c>
      <c r="F12" s="24"/>
      <c r="G12" s="103" t="s">
        <v>19</v>
      </c>
      <c r="H12" s="105"/>
      <c r="I12" s="97"/>
      <c r="J12" s="104">
        <f>J28+J37+J77+J87</f>
        <v>4195063.6875</v>
      </c>
      <c r="K12" s="23"/>
    </row>
    <row r="13" spans="1:11" ht="18" customHeight="1">
      <c r="A13" s="7"/>
      <c r="B13" s="98" t="s">
        <v>17</v>
      </c>
      <c r="C13" s="96"/>
      <c r="D13" s="97"/>
      <c r="E13" s="25">
        <v>12000</v>
      </c>
      <c r="F13" s="24"/>
      <c r="G13" s="26" t="s">
        <v>13</v>
      </c>
      <c r="H13" s="27"/>
      <c r="I13" s="27"/>
      <c r="J13" s="28">
        <f>E11*E12</f>
        <v>6300000</v>
      </c>
      <c r="K13" s="23"/>
    </row>
    <row r="14" spans="1:11" ht="18" customHeight="1">
      <c r="A14" s="7"/>
      <c r="B14" s="98" t="s">
        <v>9</v>
      </c>
      <c r="C14" s="99"/>
      <c r="D14" s="97"/>
      <c r="E14" s="29">
        <v>0.0125</v>
      </c>
      <c r="F14" s="24"/>
      <c r="G14" s="103" t="s">
        <v>20</v>
      </c>
      <c r="H14" s="97"/>
      <c r="I14" s="97"/>
      <c r="J14" s="104">
        <f>J13-J11</f>
        <v>2571054.5</v>
      </c>
      <c r="K14" s="23"/>
    </row>
    <row r="15" spans="1:11" ht="18" customHeight="1">
      <c r="A15" s="7"/>
      <c r="B15" s="98" t="s">
        <v>15</v>
      </c>
      <c r="C15" s="99"/>
      <c r="D15" s="97"/>
      <c r="E15" s="30">
        <v>0.5</v>
      </c>
      <c r="F15" s="24"/>
      <c r="G15" s="103" t="s">
        <v>21</v>
      </c>
      <c r="H15" s="97"/>
      <c r="I15" s="97"/>
      <c r="J15" s="104">
        <f>J13-J12</f>
        <v>2104936.3125</v>
      </c>
      <c r="K15" s="23"/>
    </row>
    <row r="16" spans="1:11" ht="18" customHeight="1" thickBot="1">
      <c r="A16" s="7"/>
      <c r="B16" s="100" t="s">
        <v>10</v>
      </c>
      <c r="C16" s="101"/>
      <c r="D16" s="102"/>
      <c r="E16" s="31">
        <v>12</v>
      </c>
      <c r="F16" s="5"/>
      <c r="G16" s="106"/>
      <c r="H16" s="102"/>
      <c r="I16" s="107"/>
      <c r="J16" s="108"/>
      <c r="K16" s="23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32"/>
      <c r="K17" s="23"/>
    </row>
    <row r="18" spans="1:12" ht="18" customHeight="1">
      <c r="A18" s="7"/>
      <c r="B18" s="148" t="s">
        <v>32</v>
      </c>
      <c r="C18" s="149"/>
      <c r="D18" s="149"/>
      <c r="E18" s="149" t="s">
        <v>23</v>
      </c>
      <c r="F18" s="149"/>
      <c r="G18" s="155" t="s">
        <v>24</v>
      </c>
      <c r="H18" s="157" t="s">
        <v>25</v>
      </c>
      <c r="I18" s="159" t="s">
        <v>26</v>
      </c>
      <c r="J18" s="166" t="s">
        <v>6</v>
      </c>
      <c r="K18" s="23"/>
      <c r="L18" s="1"/>
    </row>
    <row r="19" spans="1:12" ht="18" customHeight="1" thickBot="1">
      <c r="A19" s="7"/>
      <c r="B19" s="150"/>
      <c r="C19" s="151"/>
      <c r="D19" s="151"/>
      <c r="E19" s="151"/>
      <c r="F19" s="151"/>
      <c r="G19" s="156"/>
      <c r="H19" s="158"/>
      <c r="I19" s="160"/>
      <c r="J19" s="167"/>
      <c r="K19" s="23"/>
      <c r="L19" s="1"/>
    </row>
    <row r="20" spans="1:12" ht="18" customHeight="1">
      <c r="A20" s="7"/>
      <c r="B20" s="33"/>
      <c r="C20" s="33"/>
      <c r="D20" s="33"/>
      <c r="E20" s="33"/>
      <c r="F20" s="33"/>
      <c r="G20" s="34"/>
      <c r="H20" s="35"/>
      <c r="I20" s="36"/>
      <c r="J20" s="36"/>
      <c r="K20" s="23"/>
      <c r="L20" s="1"/>
    </row>
    <row r="21" spans="1:12" ht="18" customHeight="1">
      <c r="A21" s="7"/>
      <c r="B21" s="33" t="s">
        <v>27</v>
      </c>
      <c r="C21" s="33"/>
      <c r="D21" s="33"/>
      <c r="E21" s="33"/>
      <c r="F21" s="33"/>
      <c r="G21" s="34"/>
      <c r="H21" s="35"/>
      <c r="I21" s="36"/>
      <c r="J21" s="36"/>
      <c r="K21" s="23"/>
      <c r="L21" s="1"/>
    </row>
    <row r="22" spans="1:13" ht="18" customHeight="1">
      <c r="A22" s="7"/>
      <c r="B22" s="144" t="s">
        <v>94</v>
      </c>
      <c r="C22" s="145"/>
      <c r="D22" s="145"/>
      <c r="E22" s="146" t="s">
        <v>78</v>
      </c>
      <c r="F22" s="147"/>
      <c r="G22" s="68">
        <v>10</v>
      </c>
      <c r="H22" s="68" t="s">
        <v>11</v>
      </c>
      <c r="I22" s="69">
        <v>12000</v>
      </c>
      <c r="J22" s="70">
        <f aca="true" t="shared" si="0" ref="J22:J27">G22*I22</f>
        <v>120000</v>
      </c>
      <c r="L22" s="1"/>
      <c r="M22" s="47"/>
    </row>
    <row r="23" spans="1:13" ht="18" customHeight="1">
      <c r="A23" s="7"/>
      <c r="B23" s="161" t="s">
        <v>47</v>
      </c>
      <c r="C23" s="162"/>
      <c r="D23" s="163"/>
      <c r="E23" s="137" t="s">
        <v>79</v>
      </c>
      <c r="F23" s="138"/>
      <c r="G23" s="71">
        <v>8</v>
      </c>
      <c r="H23" s="71" t="s">
        <v>11</v>
      </c>
      <c r="I23" s="72">
        <v>12000</v>
      </c>
      <c r="J23" s="73">
        <f t="shared" si="0"/>
        <v>96000</v>
      </c>
      <c r="L23" s="1"/>
      <c r="M23" s="47"/>
    </row>
    <row r="24" spans="1:12" ht="18" customHeight="1">
      <c r="A24" s="7"/>
      <c r="B24" s="74" t="s">
        <v>53</v>
      </c>
      <c r="C24" s="75"/>
      <c r="D24" s="75"/>
      <c r="E24" s="137" t="s">
        <v>77</v>
      </c>
      <c r="F24" s="138"/>
      <c r="G24" s="76">
        <v>156</v>
      </c>
      <c r="H24" s="76" t="s">
        <v>99</v>
      </c>
      <c r="I24" s="72">
        <v>2000</v>
      </c>
      <c r="J24" s="73">
        <f t="shared" si="0"/>
        <v>312000</v>
      </c>
      <c r="L24" s="1"/>
    </row>
    <row r="25" spans="1:12" ht="18" customHeight="1">
      <c r="A25" s="7"/>
      <c r="B25" s="74" t="s">
        <v>54</v>
      </c>
      <c r="C25" s="75"/>
      <c r="D25" s="75"/>
      <c r="E25" s="137" t="s">
        <v>80</v>
      </c>
      <c r="F25" s="138"/>
      <c r="G25" s="76">
        <v>4</v>
      </c>
      <c r="H25" s="76" t="s">
        <v>11</v>
      </c>
      <c r="I25" s="72">
        <v>12000</v>
      </c>
      <c r="J25" s="73">
        <f t="shared" si="0"/>
        <v>48000</v>
      </c>
      <c r="L25" s="1"/>
    </row>
    <row r="26" spans="1:12" ht="18" customHeight="1">
      <c r="A26" s="7"/>
      <c r="B26" s="161" t="s">
        <v>48</v>
      </c>
      <c r="C26" s="162"/>
      <c r="D26" s="163"/>
      <c r="E26" s="137" t="s">
        <v>88</v>
      </c>
      <c r="F26" s="138"/>
      <c r="G26" s="71">
        <f>Hoja1!C5*Hoja1!C2</f>
        <v>3500</v>
      </c>
      <c r="H26" s="71" t="s">
        <v>12</v>
      </c>
      <c r="I26" s="72">
        <v>90</v>
      </c>
      <c r="J26" s="73">
        <f t="shared" si="0"/>
        <v>315000</v>
      </c>
      <c r="L26" s="1"/>
    </row>
    <row r="27" spans="1:12" ht="18" customHeight="1">
      <c r="A27" s="7"/>
      <c r="B27" s="112" t="s">
        <v>81</v>
      </c>
      <c r="C27" s="113"/>
      <c r="D27" s="113"/>
      <c r="E27" s="164" t="s">
        <v>88</v>
      </c>
      <c r="F27" s="165"/>
      <c r="G27" s="76">
        <f>Hoja1!C6*Hoja1!C2</f>
        <v>3500</v>
      </c>
      <c r="H27" s="76" t="s">
        <v>12</v>
      </c>
      <c r="I27" s="72">
        <v>90</v>
      </c>
      <c r="J27" s="115">
        <f t="shared" si="0"/>
        <v>315000</v>
      </c>
      <c r="L27" s="1"/>
    </row>
    <row r="28" spans="1:12" ht="18" customHeight="1">
      <c r="A28" s="7"/>
      <c r="B28" s="139" t="s">
        <v>28</v>
      </c>
      <c r="C28" s="140"/>
      <c r="D28" s="140"/>
      <c r="E28" s="140"/>
      <c r="F28" s="140"/>
      <c r="G28" s="140"/>
      <c r="H28" s="140"/>
      <c r="I28" s="140"/>
      <c r="J28" s="119">
        <f>SUM(J22:J27)</f>
        <v>1206000</v>
      </c>
      <c r="L28" s="1"/>
    </row>
    <row r="29" spans="1:12" s="2" customFormat="1" ht="18" customHeight="1">
      <c r="A29" s="37"/>
      <c r="B29" s="33"/>
      <c r="C29" s="33"/>
      <c r="D29" s="33"/>
      <c r="E29" s="33"/>
      <c r="F29" s="33"/>
      <c r="G29" s="34"/>
      <c r="H29" s="35"/>
      <c r="I29" s="36"/>
      <c r="J29" s="36"/>
      <c r="K29"/>
      <c r="L29" s="1"/>
    </row>
    <row r="30" spans="1:12" s="3" customFormat="1" ht="18" customHeight="1">
      <c r="A30" s="39"/>
      <c r="B30" s="33" t="s">
        <v>29</v>
      </c>
      <c r="C30" s="33"/>
      <c r="D30" s="33"/>
      <c r="E30" s="33"/>
      <c r="F30" s="33"/>
      <c r="G30" s="34"/>
      <c r="H30" s="35"/>
      <c r="I30" s="36"/>
      <c r="J30" s="36"/>
      <c r="K30"/>
      <c r="L30" s="1"/>
    </row>
    <row r="31" spans="1:12" ht="18" customHeight="1">
      <c r="A31" s="7"/>
      <c r="B31" s="77" t="s">
        <v>58</v>
      </c>
      <c r="C31" s="78"/>
      <c r="D31" s="78"/>
      <c r="E31" s="146" t="s">
        <v>56</v>
      </c>
      <c r="F31" s="147"/>
      <c r="G31" s="79">
        <v>1</v>
      </c>
      <c r="H31" s="80" t="s">
        <v>46</v>
      </c>
      <c r="I31" s="69">
        <v>50000</v>
      </c>
      <c r="J31" s="70">
        <f aca="true" t="shared" si="1" ref="J31:J36">G31*I31</f>
        <v>50000</v>
      </c>
      <c r="L31" s="1"/>
    </row>
    <row r="32" spans="1:12" ht="18" customHeight="1">
      <c r="A32" s="7"/>
      <c r="B32" s="161" t="s">
        <v>117</v>
      </c>
      <c r="C32" s="162"/>
      <c r="D32" s="163"/>
      <c r="E32" s="137" t="s">
        <v>88</v>
      </c>
      <c r="F32" s="138"/>
      <c r="G32" s="81">
        <v>1</v>
      </c>
      <c r="H32" s="71" t="s">
        <v>46</v>
      </c>
      <c r="I32" s="72">
        <v>70000</v>
      </c>
      <c r="J32" s="73">
        <f t="shared" si="1"/>
        <v>70000</v>
      </c>
      <c r="L32" s="1"/>
    </row>
    <row r="33" spans="1:12" ht="18" customHeight="1">
      <c r="A33" s="7"/>
      <c r="B33" s="161" t="s">
        <v>50</v>
      </c>
      <c r="C33" s="162"/>
      <c r="D33" s="163"/>
      <c r="E33" s="137" t="s">
        <v>95</v>
      </c>
      <c r="F33" s="138"/>
      <c r="G33" s="81">
        <v>8</v>
      </c>
      <c r="H33" s="71" t="s">
        <v>46</v>
      </c>
      <c r="I33" s="72">
        <v>30000</v>
      </c>
      <c r="J33" s="73">
        <f t="shared" si="1"/>
        <v>240000</v>
      </c>
      <c r="L33" s="1"/>
    </row>
    <row r="34" spans="1:12" ht="18" customHeight="1">
      <c r="A34" s="7"/>
      <c r="B34" s="112" t="s">
        <v>140</v>
      </c>
      <c r="C34" s="113"/>
      <c r="D34" s="114"/>
      <c r="E34" s="137" t="s">
        <v>88</v>
      </c>
      <c r="F34" s="138"/>
      <c r="G34" s="81">
        <f>Hoja1!C7*Hoja1!C2</f>
        <v>1</v>
      </c>
      <c r="H34" s="71" t="s">
        <v>46</v>
      </c>
      <c r="I34" s="72">
        <v>85000</v>
      </c>
      <c r="J34" s="73">
        <f t="shared" si="1"/>
        <v>85000</v>
      </c>
      <c r="L34" s="1"/>
    </row>
    <row r="35" spans="1:12" ht="18" customHeight="1">
      <c r="A35" s="7"/>
      <c r="B35" s="112" t="s">
        <v>131</v>
      </c>
      <c r="C35" s="113"/>
      <c r="D35" s="114"/>
      <c r="E35" s="137" t="s">
        <v>88</v>
      </c>
      <c r="F35" s="138"/>
      <c r="G35" s="81">
        <f>Hoja1!C8*Hoja1!C2</f>
        <v>9</v>
      </c>
      <c r="H35" s="71" t="s">
        <v>132</v>
      </c>
      <c r="I35" s="72">
        <v>1000</v>
      </c>
      <c r="J35" s="73">
        <f t="shared" si="1"/>
        <v>9000</v>
      </c>
      <c r="L35" s="1"/>
    </row>
    <row r="36" spans="1:12" ht="18" customHeight="1">
      <c r="A36" s="7"/>
      <c r="B36" s="116" t="s">
        <v>133</v>
      </c>
      <c r="C36" s="117"/>
      <c r="D36" s="118"/>
      <c r="E36" s="164" t="s">
        <v>88</v>
      </c>
      <c r="F36" s="165"/>
      <c r="G36" s="81">
        <f>Hoja1!C9*Hoja1!C2</f>
        <v>3500</v>
      </c>
      <c r="H36" s="71" t="s">
        <v>12</v>
      </c>
      <c r="I36" s="72">
        <v>6</v>
      </c>
      <c r="J36" s="115">
        <f t="shared" si="1"/>
        <v>21000</v>
      </c>
      <c r="L36" s="1"/>
    </row>
    <row r="37" spans="1:12" ht="18" customHeight="1">
      <c r="A37" s="7"/>
      <c r="B37" s="139" t="s">
        <v>30</v>
      </c>
      <c r="C37" s="140"/>
      <c r="D37" s="140"/>
      <c r="E37" s="140"/>
      <c r="F37" s="140"/>
      <c r="G37" s="140"/>
      <c r="H37" s="140"/>
      <c r="I37" s="140"/>
      <c r="J37" s="119">
        <f>SUM(J31:J36)</f>
        <v>475000</v>
      </c>
      <c r="L37" s="1"/>
    </row>
    <row r="38" spans="1:12" s="2" customFormat="1" ht="18" customHeight="1">
      <c r="A38" s="37"/>
      <c r="B38" s="33"/>
      <c r="C38" s="33"/>
      <c r="D38" s="33"/>
      <c r="E38" s="33"/>
      <c r="F38" s="33"/>
      <c r="G38" s="34"/>
      <c r="H38" s="35"/>
      <c r="I38" s="36"/>
      <c r="J38" s="36"/>
      <c r="K38"/>
      <c r="L38" s="1"/>
    </row>
    <row r="39" spans="1:12" ht="18" customHeight="1">
      <c r="A39" s="7"/>
      <c r="B39" s="33" t="s">
        <v>31</v>
      </c>
      <c r="C39" s="33"/>
      <c r="D39" s="33"/>
      <c r="E39" s="33"/>
      <c r="F39" s="33"/>
      <c r="G39" s="34"/>
      <c r="H39" s="35"/>
      <c r="I39" s="36"/>
      <c r="J39" s="36"/>
      <c r="L39" s="1"/>
    </row>
    <row r="40" spans="1:12" ht="18" customHeight="1">
      <c r="A40" s="7"/>
      <c r="B40" s="129" t="s">
        <v>139</v>
      </c>
      <c r="C40" s="130"/>
      <c r="D40" s="130"/>
      <c r="E40" s="146"/>
      <c r="F40" s="147"/>
      <c r="G40" s="82"/>
      <c r="H40" s="83"/>
      <c r="I40" s="84"/>
      <c r="J40" s="85"/>
      <c r="L40" s="1"/>
    </row>
    <row r="41" spans="1:12" ht="18" customHeight="1">
      <c r="A41" s="7"/>
      <c r="B41" s="131" t="s">
        <v>118</v>
      </c>
      <c r="C41" s="132"/>
      <c r="D41" s="133"/>
      <c r="E41" s="137" t="s">
        <v>60</v>
      </c>
      <c r="F41" s="138"/>
      <c r="G41" s="76">
        <v>200</v>
      </c>
      <c r="H41" s="86" t="s">
        <v>12</v>
      </c>
      <c r="I41" s="87">
        <v>314</v>
      </c>
      <c r="J41" s="88">
        <f>G41*I41</f>
        <v>62800</v>
      </c>
      <c r="L41" s="1"/>
    </row>
    <row r="42" spans="1:12" ht="18" customHeight="1">
      <c r="A42" s="7"/>
      <c r="B42" s="131" t="s">
        <v>82</v>
      </c>
      <c r="C42" s="132"/>
      <c r="D42" s="133"/>
      <c r="E42" s="137" t="s">
        <v>100</v>
      </c>
      <c r="F42" s="138"/>
      <c r="G42" s="76">
        <v>80</v>
      </c>
      <c r="H42" s="86" t="s">
        <v>12</v>
      </c>
      <c r="I42" s="87">
        <v>575</v>
      </c>
      <c r="J42" s="88">
        <f aca="true" t="shared" si="2" ref="J42:J76">G42*I42</f>
        <v>46000</v>
      </c>
      <c r="L42" s="1"/>
    </row>
    <row r="43" spans="1:12" ht="18" customHeight="1">
      <c r="A43" s="7"/>
      <c r="B43" s="131" t="s">
        <v>83</v>
      </c>
      <c r="C43" s="132"/>
      <c r="D43" s="133"/>
      <c r="E43" s="137" t="s">
        <v>84</v>
      </c>
      <c r="F43" s="138"/>
      <c r="G43" s="76">
        <v>50</v>
      </c>
      <c r="H43" s="86" t="s">
        <v>12</v>
      </c>
      <c r="I43" s="87">
        <v>730</v>
      </c>
      <c r="J43" s="88">
        <f t="shared" si="2"/>
        <v>36500</v>
      </c>
      <c r="L43" s="1"/>
    </row>
    <row r="44" spans="1:12" ht="18" customHeight="1">
      <c r="A44" s="7"/>
      <c r="B44" s="131" t="s">
        <v>127</v>
      </c>
      <c r="C44" s="132"/>
      <c r="D44" s="133"/>
      <c r="E44" s="137" t="s">
        <v>128</v>
      </c>
      <c r="F44" s="138"/>
      <c r="G44" s="76">
        <v>40</v>
      </c>
      <c r="H44" s="86" t="s">
        <v>12</v>
      </c>
      <c r="I44" s="87">
        <v>391</v>
      </c>
      <c r="J44" s="88">
        <f t="shared" si="2"/>
        <v>15640</v>
      </c>
      <c r="L44" s="1"/>
    </row>
    <row r="45" spans="1:12" ht="18" customHeight="1">
      <c r="A45" s="7"/>
      <c r="B45" s="131"/>
      <c r="C45" s="132"/>
      <c r="D45" s="133"/>
      <c r="E45" s="137"/>
      <c r="F45" s="138"/>
      <c r="G45" s="76"/>
      <c r="H45" s="86"/>
      <c r="I45" s="87"/>
      <c r="J45" s="88"/>
      <c r="L45" s="1"/>
    </row>
    <row r="46" spans="1:12" ht="18" customHeight="1">
      <c r="A46" s="7"/>
      <c r="B46" s="134" t="s">
        <v>69</v>
      </c>
      <c r="C46" s="135"/>
      <c r="D46" s="136"/>
      <c r="E46" s="137"/>
      <c r="F46" s="138"/>
      <c r="G46" s="89"/>
      <c r="H46" s="90"/>
      <c r="I46" s="91"/>
      <c r="J46" s="88"/>
      <c r="L46" s="1"/>
    </row>
    <row r="47" spans="1:12" ht="18" customHeight="1">
      <c r="A47" s="7"/>
      <c r="B47" s="126" t="s">
        <v>119</v>
      </c>
      <c r="C47" s="127"/>
      <c r="D47" s="128"/>
      <c r="E47" s="137" t="s">
        <v>96</v>
      </c>
      <c r="F47" s="138"/>
      <c r="G47" s="76">
        <v>70</v>
      </c>
      <c r="H47" s="86" t="s">
        <v>12</v>
      </c>
      <c r="I47" s="87">
        <v>5100</v>
      </c>
      <c r="J47" s="88">
        <f t="shared" si="2"/>
        <v>357000</v>
      </c>
      <c r="L47" s="1"/>
    </row>
    <row r="48" spans="1:12" ht="18" customHeight="1">
      <c r="A48" s="7"/>
      <c r="B48" s="126" t="s">
        <v>89</v>
      </c>
      <c r="C48" s="127"/>
      <c r="D48" s="128"/>
      <c r="E48" s="137" t="s">
        <v>97</v>
      </c>
      <c r="F48" s="138"/>
      <c r="G48" s="76">
        <v>40</v>
      </c>
      <c r="H48" s="86" t="s">
        <v>55</v>
      </c>
      <c r="I48" s="87">
        <v>2912</v>
      </c>
      <c r="J48" s="88">
        <f t="shared" si="2"/>
        <v>116480</v>
      </c>
      <c r="L48" s="1"/>
    </row>
    <row r="49" spans="1:12" ht="18" customHeight="1">
      <c r="A49" s="7"/>
      <c r="B49" s="126" t="s">
        <v>120</v>
      </c>
      <c r="C49" s="124"/>
      <c r="D49" s="125"/>
      <c r="E49" s="137" t="s">
        <v>77</v>
      </c>
      <c r="F49" s="138"/>
      <c r="G49" s="76">
        <v>4</v>
      </c>
      <c r="H49" s="86" t="s">
        <v>55</v>
      </c>
      <c r="I49" s="87">
        <v>1800</v>
      </c>
      <c r="J49" s="88">
        <f t="shared" si="2"/>
        <v>7200</v>
      </c>
      <c r="L49" s="1"/>
    </row>
    <row r="50" spans="1:12" ht="18" customHeight="1">
      <c r="A50" s="7"/>
      <c r="B50" s="126"/>
      <c r="C50" s="127"/>
      <c r="D50" s="128"/>
      <c r="E50" s="137"/>
      <c r="F50" s="138"/>
      <c r="G50" s="76"/>
      <c r="H50" s="86"/>
      <c r="I50" s="87"/>
      <c r="J50" s="88"/>
      <c r="L50" s="1"/>
    </row>
    <row r="51" spans="1:12" ht="18" customHeight="1">
      <c r="A51" s="7"/>
      <c r="B51" s="123" t="s">
        <v>70</v>
      </c>
      <c r="C51" s="127"/>
      <c r="D51" s="128"/>
      <c r="E51" s="137"/>
      <c r="F51" s="138"/>
      <c r="G51" s="76"/>
      <c r="H51" s="86"/>
      <c r="I51" s="87"/>
      <c r="J51" s="88"/>
      <c r="L51" s="1"/>
    </row>
    <row r="52" spans="1:12" ht="18" customHeight="1">
      <c r="A52" s="7"/>
      <c r="B52" s="126" t="s">
        <v>106</v>
      </c>
      <c r="C52" s="127"/>
      <c r="D52" s="128"/>
      <c r="E52" s="137" t="s">
        <v>60</v>
      </c>
      <c r="F52" s="138"/>
      <c r="G52" s="76">
        <v>5</v>
      </c>
      <c r="H52" s="86" t="s">
        <v>55</v>
      </c>
      <c r="I52" s="87">
        <v>5348</v>
      </c>
      <c r="J52" s="88">
        <f t="shared" si="2"/>
        <v>26740</v>
      </c>
      <c r="L52" s="1"/>
    </row>
    <row r="53" spans="1:12" ht="18" customHeight="1">
      <c r="A53" s="7"/>
      <c r="B53" s="126" t="s">
        <v>85</v>
      </c>
      <c r="C53" s="127"/>
      <c r="D53" s="128"/>
      <c r="E53" s="137" t="s">
        <v>86</v>
      </c>
      <c r="F53" s="138"/>
      <c r="G53" s="76">
        <v>4</v>
      </c>
      <c r="H53" s="86" t="s">
        <v>55</v>
      </c>
      <c r="I53" s="87">
        <v>10450</v>
      </c>
      <c r="J53" s="88">
        <f t="shared" si="2"/>
        <v>41800</v>
      </c>
      <c r="L53" s="1"/>
    </row>
    <row r="54" spans="1:12" ht="18" customHeight="1">
      <c r="A54" s="7"/>
      <c r="B54" s="123"/>
      <c r="C54" s="127"/>
      <c r="D54" s="127"/>
      <c r="E54" s="137"/>
      <c r="F54" s="138"/>
      <c r="G54" s="76"/>
      <c r="H54" s="86"/>
      <c r="I54" s="87"/>
      <c r="J54" s="88"/>
      <c r="L54" s="1"/>
    </row>
    <row r="55" spans="1:12" ht="18" customHeight="1">
      <c r="A55" s="7"/>
      <c r="B55" s="123" t="s">
        <v>71</v>
      </c>
      <c r="C55" s="127"/>
      <c r="D55" s="127"/>
      <c r="E55" s="137"/>
      <c r="F55" s="138"/>
      <c r="G55" s="76"/>
      <c r="H55" s="86"/>
      <c r="I55" s="87"/>
      <c r="J55" s="88"/>
      <c r="L55" s="1"/>
    </row>
    <row r="56" spans="1:12" ht="18" customHeight="1">
      <c r="A56" s="7"/>
      <c r="B56" s="126" t="s">
        <v>122</v>
      </c>
      <c r="C56" s="127"/>
      <c r="D56" s="127"/>
      <c r="E56" s="137" t="s">
        <v>60</v>
      </c>
      <c r="F56" s="138"/>
      <c r="G56" s="76">
        <v>3</v>
      </c>
      <c r="H56" s="86" t="s">
        <v>55</v>
      </c>
      <c r="I56" s="87">
        <v>5348</v>
      </c>
      <c r="J56" s="88">
        <f t="shared" si="2"/>
        <v>16044</v>
      </c>
      <c r="L56" s="1"/>
    </row>
    <row r="57" spans="1:12" ht="18" customHeight="1">
      <c r="A57" s="7"/>
      <c r="B57" s="126" t="s">
        <v>121</v>
      </c>
      <c r="C57" s="127"/>
      <c r="D57" s="127"/>
      <c r="E57" s="137" t="s">
        <v>93</v>
      </c>
      <c r="F57" s="138"/>
      <c r="G57" s="76">
        <v>0.5</v>
      </c>
      <c r="H57" s="86" t="s">
        <v>55</v>
      </c>
      <c r="I57" s="87">
        <v>33151</v>
      </c>
      <c r="J57" s="88">
        <f t="shared" si="2"/>
        <v>16575.5</v>
      </c>
      <c r="L57" s="1"/>
    </row>
    <row r="58" spans="1:12" ht="18" customHeight="1">
      <c r="A58" s="7"/>
      <c r="B58" s="126" t="s">
        <v>103</v>
      </c>
      <c r="C58" s="127"/>
      <c r="D58" s="127"/>
      <c r="E58" s="137" t="s">
        <v>109</v>
      </c>
      <c r="F58" s="138"/>
      <c r="G58" s="76">
        <v>3</v>
      </c>
      <c r="H58" s="86" t="s">
        <v>55</v>
      </c>
      <c r="I58" s="87">
        <v>9464</v>
      </c>
      <c r="J58" s="88">
        <f t="shared" si="2"/>
        <v>28392</v>
      </c>
      <c r="L58" s="1"/>
    </row>
    <row r="59" spans="1:12" ht="18" customHeight="1">
      <c r="A59" s="7"/>
      <c r="B59" s="126" t="s">
        <v>107</v>
      </c>
      <c r="C59" s="127"/>
      <c r="D59" s="127"/>
      <c r="E59" s="137" t="s">
        <v>93</v>
      </c>
      <c r="F59" s="138"/>
      <c r="G59" s="76">
        <v>1</v>
      </c>
      <c r="H59" s="86" t="s">
        <v>55</v>
      </c>
      <c r="I59" s="87">
        <v>73476</v>
      </c>
      <c r="J59" s="88">
        <f t="shared" si="2"/>
        <v>73476</v>
      </c>
      <c r="L59" s="1"/>
    </row>
    <row r="60" spans="1:12" ht="18" customHeight="1">
      <c r="A60" s="7"/>
      <c r="B60" s="126"/>
      <c r="C60" s="127"/>
      <c r="D60" s="127"/>
      <c r="E60" s="137"/>
      <c r="F60" s="138"/>
      <c r="G60" s="76"/>
      <c r="H60" s="86"/>
      <c r="I60" s="87"/>
      <c r="J60" s="88"/>
      <c r="L60" s="1"/>
    </row>
    <row r="61" spans="1:12" ht="18" customHeight="1">
      <c r="A61" s="7"/>
      <c r="B61" s="123" t="s">
        <v>111</v>
      </c>
      <c r="C61" s="127"/>
      <c r="D61" s="127"/>
      <c r="E61" s="137"/>
      <c r="F61" s="138"/>
      <c r="G61" s="76"/>
      <c r="H61" s="86"/>
      <c r="I61" s="87"/>
      <c r="J61" s="88"/>
      <c r="L61" s="1"/>
    </row>
    <row r="62" spans="1:12" ht="18" customHeight="1">
      <c r="A62" s="7"/>
      <c r="B62" s="126" t="s">
        <v>108</v>
      </c>
      <c r="C62" s="127"/>
      <c r="D62" s="127"/>
      <c r="E62" s="137" t="s">
        <v>57</v>
      </c>
      <c r="F62" s="138"/>
      <c r="G62" s="76">
        <v>1</v>
      </c>
      <c r="H62" s="86" t="s">
        <v>55</v>
      </c>
      <c r="I62" s="87">
        <v>33468</v>
      </c>
      <c r="J62" s="88">
        <f t="shared" si="2"/>
        <v>33468</v>
      </c>
      <c r="L62" s="1"/>
    </row>
    <row r="63" spans="1:12" ht="18" customHeight="1">
      <c r="A63" s="7"/>
      <c r="B63" s="126"/>
      <c r="C63" s="127"/>
      <c r="D63" s="127"/>
      <c r="E63" s="137"/>
      <c r="F63" s="138"/>
      <c r="G63" s="76"/>
      <c r="H63" s="86"/>
      <c r="I63" s="87"/>
      <c r="J63" s="88"/>
      <c r="L63" s="1"/>
    </row>
    <row r="64" spans="1:12" ht="18" customHeight="1">
      <c r="A64" s="7"/>
      <c r="B64" s="123" t="s">
        <v>90</v>
      </c>
      <c r="C64" s="127"/>
      <c r="D64" s="127"/>
      <c r="E64" s="137"/>
      <c r="F64" s="138"/>
      <c r="G64" s="76"/>
      <c r="H64" s="86"/>
      <c r="I64" s="87"/>
      <c r="J64" s="88"/>
      <c r="L64" s="1"/>
    </row>
    <row r="65" spans="1:12" ht="18" customHeight="1">
      <c r="A65" s="7"/>
      <c r="B65" s="126" t="s">
        <v>91</v>
      </c>
      <c r="C65" s="127"/>
      <c r="D65" s="127"/>
      <c r="E65" s="137" t="s">
        <v>92</v>
      </c>
      <c r="F65" s="138"/>
      <c r="G65" s="76">
        <v>2</v>
      </c>
      <c r="H65" s="86" t="s">
        <v>12</v>
      </c>
      <c r="I65" s="87">
        <v>45000</v>
      </c>
      <c r="J65" s="88">
        <f t="shared" si="2"/>
        <v>90000</v>
      </c>
      <c r="L65" s="1"/>
    </row>
    <row r="66" spans="1:12" ht="18" customHeight="1">
      <c r="A66" s="7"/>
      <c r="B66" s="126"/>
      <c r="C66" s="127"/>
      <c r="D66" s="127"/>
      <c r="E66" s="137"/>
      <c r="F66" s="138"/>
      <c r="G66" s="76"/>
      <c r="H66" s="86"/>
      <c r="I66" s="87"/>
      <c r="J66" s="88"/>
      <c r="L66" s="1"/>
    </row>
    <row r="67" spans="1:12" ht="18" customHeight="1">
      <c r="A67" s="7"/>
      <c r="B67" s="123" t="s">
        <v>72</v>
      </c>
      <c r="C67" s="124"/>
      <c r="D67" s="125"/>
      <c r="E67" s="137"/>
      <c r="F67" s="138"/>
      <c r="G67" s="76"/>
      <c r="H67" s="86"/>
      <c r="I67" s="87"/>
      <c r="J67" s="88"/>
      <c r="L67" s="1"/>
    </row>
    <row r="68" spans="1:12" ht="18" customHeight="1">
      <c r="A68" s="7"/>
      <c r="B68" s="126" t="s">
        <v>124</v>
      </c>
      <c r="C68" s="124"/>
      <c r="D68" s="127"/>
      <c r="E68" s="137" t="s">
        <v>110</v>
      </c>
      <c r="F68" s="138"/>
      <c r="G68" s="76">
        <v>1</v>
      </c>
      <c r="H68" s="86" t="s">
        <v>12</v>
      </c>
      <c r="I68" s="87">
        <v>390000</v>
      </c>
      <c r="J68" s="88">
        <f>G68*I68</f>
        <v>390000</v>
      </c>
      <c r="L68" s="1"/>
    </row>
    <row r="69" spans="1:12" ht="18" customHeight="1">
      <c r="A69" s="7"/>
      <c r="B69" s="126" t="s">
        <v>123</v>
      </c>
      <c r="C69" s="127"/>
      <c r="D69" s="127"/>
      <c r="E69" s="137" t="s">
        <v>59</v>
      </c>
      <c r="F69" s="138"/>
      <c r="G69" s="76">
        <v>20</v>
      </c>
      <c r="H69" s="86" t="s">
        <v>55</v>
      </c>
      <c r="I69" s="87">
        <v>6870</v>
      </c>
      <c r="J69" s="88">
        <f>G69*I69</f>
        <v>137400</v>
      </c>
      <c r="L69" s="1"/>
    </row>
    <row r="70" spans="1:12" ht="18" customHeight="1">
      <c r="A70" s="7"/>
      <c r="B70" s="126" t="s">
        <v>104</v>
      </c>
      <c r="C70" s="124"/>
      <c r="D70" s="127"/>
      <c r="E70" s="137" t="s">
        <v>105</v>
      </c>
      <c r="F70" s="138"/>
      <c r="G70" s="76">
        <v>1</v>
      </c>
      <c r="H70" s="86" t="s">
        <v>55</v>
      </c>
      <c r="I70" s="87">
        <v>30430</v>
      </c>
      <c r="J70" s="88">
        <f>G70*I70</f>
        <v>30430</v>
      </c>
      <c r="L70" s="1"/>
    </row>
    <row r="71" spans="1:12" ht="18" customHeight="1">
      <c r="A71" s="7"/>
      <c r="B71" s="126" t="s">
        <v>143</v>
      </c>
      <c r="C71" s="124"/>
      <c r="D71" s="125"/>
      <c r="E71" s="137" t="s">
        <v>88</v>
      </c>
      <c r="F71" s="138"/>
      <c r="G71" s="76">
        <v>10</v>
      </c>
      <c r="H71" s="86" t="s">
        <v>25</v>
      </c>
      <c r="I71" s="87">
        <v>10000</v>
      </c>
      <c r="J71" s="88">
        <f t="shared" si="2"/>
        <v>100000</v>
      </c>
      <c r="L71" s="1"/>
    </row>
    <row r="72" spans="1:12" ht="18" customHeight="1">
      <c r="A72" s="7"/>
      <c r="B72" s="126" t="s">
        <v>101</v>
      </c>
      <c r="C72" s="92"/>
      <c r="D72" s="93"/>
      <c r="E72" s="137" t="s">
        <v>102</v>
      </c>
      <c r="F72" s="138"/>
      <c r="G72" s="76">
        <v>1</v>
      </c>
      <c r="H72" s="86" t="s">
        <v>46</v>
      </c>
      <c r="I72" s="87">
        <v>120000</v>
      </c>
      <c r="J72" s="88">
        <f t="shared" si="2"/>
        <v>120000</v>
      </c>
      <c r="L72" s="1"/>
    </row>
    <row r="73" spans="1:12" ht="18" customHeight="1">
      <c r="A73" s="7"/>
      <c r="B73" s="126" t="s">
        <v>125</v>
      </c>
      <c r="C73" s="127"/>
      <c r="D73" s="128"/>
      <c r="E73" s="137" t="s">
        <v>88</v>
      </c>
      <c r="F73" s="138"/>
      <c r="G73" s="76">
        <v>10</v>
      </c>
      <c r="H73" s="86" t="s">
        <v>25</v>
      </c>
      <c r="I73" s="87">
        <v>10000</v>
      </c>
      <c r="J73" s="88">
        <f>G73*I73</f>
        <v>100000</v>
      </c>
      <c r="L73" s="1"/>
    </row>
    <row r="74" spans="1:12" ht="18" customHeight="1">
      <c r="A74" s="7"/>
      <c r="B74" s="126" t="s">
        <v>136</v>
      </c>
      <c r="C74" s="127"/>
      <c r="D74" s="128"/>
      <c r="E74" s="137" t="s">
        <v>134</v>
      </c>
      <c r="F74" s="138"/>
      <c r="G74" s="76">
        <v>200</v>
      </c>
      <c r="H74" s="86" t="s">
        <v>135</v>
      </c>
      <c r="I74" s="87">
        <v>2000</v>
      </c>
      <c r="J74" s="88">
        <f>(G74*I74)/5</f>
        <v>80000</v>
      </c>
      <c r="L74" s="1"/>
    </row>
    <row r="75" spans="1:12" ht="18" customHeight="1">
      <c r="A75" s="7"/>
      <c r="B75" s="126" t="s">
        <v>87</v>
      </c>
      <c r="C75" s="127"/>
      <c r="D75" s="128"/>
      <c r="E75" s="137" t="s">
        <v>105</v>
      </c>
      <c r="F75" s="138"/>
      <c r="G75" s="76">
        <v>100</v>
      </c>
      <c r="H75" s="86" t="s">
        <v>25</v>
      </c>
      <c r="I75" s="87">
        <v>100</v>
      </c>
      <c r="J75" s="88">
        <v>100000</v>
      </c>
      <c r="L75" s="1"/>
    </row>
    <row r="76" spans="1:12" ht="18" customHeight="1">
      <c r="A76" s="7"/>
      <c r="B76" s="126" t="s">
        <v>126</v>
      </c>
      <c r="C76" s="127"/>
      <c r="D76" s="128"/>
      <c r="E76" s="164" t="s">
        <v>57</v>
      </c>
      <c r="F76" s="165"/>
      <c r="G76" s="76">
        <v>1</v>
      </c>
      <c r="H76" s="86" t="s">
        <v>25</v>
      </c>
      <c r="I76" s="87">
        <v>22000</v>
      </c>
      <c r="J76" s="94">
        <f t="shared" si="2"/>
        <v>22000</v>
      </c>
      <c r="L76" s="1"/>
    </row>
    <row r="77" spans="1:12" ht="18" customHeight="1">
      <c r="A77" s="7"/>
      <c r="B77" s="199" t="s">
        <v>33</v>
      </c>
      <c r="C77" s="200"/>
      <c r="D77" s="200"/>
      <c r="E77" s="200"/>
      <c r="F77" s="200"/>
      <c r="G77" s="200"/>
      <c r="H77" s="200"/>
      <c r="I77" s="200"/>
      <c r="J77" s="120">
        <f>SUM(J40:J76)</f>
        <v>2047945.5</v>
      </c>
      <c r="K77" s="23"/>
      <c r="L77" s="1"/>
    </row>
    <row r="78" spans="1:12" s="2" customFormat="1" ht="18" customHeight="1">
      <c r="A78" s="37"/>
      <c r="B78" s="40"/>
      <c r="C78" s="40"/>
      <c r="D78" s="40"/>
      <c r="E78" s="40"/>
      <c r="F78" s="40"/>
      <c r="G78" s="40"/>
      <c r="H78" s="40"/>
      <c r="I78" s="40"/>
      <c r="J78" s="41"/>
      <c r="K78" s="23"/>
      <c r="L78" s="1"/>
    </row>
    <row r="79" spans="1:12" ht="18" customHeight="1">
      <c r="A79" s="7"/>
      <c r="B79" s="197" t="s">
        <v>34</v>
      </c>
      <c r="C79" s="198"/>
      <c r="D79" s="198"/>
      <c r="E79" s="198"/>
      <c r="F79" s="198"/>
      <c r="G79" s="198"/>
      <c r="H79" s="198"/>
      <c r="I79" s="198"/>
      <c r="J79" s="121">
        <f>J28+J37+J77</f>
        <v>3728945.5</v>
      </c>
      <c r="K79" s="23"/>
      <c r="L79" s="1"/>
    </row>
    <row r="80" spans="1:12" s="2" customFormat="1" ht="18" customHeight="1">
      <c r="A80" s="37"/>
      <c r="B80" s="33"/>
      <c r="C80" s="33"/>
      <c r="D80" s="33"/>
      <c r="E80" s="33"/>
      <c r="F80" s="34"/>
      <c r="G80" s="35"/>
      <c r="H80" s="36"/>
      <c r="I80" s="36"/>
      <c r="J80" s="33"/>
      <c r="K80" s="23"/>
      <c r="L80" s="1"/>
    </row>
    <row r="81" spans="1:12" ht="18" customHeight="1">
      <c r="A81" s="7"/>
      <c r="B81" s="33" t="s">
        <v>35</v>
      </c>
      <c r="C81" s="33"/>
      <c r="D81" s="33"/>
      <c r="E81" s="49" t="s">
        <v>2</v>
      </c>
      <c r="F81" s="49"/>
      <c r="G81" s="50"/>
      <c r="H81" s="49"/>
      <c r="I81" s="48" t="s">
        <v>1</v>
      </c>
      <c r="J81" s="48" t="s">
        <v>6</v>
      </c>
      <c r="K81" s="23"/>
      <c r="L81" s="1"/>
    </row>
    <row r="82" spans="1:12" ht="18" customHeight="1">
      <c r="A82" s="7"/>
      <c r="B82" s="193" t="s">
        <v>0</v>
      </c>
      <c r="C82" s="193"/>
      <c r="D82" s="193"/>
      <c r="E82" s="193" t="s">
        <v>3</v>
      </c>
      <c r="F82" s="193"/>
      <c r="G82" s="193"/>
      <c r="H82" s="193"/>
      <c r="I82" s="62">
        <v>0.05</v>
      </c>
      <c r="J82" s="63">
        <f>J79*I82</f>
        <v>186447.27500000002</v>
      </c>
      <c r="K82" s="23"/>
      <c r="L82" s="1"/>
    </row>
    <row r="83" spans="1:12" ht="18" customHeight="1">
      <c r="A83" s="7"/>
      <c r="B83" s="193" t="s">
        <v>36</v>
      </c>
      <c r="C83" s="193"/>
      <c r="D83" s="193"/>
      <c r="E83" s="193" t="s">
        <v>7</v>
      </c>
      <c r="F83" s="193"/>
      <c r="G83" s="193"/>
      <c r="H83" s="193"/>
      <c r="I83" s="64">
        <f>E14</f>
        <v>0.0125</v>
      </c>
      <c r="J83" s="63">
        <f>E14*E15*E16*J79</f>
        <v>279670.91250000003</v>
      </c>
      <c r="K83" s="23"/>
      <c r="L83" s="1"/>
    </row>
    <row r="84" spans="1:12" ht="18" customHeight="1">
      <c r="A84" s="7"/>
      <c r="B84" s="193" t="s">
        <v>37</v>
      </c>
      <c r="C84" s="193"/>
      <c r="D84" s="193"/>
      <c r="E84" s="209" t="s">
        <v>5</v>
      </c>
      <c r="F84" s="209"/>
      <c r="G84" s="209"/>
      <c r="H84" s="209"/>
      <c r="I84" s="209"/>
      <c r="J84" s="65"/>
      <c r="K84" s="23"/>
      <c r="L84" s="1"/>
    </row>
    <row r="85" spans="1:12" ht="18" customHeight="1">
      <c r="A85" s="7"/>
      <c r="B85" s="193" t="s">
        <v>4</v>
      </c>
      <c r="C85" s="193"/>
      <c r="D85" s="193"/>
      <c r="E85" s="209"/>
      <c r="F85" s="209"/>
      <c r="G85" s="209"/>
      <c r="H85" s="209"/>
      <c r="I85" s="209"/>
      <c r="J85" s="65"/>
      <c r="K85" s="23"/>
      <c r="L85" s="1"/>
    </row>
    <row r="86" spans="1:12" ht="18" customHeight="1">
      <c r="A86" s="7"/>
      <c r="B86" s="193" t="s">
        <v>38</v>
      </c>
      <c r="C86" s="193"/>
      <c r="D86" s="193"/>
      <c r="E86" s="209"/>
      <c r="F86" s="209"/>
      <c r="G86" s="209"/>
      <c r="H86" s="209"/>
      <c r="I86" s="209"/>
      <c r="J86" s="65"/>
      <c r="K86" s="23"/>
      <c r="L86" s="1"/>
    </row>
    <row r="87" spans="1:12" ht="18" customHeight="1">
      <c r="A87" s="7"/>
      <c r="B87" s="139" t="s">
        <v>39</v>
      </c>
      <c r="C87" s="140"/>
      <c r="D87" s="140"/>
      <c r="E87" s="140"/>
      <c r="F87" s="140"/>
      <c r="G87" s="140"/>
      <c r="H87" s="140"/>
      <c r="I87" s="140"/>
      <c r="J87" s="121">
        <f>SUM(J82:J86)</f>
        <v>466118.18750000006</v>
      </c>
      <c r="K87" s="23"/>
      <c r="L87" s="1"/>
    </row>
    <row r="88" spans="1:12" s="2" customFormat="1" ht="18" customHeight="1">
      <c r="A88" s="37"/>
      <c r="B88" s="35"/>
      <c r="C88" s="35"/>
      <c r="D88" s="35"/>
      <c r="E88" s="35"/>
      <c r="F88" s="35"/>
      <c r="G88" s="35"/>
      <c r="H88" s="35"/>
      <c r="I88" s="35"/>
      <c r="J88" s="38"/>
      <c r="K88" s="23"/>
      <c r="L88" s="1"/>
    </row>
    <row r="89" spans="1:12" ht="18" customHeight="1">
      <c r="A89" s="7"/>
      <c r="B89" s="207" t="s">
        <v>40</v>
      </c>
      <c r="C89" s="208"/>
      <c r="D89" s="208"/>
      <c r="E89" s="208"/>
      <c r="F89" s="208"/>
      <c r="G89" s="208"/>
      <c r="H89" s="208"/>
      <c r="I89" s="208"/>
      <c r="J89" s="122">
        <f>J79+J87</f>
        <v>4195063.6875</v>
      </c>
      <c r="K89" s="23"/>
      <c r="L89" s="1"/>
    </row>
    <row r="90" spans="1:12" s="2" customFormat="1" ht="18" customHeight="1" thickBot="1">
      <c r="A90" s="37"/>
      <c r="B90" s="35"/>
      <c r="C90" s="35"/>
      <c r="D90" s="35"/>
      <c r="E90" s="35"/>
      <c r="F90" s="35"/>
      <c r="G90" s="35"/>
      <c r="H90" s="35"/>
      <c r="I90" s="35"/>
      <c r="J90" s="38"/>
      <c r="K90" s="23"/>
      <c r="L90" s="1"/>
    </row>
    <row r="91" spans="1:12" ht="18" customHeight="1" thickBot="1">
      <c r="A91" s="7"/>
      <c r="B91" s="204" t="s">
        <v>41</v>
      </c>
      <c r="C91" s="205"/>
      <c r="D91" s="205"/>
      <c r="E91" s="205"/>
      <c r="F91" s="205"/>
      <c r="G91" s="205"/>
      <c r="H91" s="205"/>
      <c r="I91" s="205"/>
      <c r="J91" s="206"/>
      <c r="K91" s="23"/>
      <c r="L91" s="1"/>
    </row>
    <row r="92" spans="1:12" s="2" customFormat="1" ht="18" customHeight="1">
      <c r="A92" s="37"/>
      <c r="B92" s="42"/>
      <c r="C92" s="42"/>
      <c r="D92" s="42"/>
      <c r="E92" s="42"/>
      <c r="F92" s="42"/>
      <c r="G92" s="42"/>
      <c r="H92" s="42"/>
      <c r="I92" s="42"/>
      <c r="J92" s="42"/>
      <c r="K92" s="23"/>
      <c r="L92" s="1"/>
    </row>
    <row r="93" spans="1:12" ht="18" customHeight="1">
      <c r="A93" s="7"/>
      <c r="B93" s="37"/>
      <c r="C93" s="37"/>
      <c r="D93" s="180" t="s">
        <v>73</v>
      </c>
      <c r="E93" s="181"/>
      <c r="F93" s="181"/>
      <c r="G93" s="181"/>
      <c r="H93" s="182"/>
      <c r="I93" s="37"/>
      <c r="J93" s="37"/>
      <c r="K93" s="23"/>
      <c r="L93" s="1"/>
    </row>
    <row r="94" spans="1:12" ht="18" customHeight="1">
      <c r="A94" s="7"/>
      <c r="B94" s="37"/>
      <c r="C94" s="37"/>
      <c r="D94" s="174" t="s">
        <v>129</v>
      </c>
      <c r="E94" s="175"/>
      <c r="F94" s="180" t="s">
        <v>49</v>
      </c>
      <c r="G94" s="181"/>
      <c r="H94" s="182"/>
      <c r="I94" s="37"/>
      <c r="J94" s="37"/>
      <c r="K94" s="23"/>
      <c r="L94" s="1"/>
    </row>
    <row r="95" spans="1:12" ht="18" customHeight="1">
      <c r="A95" s="7"/>
      <c r="B95" s="37"/>
      <c r="C95" s="37"/>
      <c r="D95" s="178"/>
      <c r="E95" s="179"/>
      <c r="F95" s="109">
        <f>G95*0.9</f>
        <v>1620</v>
      </c>
      <c r="G95" s="110">
        <f>E12</f>
        <v>1800</v>
      </c>
      <c r="H95" s="109">
        <f>G95*1.1</f>
        <v>1980.0000000000002</v>
      </c>
      <c r="I95" s="37"/>
      <c r="J95" s="37"/>
      <c r="K95" s="23"/>
      <c r="L95" s="1"/>
    </row>
    <row r="96" spans="1:12" ht="18.75">
      <c r="A96" s="7"/>
      <c r="B96" s="37"/>
      <c r="C96" s="37"/>
      <c r="D96" s="187">
        <f>D97*0.9</f>
        <v>3150</v>
      </c>
      <c r="E96" s="188"/>
      <c r="F96" s="43">
        <f>F$95*Ficha!$D$96-Hoja1!$C$40</f>
        <v>991748.8125</v>
      </c>
      <c r="G96" s="43">
        <f>G$95*Ficha!$D$96-Hoja1!$C$40</f>
        <v>1558748.8125</v>
      </c>
      <c r="H96" s="43">
        <f>H$95*Ficha!$D$96-Hoja1!$C$40</f>
        <v>2125748.812500001</v>
      </c>
      <c r="I96" s="37"/>
      <c r="J96" s="37"/>
      <c r="K96" s="23"/>
      <c r="L96" s="1"/>
    </row>
    <row r="97" spans="1:12" s="2" customFormat="1" ht="18.75">
      <c r="A97" s="37"/>
      <c r="B97" s="37"/>
      <c r="C97" s="37"/>
      <c r="D97" s="183">
        <f>E11</f>
        <v>3500</v>
      </c>
      <c r="E97" s="184"/>
      <c r="F97" s="43">
        <f>F$95*$D97-$J$89</f>
        <v>1474936.3125</v>
      </c>
      <c r="G97" s="43">
        <f>G$95*$D97-$J$89</f>
        <v>2104936.3125</v>
      </c>
      <c r="H97" s="43">
        <f>H$95*$D97-$J$89</f>
        <v>2734936.312500001</v>
      </c>
      <c r="I97" s="37"/>
      <c r="J97" s="37"/>
      <c r="K97" s="23"/>
      <c r="L97" s="1"/>
    </row>
    <row r="98" spans="1:12" ht="18.75">
      <c r="A98" s="7"/>
      <c r="B98" s="37"/>
      <c r="C98" s="37"/>
      <c r="D98" s="185">
        <f>D97*1.1</f>
        <v>3850.0000000000005</v>
      </c>
      <c r="E98" s="186"/>
      <c r="F98" s="53">
        <f>F$95*$D$98-Hoja1!$C$40</f>
        <v>2125748.812500001</v>
      </c>
      <c r="G98" s="53">
        <f>G$95*$D$98-Hoja1!$C$40</f>
        <v>2818748.812500001</v>
      </c>
      <c r="H98" s="53">
        <f>H$95*$D$98-Hoja1!$C$40</f>
        <v>3511748.812500002</v>
      </c>
      <c r="I98" s="66"/>
      <c r="J98" s="66"/>
      <c r="K98" s="23"/>
      <c r="L98" s="1"/>
    </row>
    <row r="99" spans="1:12" ht="18.75">
      <c r="A99" s="7"/>
      <c r="B99" s="44"/>
      <c r="C99" s="44"/>
      <c r="D99" s="45"/>
      <c r="E99" s="45"/>
      <c r="F99" s="45"/>
      <c r="G99" s="37"/>
      <c r="H99" s="37"/>
      <c r="I99" s="66"/>
      <c r="J99" s="66"/>
      <c r="K99" s="23"/>
      <c r="L99" s="1"/>
    </row>
    <row r="100" spans="1:12" ht="18" customHeight="1">
      <c r="A100" s="7"/>
      <c r="B100" s="44"/>
      <c r="C100" s="44"/>
      <c r="D100" s="174" t="s">
        <v>74</v>
      </c>
      <c r="E100" s="175"/>
      <c r="F100" s="201" t="s">
        <v>14</v>
      </c>
      <c r="G100" s="202"/>
      <c r="H100" s="203"/>
      <c r="I100" s="66"/>
      <c r="J100" s="66"/>
      <c r="K100" s="23"/>
      <c r="L100" s="1"/>
    </row>
    <row r="101" spans="1:12" ht="18" customHeight="1">
      <c r="A101" s="7"/>
      <c r="B101" s="37"/>
      <c r="C101" s="37"/>
      <c r="D101" s="176"/>
      <c r="E101" s="177"/>
      <c r="F101" s="111">
        <f>G101*0.9</f>
        <v>3150</v>
      </c>
      <c r="G101" s="111">
        <f>E11</f>
        <v>3500</v>
      </c>
      <c r="H101" s="111">
        <f>G101*1.1</f>
        <v>3850.0000000000005</v>
      </c>
      <c r="I101" s="66"/>
      <c r="J101" s="66"/>
      <c r="K101" s="23"/>
      <c r="L101" s="1"/>
    </row>
    <row r="102" spans="1:12" ht="18" customHeight="1">
      <c r="A102" s="7"/>
      <c r="B102" s="37"/>
      <c r="C102" s="37"/>
      <c r="D102" s="178"/>
      <c r="E102" s="179"/>
      <c r="F102" s="67">
        <f>Hoja1!C40/Ficha!F101</f>
        <v>1305.1591071428572</v>
      </c>
      <c r="G102" s="67">
        <f>$J$89/G$101</f>
        <v>1198.589625</v>
      </c>
      <c r="H102" s="67">
        <f>Hoja1!D40/Ficha!H101</f>
        <v>1111.3964123376622</v>
      </c>
      <c r="I102" s="66"/>
      <c r="J102" s="66"/>
      <c r="K102" s="23"/>
      <c r="L102" s="1"/>
    </row>
    <row r="103" spans="1:11" ht="18" customHeight="1">
      <c r="A103" s="7"/>
      <c r="B103" s="192" t="s">
        <v>42</v>
      </c>
      <c r="C103" s="192"/>
      <c r="D103" s="192"/>
      <c r="E103" s="192"/>
      <c r="F103" s="192"/>
      <c r="G103" s="192"/>
      <c r="H103" s="192"/>
      <c r="I103" s="192"/>
      <c r="J103" s="192"/>
      <c r="K103" s="46"/>
    </row>
    <row r="104" spans="1:11" ht="18" customHeight="1">
      <c r="A104" s="7"/>
      <c r="B104" s="189" t="s">
        <v>138</v>
      </c>
      <c r="C104" s="190"/>
      <c r="D104" s="190"/>
      <c r="E104" s="190"/>
      <c r="F104" s="190"/>
      <c r="G104" s="190"/>
      <c r="H104" s="190"/>
      <c r="I104" s="190"/>
      <c r="J104" s="191"/>
      <c r="K104" s="46"/>
    </row>
    <row r="105" spans="1:11" ht="18" customHeight="1">
      <c r="A105" s="7"/>
      <c r="B105" s="171" t="s">
        <v>44</v>
      </c>
      <c r="C105" s="172"/>
      <c r="D105" s="172"/>
      <c r="E105" s="172"/>
      <c r="F105" s="172"/>
      <c r="G105" s="172"/>
      <c r="H105" s="172"/>
      <c r="I105" s="172"/>
      <c r="J105" s="173"/>
      <c r="K105" s="46"/>
    </row>
    <row r="106" spans="1:11" ht="18" customHeight="1">
      <c r="A106" s="7"/>
      <c r="B106" s="171"/>
      <c r="C106" s="172"/>
      <c r="D106" s="172"/>
      <c r="E106" s="172"/>
      <c r="F106" s="172"/>
      <c r="G106" s="172"/>
      <c r="H106" s="172"/>
      <c r="I106" s="172"/>
      <c r="J106" s="173"/>
      <c r="K106" s="46"/>
    </row>
    <row r="107" spans="1:11" ht="18" customHeight="1">
      <c r="A107" s="7"/>
      <c r="B107" s="171"/>
      <c r="C107" s="172"/>
      <c r="D107" s="172"/>
      <c r="E107" s="172"/>
      <c r="F107" s="172"/>
      <c r="G107" s="172"/>
      <c r="H107" s="172"/>
      <c r="I107" s="172"/>
      <c r="J107" s="173"/>
      <c r="K107" s="7"/>
    </row>
    <row r="108" spans="1:11" ht="18" customHeight="1">
      <c r="A108" s="7"/>
      <c r="B108" s="194" t="s">
        <v>75</v>
      </c>
      <c r="C108" s="195"/>
      <c r="D108" s="195"/>
      <c r="E108" s="195"/>
      <c r="F108" s="195"/>
      <c r="G108" s="195"/>
      <c r="H108" s="195"/>
      <c r="I108" s="195"/>
      <c r="J108" s="196"/>
      <c r="K108" s="7"/>
    </row>
    <row r="109" spans="1:11" ht="18" customHeight="1">
      <c r="A109" s="7"/>
      <c r="B109" s="194" t="s">
        <v>51</v>
      </c>
      <c r="C109" s="195"/>
      <c r="D109" s="195"/>
      <c r="E109" s="195"/>
      <c r="F109" s="195"/>
      <c r="G109" s="195"/>
      <c r="H109" s="195"/>
      <c r="I109" s="195"/>
      <c r="J109" s="196"/>
      <c r="K109" s="7"/>
    </row>
    <row r="110" spans="1:11" ht="18" customHeight="1">
      <c r="A110" s="7"/>
      <c r="B110" s="168" t="s">
        <v>52</v>
      </c>
      <c r="C110" s="169"/>
      <c r="D110" s="169"/>
      <c r="E110" s="169"/>
      <c r="F110" s="169"/>
      <c r="G110" s="169"/>
      <c r="H110" s="169"/>
      <c r="I110" s="169"/>
      <c r="J110" s="170"/>
      <c r="K110" s="7"/>
    </row>
  </sheetData>
  <sheetProtection/>
  <mergeCells count="94">
    <mergeCell ref="E73:F73"/>
    <mergeCell ref="E68:F68"/>
    <mergeCell ref="E70:F70"/>
    <mergeCell ref="E67:F67"/>
    <mergeCell ref="E71:F71"/>
    <mergeCell ref="E55:F55"/>
    <mergeCell ref="E61:F61"/>
    <mergeCell ref="E63:F63"/>
    <mergeCell ref="E64:F64"/>
    <mergeCell ref="B87:I87"/>
    <mergeCell ref="B91:J91"/>
    <mergeCell ref="B89:I89"/>
    <mergeCell ref="B82:D82"/>
    <mergeCell ref="E69:F69"/>
    <mergeCell ref="E84:I86"/>
    <mergeCell ref="E74:F74"/>
    <mergeCell ref="E72:F72"/>
    <mergeCell ref="E76:F76"/>
    <mergeCell ref="E75:F75"/>
    <mergeCell ref="B109:J109"/>
    <mergeCell ref="B108:J108"/>
    <mergeCell ref="E35:F35"/>
    <mergeCell ref="E36:F36"/>
    <mergeCell ref="B83:D83"/>
    <mergeCell ref="B79:I79"/>
    <mergeCell ref="B77:I77"/>
    <mergeCell ref="E40:F40"/>
    <mergeCell ref="F100:H100"/>
    <mergeCell ref="F94:H94"/>
    <mergeCell ref="D97:E97"/>
    <mergeCell ref="D98:E98"/>
    <mergeCell ref="D96:E96"/>
    <mergeCell ref="B104:J104"/>
    <mergeCell ref="B103:J103"/>
    <mergeCell ref="E82:H82"/>
    <mergeCell ref="B84:D84"/>
    <mergeCell ref="B86:D86"/>
    <mergeCell ref="E83:H83"/>
    <mergeCell ref="B85:D85"/>
    <mergeCell ref="B110:J110"/>
    <mergeCell ref="B105:J107"/>
    <mergeCell ref="D100:E102"/>
    <mergeCell ref="D94:E95"/>
    <mergeCell ref="D93:H93"/>
    <mergeCell ref="E41:F41"/>
    <mergeCell ref="E56:F56"/>
    <mergeCell ref="E46:F46"/>
    <mergeCell ref="E48:F48"/>
    <mergeCell ref="E49:F49"/>
    <mergeCell ref="J18:J19"/>
    <mergeCell ref="B33:D33"/>
    <mergeCell ref="E62:F62"/>
    <mergeCell ref="E58:F58"/>
    <mergeCell ref="E59:F59"/>
    <mergeCell ref="E33:F33"/>
    <mergeCell ref="E44:F44"/>
    <mergeCell ref="E18:F19"/>
    <mergeCell ref="B23:D23"/>
    <mergeCell ref="E51:F51"/>
    <mergeCell ref="I18:I19"/>
    <mergeCell ref="B32:D32"/>
    <mergeCell ref="B28:I28"/>
    <mergeCell ref="E32:F32"/>
    <mergeCell ref="E31:F31"/>
    <mergeCell ref="E27:F27"/>
    <mergeCell ref="E23:F23"/>
    <mergeCell ref="B26:D26"/>
    <mergeCell ref="E26:F26"/>
    <mergeCell ref="E24:F24"/>
    <mergeCell ref="B1:J1"/>
    <mergeCell ref="E3:G3"/>
    <mergeCell ref="E2:G2"/>
    <mergeCell ref="B22:D22"/>
    <mergeCell ref="E22:F22"/>
    <mergeCell ref="B18:D19"/>
    <mergeCell ref="G10:J10"/>
    <mergeCell ref="B10:E10"/>
    <mergeCell ref="G18:G19"/>
    <mergeCell ref="H18:H19"/>
    <mergeCell ref="E25:F25"/>
    <mergeCell ref="E47:F47"/>
    <mergeCell ref="E43:F43"/>
    <mergeCell ref="E42:F42"/>
    <mergeCell ref="B37:I37"/>
    <mergeCell ref="E34:F34"/>
    <mergeCell ref="E66:F66"/>
    <mergeCell ref="E65:F65"/>
    <mergeCell ref="E52:F52"/>
    <mergeCell ref="E53:F53"/>
    <mergeCell ref="E45:F45"/>
    <mergeCell ref="E50:F50"/>
    <mergeCell ref="E54:F54"/>
    <mergeCell ref="E60:F60"/>
    <mergeCell ref="E57:F57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2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2">
      <selection activeCell="D40" sqref="D40"/>
    </sheetView>
  </sheetViews>
  <sheetFormatPr defaultColWidth="11.421875" defaultRowHeight="15"/>
  <cols>
    <col min="2" max="2" width="34.421875" style="0" bestFit="1" customWidth="1"/>
  </cols>
  <sheetData>
    <row r="2" spans="2:3" ht="15">
      <c r="B2" s="54" t="s">
        <v>61</v>
      </c>
      <c r="C2" s="55">
        <f>((Ficha!E11-3500)/3500)+1</f>
        <v>1</v>
      </c>
    </row>
    <row r="4" ht="15">
      <c r="B4" s="56" t="s">
        <v>62</v>
      </c>
    </row>
    <row r="5" spans="2:3" ht="15">
      <c r="B5" t="s">
        <v>48</v>
      </c>
      <c r="C5">
        <v>3500</v>
      </c>
    </row>
    <row r="6" spans="2:3" ht="15">
      <c r="B6" t="s">
        <v>81</v>
      </c>
      <c r="C6">
        <v>3500</v>
      </c>
    </row>
    <row r="7" spans="2:3" ht="15">
      <c r="B7" t="s">
        <v>140</v>
      </c>
      <c r="C7">
        <v>1</v>
      </c>
    </row>
    <row r="8" spans="2:3" ht="15">
      <c r="B8" t="s">
        <v>131</v>
      </c>
      <c r="C8">
        <v>9</v>
      </c>
    </row>
    <row r="9" spans="2:3" ht="15">
      <c r="B9" t="s">
        <v>133</v>
      </c>
      <c r="C9">
        <v>3500</v>
      </c>
    </row>
    <row r="14" ht="15">
      <c r="B14" s="56" t="s">
        <v>41</v>
      </c>
    </row>
    <row r="16" spans="2:4" ht="15">
      <c r="B16" s="54" t="s">
        <v>63</v>
      </c>
      <c r="C16" s="57">
        <f>Ficha!D96</f>
        <v>3150</v>
      </c>
      <c r="D16" s="57">
        <f>Ficha!D98</f>
        <v>3850.0000000000005</v>
      </c>
    </row>
    <row r="18" spans="2:4" ht="15">
      <c r="B18" s="54" t="s">
        <v>61</v>
      </c>
      <c r="C18" s="55">
        <v>0.9</v>
      </c>
      <c r="D18" s="55">
        <v>1.1</v>
      </c>
    </row>
    <row r="20" ht="15">
      <c r="B20" t="s">
        <v>27</v>
      </c>
    </row>
    <row r="21" spans="2:4" ht="15">
      <c r="B21" t="s">
        <v>64</v>
      </c>
      <c r="C21" s="58">
        <f>SUM(Ficha!J22:J25)</f>
        <v>576000</v>
      </c>
      <c r="D21" s="58">
        <f>SUM(Ficha!J22:J25)</f>
        <v>576000</v>
      </c>
    </row>
    <row r="22" spans="2:4" ht="15">
      <c r="B22" s="59" t="s">
        <v>65</v>
      </c>
      <c r="C22" s="60">
        <f>C18*Ficha!G26*Ficha!I26+0.9*Ficha!G27*Ficha!I27</f>
        <v>567000</v>
      </c>
      <c r="D22" s="60">
        <f>D18*Ficha!G26*Ficha!I26+Hoja1!D18*Ficha!G27*Ficha!I27</f>
        <v>693000.0000000001</v>
      </c>
    </row>
    <row r="23" spans="2:4" ht="15">
      <c r="B23" t="s">
        <v>66</v>
      </c>
      <c r="C23" s="58">
        <f>SUM(C21:C22)</f>
        <v>1143000</v>
      </c>
      <c r="D23" s="58">
        <f>SUM(D21:D22)</f>
        <v>1269000</v>
      </c>
    </row>
    <row r="25" ht="15">
      <c r="B25" t="s">
        <v>29</v>
      </c>
    </row>
    <row r="26" spans="2:4" ht="15">
      <c r="B26" t="s">
        <v>64</v>
      </c>
      <c r="C26" s="58">
        <f>SUM(Ficha!J31:J33)</f>
        <v>360000</v>
      </c>
      <c r="D26" s="58">
        <f>SUM(Ficha!J31:J33)</f>
        <v>360000</v>
      </c>
    </row>
    <row r="27" spans="2:4" ht="15">
      <c r="B27" s="59" t="s">
        <v>65</v>
      </c>
      <c r="C27" s="60">
        <f>C18*Ficha!G34*Ficha!I34+0.9*Ficha!G35*Ficha!I35+0.9*Ficha!G36*Ficha!I36</f>
        <v>103500</v>
      </c>
      <c r="D27" s="60">
        <f>D18*Ficha!G34*Ficha!I34+1.1*Ficha!G35*Ficha!I35+1.1*Ficha!G36*Ficha!I36</f>
        <v>126500.00000000001</v>
      </c>
    </row>
    <row r="28" spans="2:4" ht="15">
      <c r="B28" t="s">
        <v>66</v>
      </c>
      <c r="C28" s="58">
        <f>SUM(C26:C27)</f>
        <v>463500</v>
      </c>
      <c r="D28" s="58">
        <f>SUM(D26:D27)</f>
        <v>486500</v>
      </c>
    </row>
    <row r="30" ht="15">
      <c r="B30" t="s">
        <v>67</v>
      </c>
    </row>
    <row r="31" spans="2:4" ht="15">
      <c r="B31" t="s">
        <v>64</v>
      </c>
      <c r="C31" s="58">
        <f>SUM(Ficha!J41:J76)</f>
        <v>2047945.5</v>
      </c>
      <c r="D31" s="58">
        <f>SUM(Ficha!J41:J76)</f>
        <v>2047945.5</v>
      </c>
    </row>
    <row r="32" spans="2:4" ht="15">
      <c r="B32" s="59" t="s">
        <v>65</v>
      </c>
      <c r="C32" s="60">
        <v>0</v>
      </c>
      <c r="D32" s="59">
        <v>0</v>
      </c>
    </row>
    <row r="33" spans="2:4" ht="15">
      <c r="B33" t="s">
        <v>66</v>
      </c>
      <c r="C33" s="58">
        <f>SUM(C31:C32)</f>
        <v>2047945.5</v>
      </c>
      <c r="D33" s="58">
        <f>SUM(D31:D32)</f>
        <v>2047945.5</v>
      </c>
    </row>
    <row r="35" spans="2:4" ht="15">
      <c r="B35" s="56" t="s">
        <v>68</v>
      </c>
      <c r="C35" s="58">
        <f>C23+C28+C33</f>
        <v>3654445.5</v>
      </c>
      <c r="D35" s="58">
        <f>D23+D28+D33</f>
        <v>3803445.5</v>
      </c>
    </row>
    <row r="37" spans="2:4" ht="15">
      <c r="B37" t="s">
        <v>0</v>
      </c>
      <c r="C37" s="58">
        <f>C35*Ficha!$I$82</f>
        <v>182722.27500000002</v>
      </c>
      <c r="D37" s="58">
        <f>D35*Ficha!$I$82</f>
        <v>190172.27500000002</v>
      </c>
    </row>
    <row r="38" spans="2:4" ht="15">
      <c r="B38" t="s">
        <v>36</v>
      </c>
      <c r="C38" s="58">
        <f>C35*Ficha!$E$14*Ficha!$E$15*Ficha!$E$16</f>
        <v>274083.41250000003</v>
      </c>
      <c r="D38" s="58">
        <f>D35*Ficha!$E$14*Ficha!$E$15*Ficha!$E$16</f>
        <v>285258.41250000003</v>
      </c>
    </row>
    <row r="40" spans="2:4" ht="15">
      <c r="B40" s="56" t="s">
        <v>40</v>
      </c>
      <c r="C40" s="61">
        <f>C35+C37+C38</f>
        <v>4111251.1875</v>
      </c>
      <c r="D40" s="61">
        <f>D35+D37+D38</f>
        <v>4278876.1875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2018-03-19T20:21:31Z</cp:lastPrinted>
  <dcterms:created xsi:type="dcterms:W3CDTF">2012-07-09T18:51:50Z</dcterms:created>
  <dcterms:modified xsi:type="dcterms:W3CDTF">2018-03-19T20:21:33Z</dcterms:modified>
  <cp:category/>
  <cp:version/>
  <cp:contentType/>
  <cp:contentStatus/>
</cp:coreProperties>
</file>