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nogal_serr_valparaíso" sheetId="1" r:id="rId1"/>
    <sheet name="Hoja1" sheetId="2" state="hidden" r:id="rId2"/>
  </sheets>
  <definedNames>
    <definedName name="_xlnm.Print_Area" localSheetId="0">'nogal_serr_valparaíso'!$A$1:$K$118</definedName>
  </definedNames>
  <calcPr fullCalcOnLoad="1"/>
</workbook>
</file>

<file path=xl/sharedStrings.xml><?xml version="1.0" encoding="utf-8"?>
<sst xmlns="http://schemas.openxmlformats.org/spreadsheetml/2006/main" count="222" uniqueCount="151">
  <si>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</si>
  <si>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</si>
  <si>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</si>
  <si>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</si>
  <si>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</si>
  <si>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</si>
  <si>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</si>
  <si>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</si>
  <si>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</si>
  <si>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</si>
  <si>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</si>
  <si>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</si>
  <si>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</si>
  <si>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</si>
  <si>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</si>
  <si>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</si>
  <si>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</si>
  <si>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</si>
  <si>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</si>
  <si>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</si>
  <si>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</si>
  <si>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</si>
  <si>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</si>
  <si>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</si>
  <si>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</si>
  <si>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</si>
  <si>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</si>
  <si>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</si>
  <si>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</si>
  <si>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</si>
  <si>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</si>
  <si>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</si>
  <si>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</si>
  <si>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</si>
  <si>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</si>
  <si>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enero - febrero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</si>
  <si>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</si>
  <si>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</si>
  <si>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</si>
  <si>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</si>
  <si>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</si>
  <si>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</si>
  <si>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</si>
  <si>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</si>
  <si>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</si>
  <si>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</si>
  <si>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</si>
  <si>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</si>
  <si>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</si>
  <si>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</si>
  <si>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</si>
  <si>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</si>
  <si>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</si>
  <si>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</si>
  <si>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</si>
  <si>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</si>
  <si>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septiembre - octubre</t>
  </si>
  <si>
    <t>septiembre - enero</t>
  </si>
  <si>
    <t>septiembre - noviembre</t>
  </si>
  <si>
    <t>octubre - diciembre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</si>
  <si>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</si>
  <si>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</si>
  <si>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</si>
  <si>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t>Costo oportunidad (arriendo)</t>
  </si>
  <si>
    <t xml:space="preserve">Administración </t>
  </si>
  <si>
    <t>Contribuciones</t>
  </si>
  <si>
    <t>Nogal</t>
  </si>
  <si>
    <t>Región: Valparaíso</t>
  </si>
  <si>
    <t>1 hectaréa Septiembre 2016</t>
  </si>
  <si>
    <t>Sistema de conducción: No aplica</t>
  </si>
  <si>
    <t>Tecnología de riego: Goteo</t>
  </si>
  <si>
    <t>Densidad (plantas/hectárea): 208</t>
  </si>
  <si>
    <t>Plantación: agosto</t>
  </si>
  <si>
    <t>Variedad: Serr</t>
  </si>
  <si>
    <t>Destino de producción: Consumo fresco y exportación</t>
  </si>
  <si>
    <t>Tecnología: Media</t>
  </si>
  <si>
    <t>Rendimiento (kilos/hectárea):</t>
  </si>
  <si>
    <t>Aplicación Pesticida</t>
  </si>
  <si>
    <t>Fertirrigación</t>
  </si>
  <si>
    <t>Desbrote</t>
  </si>
  <si>
    <t>Acarreo de cosecha</t>
  </si>
  <si>
    <t>Secado y seleccionado</t>
  </si>
  <si>
    <t>Poda</t>
  </si>
  <si>
    <t>octubre - agosto</t>
  </si>
  <si>
    <t>agosto - mayo</t>
  </si>
  <si>
    <t>marzo - abril</t>
  </si>
  <si>
    <t>mayo - junio</t>
  </si>
  <si>
    <t>planta</t>
  </si>
  <si>
    <t>Aplicación Pesticidas</t>
  </si>
  <si>
    <t>Trituradora</t>
  </si>
  <si>
    <t>Vibrador</t>
  </si>
  <si>
    <t>Flete cosecha</t>
  </si>
  <si>
    <t>Cargar a camión</t>
  </si>
  <si>
    <t>agosto - junio</t>
  </si>
  <si>
    <t>mayo - julio</t>
  </si>
  <si>
    <t xml:space="preserve">   Ácido Fosfórico</t>
  </si>
  <si>
    <t xml:space="preserve">   Nitrato de Potasio</t>
  </si>
  <si>
    <t xml:space="preserve">   Novatec 21</t>
  </si>
  <si>
    <t xml:space="preserve">   Urea</t>
  </si>
  <si>
    <t xml:space="preserve">   Farmon</t>
  </si>
  <si>
    <t xml:space="preserve">   Glifosato</t>
  </si>
  <si>
    <t xml:space="preserve">   Oxicloruro de cobre</t>
  </si>
  <si>
    <t xml:space="preserve">   Podexal</t>
  </si>
  <si>
    <t xml:space="preserve">   Diazinon 40 WP</t>
  </si>
  <si>
    <t xml:space="preserve">   Lorsban 4E</t>
  </si>
  <si>
    <t xml:space="preserve">   Karate zeon</t>
  </si>
  <si>
    <t xml:space="preserve">   Aceite Citroliv</t>
  </si>
  <si>
    <t xml:space="preserve">   Intrepid SC</t>
  </si>
  <si>
    <t>Acaricidas:</t>
  </si>
  <si>
    <t xml:space="preserve">   Vertimec 018 EC</t>
  </si>
  <si>
    <t>Fitorreguladores:</t>
  </si>
  <si>
    <t xml:space="preserve">   Re Tain (aborto floral)</t>
  </si>
  <si>
    <t>Otros:</t>
  </si>
  <si>
    <t xml:space="preserve">   Electricidad</t>
  </si>
  <si>
    <t xml:space="preserve">   Malla rachel</t>
  </si>
  <si>
    <t xml:space="preserve">   Baños químicos</t>
  </si>
  <si>
    <t xml:space="preserve">   Envase</t>
  </si>
  <si>
    <t xml:space="preserve">   Carpas</t>
  </si>
  <si>
    <t xml:space="preserve">   Envase plástico</t>
  </si>
  <si>
    <t xml:space="preserve">   Fosfimax 40 - 20</t>
  </si>
  <si>
    <t xml:space="preserve">   Defender Boro</t>
  </si>
  <si>
    <t xml:space="preserve">   Análisis foliar (3)</t>
  </si>
  <si>
    <t>septiembre - abril</t>
  </si>
  <si>
    <t>enero - diciembre</t>
  </si>
  <si>
    <t>octubre - marzo</t>
  </si>
  <si>
    <t>agosto - diciembre</t>
  </si>
  <si>
    <t>octubre - febrero</t>
  </si>
  <si>
    <t>julio - septiembre</t>
  </si>
  <si>
    <t>mayo - mayo</t>
  </si>
  <si>
    <t>octubre - enero</t>
  </si>
  <si>
    <t>junio - agosto</t>
  </si>
  <si>
    <t>diciembre - febrero</t>
  </si>
  <si>
    <t>octubre - octubre</t>
  </si>
  <si>
    <t>febrero - marzo</t>
  </si>
  <si>
    <t>octubre - abril</t>
  </si>
  <si>
    <t>caja</t>
  </si>
  <si>
    <t>Rendimiento (kilos/hectárea)</t>
  </si>
  <si>
    <t>Costo unitario ($/kilo)</t>
  </si>
  <si>
    <r>
      <t xml:space="preserve">Precio de venta mercado interno ($/kilo): </t>
    </r>
    <r>
      <rPr>
        <b/>
        <vertAlign val="superscript"/>
        <sz val="14"/>
        <rFont val="Arial"/>
        <family val="2"/>
      </rPr>
      <t>(1)</t>
    </r>
  </si>
  <si>
    <r>
      <t>Cosecha</t>
    </r>
    <r>
      <rPr>
        <vertAlign val="superscript"/>
        <sz val="14"/>
        <rFont val="Arial"/>
        <family val="2"/>
      </rPr>
      <t>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</si>
  <si>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</si>
  <si>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</si>
  <si>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(7)</t>
    </r>
  </si>
  <si>
    <t xml:space="preserve">(1) El precio del kilo de nuez seca con cáscara corresponde al promedio estimado de la región a nivel predial durante el periodo de cosecha en la temporada  2015/ 2016. 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</si>
  <si>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La dosis de fertilización promedio podría variar de acuerdo a los resultados del análisis de suelo.</t>
  </si>
  <si>
    <t>(5) 1,5% mensual simple sobre el 50% de los costos directos,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</si>
  <si>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</si>
  <si>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</si>
  <si>
    <t>Fecha cosecha: marzo - abril</t>
  </si>
  <si>
    <t>Precio ($/kilo)</t>
  </si>
  <si>
    <t>(2) La cosecha se mide por kilo cosechado.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</si>
</sst>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  <numFmt numFmtId="196" formatCode="#,##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0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3" xfId="56" applyNumberFormat="1" applyFont="1" applyFill="1" applyBorder="1" applyAlignment="1" applyProtection="1">
      <alignment horizontal="center" vertical="center" wrapText="1"/>
      <protection/>
    </xf>
    <xf numFmtId="0" fontId="62" fillId="23" borderId="23" xfId="56" applyFont="1" applyFill="1" applyBorder="1" applyAlignment="1" applyProtection="1">
      <alignment horizontal="center" vertical="center" wrapText="1"/>
      <protection/>
    </xf>
    <xf numFmtId="3" fontId="62" fillId="23" borderId="23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3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3" xfId="56" applyFont="1" applyFill="1" applyBorder="1" applyAlignment="1" applyProtection="1">
      <alignment vertical="center"/>
      <protection/>
    </xf>
    <xf numFmtId="0" fontId="62" fillId="23" borderId="23" xfId="56" applyFont="1" applyFill="1" applyBorder="1" applyAlignment="1" applyProtection="1">
      <alignment horizontal="right" vertical="center"/>
      <protection/>
    </xf>
    <xf numFmtId="0" fontId="62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3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>
      <alignment horizontal="left" indent="3"/>
      <protection/>
    </xf>
    <xf numFmtId="17" fontId="10" fillId="34" borderId="19" xfId="67" applyNumberFormat="1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>
      <alignment/>
      <protection/>
    </xf>
    <xf numFmtId="3" fontId="8" fillId="34" borderId="0" xfId="67" applyNumberFormat="1" applyFont="1" applyFill="1" applyBorder="1" applyAlignment="1">
      <alignment/>
      <protection/>
    </xf>
    <xf numFmtId="3" fontId="64" fillId="34" borderId="11" xfId="67" applyNumberFormat="1" applyFont="1" applyFill="1" applyBorder="1" applyAlignment="1">
      <alignment/>
      <protection/>
    </xf>
    <xf numFmtId="0" fontId="8" fillId="34" borderId="17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3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47625</xdr:rowOff>
    </xdr:from>
    <xdr:to>
      <xdr:col>2</xdr:col>
      <xdr:colOff>857250</xdr:colOff>
      <xdr:row>11</xdr:row>
      <xdr:rowOff>28575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6672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2</xdr:col>
      <xdr:colOff>628650</xdr:colOff>
      <xdr:row>117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68890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0"/>
  <sheetViews>
    <sheetView showGridLines="0" tabSelected="1" view="pageBreakPreview" zoomScale="70" zoomScaleNormal="70" zoomScaleSheetLayoutView="70" zoomScalePageLayoutView="80" workbookViewId="0" topLeftCell="A1">
      <selection activeCell="J82" sqref="J8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3"/>
      <c r="C2" s="143"/>
      <c r="D2" s="308" t="s">
        <v>33</v>
      </c>
      <c r="E2" s="308"/>
      <c r="F2" s="308"/>
      <c r="G2" s="308"/>
      <c r="H2" s="308"/>
      <c r="I2" s="308"/>
      <c r="J2" s="308"/>
    </row>
    <row r="3" spans="2:11" s="3" customFormat="1" ht="18" customHeight="1">
      <c r="B3" s="94"/>
      <c r="C3" s="117"/>
      <c r="D3" s="309" t="s">
        <v>66</v>
      </c>
      <c r="E3" s="309"/>
      <c r="F3" s="309"/>
      <c r="G3" s="309"/>
      <c r="H3" s="309"/>
      <c r="I3" s="309"/>
      <c r="J3" s="309"/>
      <c r="K3" s="14"/>
    </row>
    <row r="4" spans="2:11" s="3" customFormat="1" ht="18" customHeight="1">
      <c r="B4" s="94"/>
      <c r="C4" s="117"/>
      <c r="D4" s="309" t="s">
        <v>67</v>
      </c>
      <c r="E4" s="309"/>
      <c r="F4" s="309"/>
      <c r="G4" s="309"/>
      <c r="H4" s="309"/>
      <c r="I4" s="309"/>
      <c r="J4" s="309"/>
      <c r="K4" s="14"/>
    </row>
    <row r="5" spans="2:11" s="3" customFormat="1" ht="18" customHeight="1">
      <c r="B5" s="42"/>
      <c r="C5" s="42"/>
      <c r="D5" s="118"/>
      <c r="E5" s="44"/>
      <c r="F5" s="138"/>
      <c r="G5" s="138"/>
      <c r="H5" s="138"/>
      <c r="I5" s="138"/>
      <c r="J5" s="138"/>
      <c r="K5" s="16"/>
    </row>
    <row r="6" spans="2:11" s="3" customFormat="1" ht="18" customHeight="1">
      <c r="B6" s="42"/>
      <c r="C6" s="42"/>
      <c r="D6" s="317" t="s">
        <v>29</v>
      </c>
      <c r="E6" s="318"/>
      <c r="F6" s="318"/>
      <c r="G6" s="318"/>
      <c r="H6" s="318"/>
      <c r="I6" s="318"/>
      <c r="J6" s="319"/>
      <c r="K6" s="16"/>
    </row>
    <row r="7" spans="2:11" s="3" customFormat="1" ht="18" customHeight="1">
      <c r="B7" s="42"/>
      <c r="C7" s="42"/>
      <c r="D7" s="85" t="s">
        <v>68</v>
      </c>
      <c r="E7" s="86"/>
      <c r="F7" s="86"/>
      <c r="G7" s="87" t="s">
        <v>73</v>
      </c>
      <c r="H7" s="88"/>
      <c r="I7" s="89"/>
      <c r="J7" s="90"/>
      <c r="K7" s="16"/>
    </row>
    <row r="8" spans="2:11" s="3" customFormat="1" ht="18" customHeight="1">
      <c r="B8" s="42"/>
      <c r="C8" s="42"/>
      <c r="D8" s="283" t="s">
        <v>69</v>
      </c>
      <c r="E8" s="42"/>
      <c r="F8" s="42"/>
      <c r="G8" s="284" t="s">
        <v>74</v>
      </c>
      <c r="H8" s="94"/>
      <c r="I8" s="285"/>
      <c r="J8" s="286"/>
      <c r="K8" s="16"/>
    </row>
    <row r="9" spans="2:11" s="3" customFormat="1" ht="18" customHeight="1">
      <c r="B9" s="42"/>
      <c r="C9" s="42"/>
      <c r="D9" s="91" t="s">
        <v>70</v>
      </c>
      <c r="E9" s="92"/>
      <c r="F9" s="92"/>
      <c r="G9" s="93" t="s">
        <v>75</v>
      </c>
      <c r="H9" s="94"/>
      <c r="I9" s="95"/>
      <c r="J9" s="96"/>
      <c r="K9" s="16"/>
    </row>
    <row r="10" spans="2:11" s="3" customFormat="1" ht="18" customHeight="1">
      <c r="B10" s="42"/>
      <c r="C10" s="42"/>
      <c r="D10" s="91" t="s">
        <v>71</v>
      </c>
      <c r="E10" s="170"/>
      <c r="F10" s="92"/>
      <c r="G10" s="93" t="s">
        <v>148</v>
      </c>
      <c r="H10" s="94"/>
      <c r="I10" s="95"/>
      <c r="J10" s="96"/>
      <c r="K10" s="18"/>
    </row>
    <row r="11" spans="2:11" s="3" customFormat="1" ht="18" customHeight="1">
      <c r="B11" s="42"/>
      <c r="C11" s="42"/>
      <c r="D11" s="97" t="s">
        <v>72</v>
      </c>
      <c r="E11" s="98"/>
      <c r="F11" s="98"/>
      <c r="G11" s="99"/>
      <c r="H11" s="100"/>
      <c r="I11" s="101"/>
      <c r="J11" s="102"/>
      <c r="K11" s="18"/>
    </row>
    <row r="12" spans="2:11" s="3" customFormat="1" ht="18" customHeight="1">
      <c r="B12" s="42"/>
      <c r="C12" s="42"/>
      <c r="D12" s="26"/>
      <c r="E12" s="92"/>
      <c r="F12" s="92"/>
      <c r="G12" s="26"/>
      <c r="H12" s="94"/>
      <c r="I12" s="95"/>
      <c r="J12" s="126"/>
      <c r="K12" s="18"/>
    </row>
    <row r="13" spans="2:11" ht="18">
      <c r="B13" s="310" t="s">
        <v>30</v>
      </c>
      <c r="C13" s="311"/>
      <c r="D13" s="311"/>
      <c r="E13" s="312"/>
      <c r="F13" s="41"/>
      <c r="G13" s="313" t="s">
        <v>4</v>
      </c>
      <c r="H13" s="314"/>
      <c r="I13" s="314"/>
      <c r="J13" s="315"/>
      <c r="K13" s="16"/>
    </row>
    <row r="14" spans="2:11" ht="18">
      <c r="B14" s="107" t="s">
        <v>76</v>
      </c>
      <c r="C14" s="108"/>
      <c r="D14" s="86"/>
      <c r="E14" s="109">
        <v>3600</v>
      </c>
      <c r="F14" s="42"/>
      <c r="G14" s="113" t="s">
        <v>50</v>
      </c>
      <c r="H14" s="86"/>
      <c r="I14" s="86"/>
      <c r="J14" s="144">
        <f>E14*E15</f>
        <v>6840000</v>
      </c>
      <c r="K14" s="16"/>
    </row>
    <row r="15" spans="2:13" ht="18" customHeight="1">
      <c r="B15" s="209" t="s">
        <v>138</v>
      </c>
      <c r="C15" s="210"/>
      <c r="D15" s="210"/>
      <c r="E15" s="147">
        <v>1900</v>
      </c>
      <c r="F15" s="42"/>
      <c r="G15" s="114" t="s">
        <v>47</v>
      </c>
      <c r="H15" s="42"/>
      <c r="I15" s="42"/>
      <c r="J15" s="145">
        <f>J30+J39+J73+J76</f>
        <v>4962316.8</v>
      </c>
      <c r="K15" s="16"/>
      <c r="M15" s="195"/>
    </row>
    <row r="16" spans="2:11" ht="18">
      <c r="B16" s="134" t="s">
        <v>34</v>
      </c>
      <c r="C16" s="43"/>
      <c r="D16" s="42"/>
      <c r="E16" s="147">
        <v>16000</v>
      </c>
      <c r="F16" s="42"/>
      <c r="G16" s="114" t="s">
        <v>49</v>
      </c>
      <c r="H16" s="44"/>
      <c r="I16" s="42"/>
      <c r="J16" s="145">
        <f>J30+J39+J73+J76+J86</f>
        <v>5408925.312</v>
      </c>
      <c r="K16" s="16"/>
    </row>
    <row r="17" spans="2:11" ht="18">
      <c r="B17" s="134" t="s">
        <v>2</v>
      </c>
      <c r="C17" s="45"/>
      <c r="D17" s="42"/>
      <c r="E17" s="110">
        <v>0.015</v>
      </c>
      <c r="F17" s="42"/>
      <c r="G17" s="114" t="s">
        <v>51</v>
      </c>
      <c r="H17" s="42"/>
      <c r="I17" s="42"/>
      <c r="J17" s="145">
        <f>J14-J15</f>
        <v>1877683.2000000002</v>
      </c>
      <c r="K17" s="16"/>
    </row>
    <row r="18" spans="2:11" ht="18">
      <c r="B18" s="134" t="s">
        <v>3</v>
      </c>
      <c r="C18" s="45"/>
      <c r="D18" s="42"/>
      <c r="E18" s="272">
        <v>12</v>
      </c>
      <c r="F18" s="42"/>
      <c r="G18" s="114" t="s">
        <v>52</v>
      </c>
      <c r="H18" s="42"/>
      <c r="I18" s="42"/>
      <c r="J18" s="145">
        <f>J14-J16</f>
        <v>1431074.688</v>
      </c>
      <c r="K18" s="16"/>
    </row>
    <row r="19" spans="2:11" ht="18">
      <c r="B19" s="111"/>
      <c r="C19" s="112"/>
      <c r="D19" s="103"/>
      <c r="E19" s="271"/>
      <c r="F19" s="42"/>
      <c r="G19" s="115" t="s">
        <v>26</v>
      </c>
      <c r="H19" s="103"/>
      <c r="I19" s="116"/>
      <c r="J19" s="146">
        <f>G105</f>
        <v>1502.4792533333334</v>
      </c>
      <c r="K19" s="16"/>
    </row>
    <row r="20" spans="2:11" s="3" customFormat="1" ht="18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0.25">
      <c r="B21" s="120" t="s">
        <v>27</v>
      </c>
      <c r="C21" s="119"/>
      <c r="D21" s="119"/>
      <c r="E21" s="316"/>
      <c r="F21" s="316"/>
      <c r="G21" s="121"/>
      <c r="H21" s="122"/>
      <c r="I21" s="132"/>
      <c r="J21" s="123"/>
      <c r="K21" s="16"/>
    </row>
    <row r="22" spans="2:11" s="3" customFormat="1" ht="18" customHeight="1">
      <c r="B22" s="222" t="s">
        <v>7</v>
      </c>
      <c r="C22" s="223"/>
      <c r="D22" s="223"/>
      <c r="E22" s="254" t="s">
        <v>36</v>
      </c>
      <c r="F22" s="253"/>
      <c r="G22" s="148" t="s">
        <v>5</v>
      </c>
      <c r="H22" s="149" t="s">
        <v>6</v>
      </c>
      <c r="I22" s="150" t="s">
        <v>44</v>
      </c>
      <c r="J22" s="151" t="s">
        <v>1</v>
      </c>
      <c r="K22" s="16"/>
    </row>
    <row r="23" spans="2:10" s="3" customFormat="1" ht="18">
      <c r="B23" s="189" t="s">
        <v>77</v>
      </c>
      <c r="C23" s="190"/>
      <c r="D23" s="191"/>
      <c r="E23" s="216" t="s">
        <v>83</v>
      </c>
      <c r="F23" s="214"/>
      <c r="G23" s="159">
        <v>4</v>
      </c>
      <c r="H23" s="153" t="s">
        <v>38</v>
      </c>
      <c r="I23" s="131">
        <v>16000</v>
      </c>
      <c r="J23" s="183">
        <f aca="true" t="shared" si="0" ref="J23:J29">G23*I23</f>
        <v>64000</v>
      </c>
    </row>
    <row r="24" spans="2:10" s="3" customFormat="1" ht="18">
      <c r="B24" s="164" t="s">
        <v>78</v>
      </c>
      <c r="C24" s="212"/>
      <c r="D24" s="213"/>
      <c r="E24" s="217" t="s">
        <v>84</v>
      </c>
      <c r="F24" s="215"/>
      <c r="G24" s="160">
        <v>12</v>
      </c>
      <c r="H24" s="155" t="s">
        <v>38</v>
      </c>
      <c r="I24" s="127">
        <v>16000</v>
      </c>
      <c r="J24" s="10">
        <f t="shared" si="0"/>
        <v>192000</v>
      </c>
    </row>
    <row r="25" spans="2:10" s="3" customFormat="1" ht="18">
      <c r="B25" s="164" t="s">
        <v>79</v>
      </c>
      <c r="C25" s="212"/>
      <c r="D25" s="213"/>
      <c r="E25" s="217" t="s">
        <v>56</v>
      </c>
      <c r="F25" s="215"/>
      <c r="G25" s="160">
        <v>6</v>
      </c>
      <c r="H25" s="155" t="s">
        <v>38</v>
      </c>
      <c r="I25" s="127">
        <v>16000</v>
      </c>
      <c r="J25" s="10">
        <f t="shared" si="0"/>
        <v>96000</v>
      </c>
    </row>
    <row r="26" spans="2:10" s="3" customFormat="1" ht="21">
      <c r="B26" s="164" t="s">
        <v>139</v>
      </c>
      <c r="C26" s="212"/>
      <c r="D26" s="213"/>
      <c r="E26" s="217" t="s">
        <v>85</v>
      </c>
      <c r="F26" s="215"/>
      <c r="G26" s="160">
        <v>3600</v>
      </c>
      <c r="H26" s="155" t="s">
        <v>41</v>
      </c>
      <c r="I26" s="127">
        <v>200</v>
      </c>
      <c r="J26" s="10">
        <f t="shared" si="0"/>
        <v>720000</v>
      </c>
    </row>
    <row r="27" spans="2:10" s="3" customFormat="1" ht="18">
      <c r="B27" s="164" t="s">
        <v>80</v>
      </c>
      <c r="C27" s="212"/>
      <c r="D27" s="213"/>
      <c r="E27" s="217" t="s">
        <v>85</v>
      </c>
      <c r="F27" s="215"/>
      <c r="G27" s="160">
        <v>3600</v>
      </c>
      <c r="H27" s="155" t="s">
        <v>41</v>
      </c>
      <c r="I27" s="127">
        <v>12</v>
      </c>
      <c r="J27" s="10">
        <f t="shared" si="0"/>
        <v>43200</v>
      </c>
    </row>
    <row r="28" spans="2:10" s="3" customFormat="1" ht="18">
      <c r="B28" s="164" t="s">
        <v>81</v>
      </c>
      <c r="C28" s="212"/>
      <c r="D28" s="213"/>
      <c r="E28" s="217" t="s">
        <v>85</v>
      </c>
      <c r="F28" s="215"/>
      <c r="G28" s="160">
        <v>3600</v>
      </c>
      <c r="H28" s="155" t="s">
        <v>41</v>
      </c>
      <c r="I28" s="127">
        <v>100</v>
      </c>
      <c r="J28" s="10">
        <f t="shared" si="0"/>
        <v>360000</v>
      </c>
    </row>
    <row r="29" spans="2:10" s="3" customFormat="1" ht="18">
      <c r="B29" s="184" t="s">
        <v>82</v>
      </c>
      <c r="C29" s="185"/>
      <c r="D29" s="186"/>
      <c r="E29" s="217" t="s">
        <v>86</v>
      </c>
      <c r="F29" s="215"/>
      <c r="G29" s="160">
        <v>208</v>
      </c>
      <c r="H29" s="155" t="s">
        <v>87</v>
      </c>
      <c r="I29" s="127">
        <v>2600</v>
      </c>
      <c r="J29" s="10">
        <f t="shared" si="0"/>
        <v>540800</v>
      </c>
    </row>
    <row r="30" spans="2:11" ht="18">
      <c r="B30" s="227" t="s">
        <v>8</v>
      </c>
      <c r="C30" s="228"/>
      <c r="D30" s="228"/>
      <c r="E30" s="228"/>
      <c r="F30" s="228"/>
      <c r="G30" s="228"/>
      <c r="H30" s="228"/>
      <c r="I30" s="228"/>
      <c r="J30" s="104">
        <f>SUM(J23:J29)</f>
        <v>2016000</v>
      </c>
      <c r="K30" s="3"/>
    </row>
    <row r="31" spans="2:10" s="3" customFormat="1" ht="18">
      <c r="B31" s="84"/>
      <c r="C31" s="84"/>
      <c r="D31" s="84"/>
      <c r="E31" s="84"/>
      <c r="F31" s="84"/>
      <c r="G31" s="25"/>
      <c r="H31" s="84"/>
      <c r="I31" s="84"/>
      <c r="J31" s="27"/>
    </row>
    <row r="32" spans="2:11" s="28" customFormat="1" ht="18" customHeight="1">
      <c r="B32" s="222" t="s">
        <v>60</v>
      </c>
      <c r="C32" s="223"/>
      <c r="D32" s="223"/>
      <c r="E32" s="254" t="s">
        <v>36</v>
      </c>
      <c r="F32" s="254"/>
      <c r="G32" s="148" t="s">
        <v>5</v>
      </c>
      <c r="H32" s="149" t="s">
        <v>6</v>
      </c>
      <c r="I32" s="150" t="s">
        <v>44</v>
      </c>
      <c r="J32" s="151" t="s">
        <v>1</v>
      </c>
      <c r="K32" s="3"/>
    </row>
    <row r="33" spans="2:10" s="3" customFormat="1" ht="18">
      <c r="B33" s="188" t="s">
        <v>88</v>
      </c>
      <c r="C33" s="218"/>
      <c r="D33" s="219"/>
      <c r="E33" s="216" t="s">
        <v>93</v>
      </c>
      <c r="F33" s="214"/>
      <c r="G33" s="162">
        <v>5</v>
      </c>
      <c r="H33" s="152" t="s">
        <v>40</v>
      </c>
      <c r="I33" s="135">
        <v>30000</v>
      </c>
      <c r="J33" s="128">
        <f aca="true" t="shared" si="1" ref="J33:J38">I33*G33</f>
        <v>150000</v>
      </c>
    </row>
    <row r="34" spans="2:10" s="3" customFormat="1" ht="18">
      <c r="B34" s="184" t="s">
        <v>89</v>
      </c>
      <c r="C34" s="169"/>
      <c r="D34" s="211"/>
      <c r="E34" s="217" t="s">
        <v>94</v>
      </c>
      <c r="F34" s="215"/>
      <c r="G34" s="163">
        <v>1</v>
      </c>
      <c r="H34" s="154" t="s">
        <v>40</v>
      </c>
      <c r="I34" s="136">
        <v>40000</v>
      </c>
      <c r="J34" s="129">
        <f t="shared" si="1"/>
        <v>40000</v>
      </c>
    </row>
    <row r="35" spans="2:10" s="3" customFormat="1" ht="18">
      <c r="B35" s="184" t="s">
        <v>90</v>
      </c>
      <c r="C35" s="169"/>
      <c r="D35" s="211"/>
      <c r="E35" s="217" t="s">
        <v>85</v>
      </c>
      <c r="F35" s="215"/>
      <c r="G35" s="163">
        <v>1</v>
      </c>
      <c r="H35" s="154" t="s">
        <v>40</v>
      </c>
      <c r="I35" s="136">
        <v>110000</v>
      </c>
      <c r="J35" s="129">
        <f t="shared" si="1"/>
        <v>110000</v>
      </c>
    </row>
    <row r="36" spans="2:10" s="3" customFormat="1" ht="18">
      <c r="B36" s="184" t="s">
        <v>80</v>
      </c>
      <c r="C36" s="185"/>
      <c r="D36" s="186"/>
      <c r="E36" s="217" t="s">
        <v>85</v>
      </c>
      <c r="F36" s="215"/>
      <c r="G36" s="163">
        <v>3600</v>
      </c>
      <c r="H36" s="154" t="s">
        <v>40</v>
      </c>
      <c r="I36" s="136">
        <v>26</v>
      </c>
      <c r="J36" s="129">
        <f t="shared" si="1"/>
        <v>93600</v>
      </c>
    </row>
    <row r="37" spans="2:10" s="3" customFormat="1" ht="18">
      <c r="B37" s="184" t="s">
        <v>91</v>
      </c>
      <c r="C37" s="185"/>
      <c r="D37" s="186"/>
      <c r="E37" s="217" t="s">
        <v>85</v>
      </c>
      <c r="F37" s="215"/>
      <c r="G37" s="163">
        <v>3600</v>
      </c>
      <c r="H37" s="154" t="s">
        <v>40</v>
      </c>
      <c r="I37" s="136">
        <v>9</v>
      </c>
      <c r="J37" s="129">
        <f t="shared" si="1"/>
        <v>32400</v>
      </c>
    </row>
    <row r="38" spans="2:10" s="3" customFormat="1" ht="18">
      <c r="B38" s="184" t="s">
        <v>92</v>
      </c>
      <c r="C38" s="169"/>
      <c r="D38" s="211"/>
      <c r="E38" s="217" t="s">
        <v>85</v>
      </c>
      <c r="F38" s="215"/>
      <c r="G38" s="163">
        <v>3600</v>
      </c>
      <c r="H38" s="154" t="s">
        <v>40</v>
      </c>
      <c r="I38" s="137">
        <v>3</v>
      </c>
      <c r="J38" s="129">
        <f t="shared" si="1"/>
        <v>10800</v>
      </c>
    </row>
    <row r="39" spans="2:12" ht="15.75" customHeight="1">
      <c r="B39" s="227" t="s">
        <v>10</v>
      </c>
      <c r="C39" s="228"/>
      <c r="D39" s="228"/>
      <c r="E39" s="228"/>
      <c r="F39" s="228"/>
      <c r="G39" s="228"/>
      <c r="H39" s="228"/>
      <c r="I39" s="228"/>
      <c r="J39" s="124">
        <f>SUM(J33:J38)</f>
        <v>436800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222" t="s">
        <v>62</v>
      </c>
      <c r="C41" s="223"/>
      <c r="D41" s="223"/>
      <c r="E41" s="254" t="s">
        <v>36</v>
      </c>
      <c r="F41" s="254"/>
      <c r="G41" s="148" t="s">
        <v>5</v>
      </c>
      <c r="H41" s="149" t="s">
        <v>6</v>
      </c>
      <c r="I41" s="150" t="s">
        <v>44</v>
      </c>
      <c r="J41" s="151" t="s">
        <v>1</v>
      </c>
      <c r="L41" s="24"/>
    </row>
    <row r="42" spans="2:12" s="3" customFormat="1" ht="18">
      <c r="B42" s="287" t="s">
        <v>24</v>
      </c>
      <c r="C42" s="176"/>
      <c r="D42" s="176"/>
      <c r="E42" s="257"/>
      <c r="F42" s="258"/>
      <c r="G42" s="182"/>
      <c r="H42" s="157"/>
      <c r="I42" s="289"/>
      <c r="J42" s="128"/>
      <c r="L42" s="24"/>
    </row>
    <row r="43" spans="2:12" s="3" customFormat="1" ht="18">
      <c r="B43" s="288" t="s">
        <v>95</v>
      </c>
      <c r="C43" s="175"/>
      <c r="D43" s="175"/>
      <c r="E43" s="259" t="s">
        <v>122</v>
      </c>
      <c r="F43" s="260"/>
      <c r="G43" s="177">
        <v>25</v>
      </c>
      <c r="H43" s="158" t="s">
        <v>41</v>
      </c>
      <c r="I43" s="290">
        <v>786</v>
      </c>
      <c r="J43" s="129">
        <f aca="true" t="shared" si="2" ref="J43:J72">G43*I43</f>
        <v>19650</v>
      </c>
      <c r="L43" s="24"/>
    </row>
    <row r="44" spans="2:12" s="3" customFormat="1" ht="18">
      <c r="B44" s="165" t="s">
        <v>96</v>
      </c>
      <c r="C44" s="171"/>
      <c r="D44" s="171"/>
      <c r="E44" s="259" t="s">
        <v>57</v>
      </c>
      <c r="F44" s="260"/>
      <c r="G44" s="161">
        <v>150</v>
      </c>
      <c r="H44" s="156" t="s">
        <v>41</v>
      </c>
      <c r="I44" s="290">
        <v>670</v>
      </c>
      <c r="J44" s="129">
        <f t="shared" si="2"/>
        <v>100500</v>
      </c>
      <c r="L44" s="24"/>
    </row>
    <row r="45" spans="2:12" s="3" customFormat="1" ht="18">
      <c r="B45" s="165" t="s">
        <v>97</v>
      </c>
      <c r="C45" s="141"/>
      <c r="D45" s="141"/>
      <c r="E45" s="259" t="s">
        <v>123</v>
      </c>
      <c r="F45" s="260"/>
      <c r="G45" s="161">
        <v>100</v>
      </c>
      <c r="H45" s="156" t="s">
        <v>41</v>
      </c>
      <c r="I45" s="290">
        <v>380</v>
      </c>
      <c r="J45" s="129">
        <f t="shared" si="2"/>
        <v>38000</v>
      </c>
      <c r="L45" s="24"/>
    </row>
    <row r="46" spans="2:12" s="3" customFormat="1" ht="18">
      <c r="B46" s="168" t="s">
        <v>98</v>
      </c>
      <c r="C46" s="173"/>
      <c r="D46" s="173"/>
      <c r="E46" s="259" t="s">
        <v>124</v>
      </c>
      <c r="F46" s="260"/>
      <c r="G46" s="161">
        <v>200</v>
      </c>
      <c r="H46" s="156" t="s">
        <v>41</v>
      </c>
      <c r="I46" s="290">
        <v>362</v>
      </c>
      <c r="J46" s="129">
        <f t="shared" si="2"/>
        <v>72400</v>
      </c>
      <c r="L46" s="24"/>
    </row>
    <row r="47" spans="2:12" s="3" customFormat="1" ht="18">
      <c r="B47" s="172" t="s">
        <v>54</v>
      </c>
      <c r="C47" s="173"/>
      <c r="D47" s="173"/>
      <c r="E47" s="259"/>
      <c r="F47" s="260"/>
      <c r="G47" s="161"/>
      <c r="H47" s="156"/>
      <c r="I47" s="290"/>
      <c r="J47" s="129"/>
      <c r="L47" s="24"/>
    </row>
    <row r="48" spans="2:12" s="3" customFormat="1" ht="18">
      <c r="B48" s="168" t="s">
        <v>99</v>
      </c>
      <c r="C48" s="173"/>
      <c r="D48" s="173"/>
      <c r="E48" s="259" t="s">
        <v>125</v>
      </c>
      <c r="F48" s="260"/>
      <c r="G48" s="161">
        <v>5</v>
      </c>
      <c r="H48" s="156" t="s">
        <v>42</v>
      </c>
      <c r="I48" s="290">
        <v>10460</v>
      </c>
      <c r="J48" s="129">
        <f t="shared" si="2"/>
        <v>52300</v>
      </c>
      <c r="L48" s="24"/>
    </row>
    <row r="49" spans="2:12" s="3" customFormat="1" ht="18">
      <c r="B49" s="168" t="s">
        <v>100</v>
      </c>
      <c r="C49" s="173"/>
      <c r="D49" s="173"/>
      <c r="E49" s="259" t="s">
        <v>126</v>
      </c>
      <c r="F49" s="260"/>
      <c r="G49" s="161">
        <v>4</v>
      </c>
      <c r="H49" s="156" t="s">
        <v>42</v>
      </c>
      <c r="I49" s="290">
        <v>6327</v>
      </c>
      <c r="J49" s="129">
        <f t="shared" si="2"/>
        <v>25308</v>
      </c>
      <c r="L49" s="24"/>
    </row>
    <row r="50" spans="2:12" s="3" customFormat="1" ht="18">
      <c r="B50" s="172" t="s">
        <v>55</v>
      </c>
      <c r="C50" s="173"/>
      <c r="D50" s="173"/>
      <c r="E50" s="259"/>
      <c r="F50" s="260"/>
      <c r="G50" s="161"/>
      <c r="H50" s="156"/>
      <c r="I50" s="290"/>
      <c r="J50" s="129"/>
      <c r="L50" s="24"/>
    </row>
    <row r="51" spans="2:12" s="3" customFormat="1" ht="18">
      <c r="B51" s="168" t="s">
        <v>101</v>
      </c>
      <c r="C51" s="173"/>
      <c r="D51" s="173"/>
      <c r="E51" s="259" t="s">
        <v>127</v>
      </c>
      <c r="F51" s="260"/>
      <c r="G51" s="161">
        <v>40</v>
      </c>
      <c r="H51" s="156" t="s">
        <v>41</v>
      </c>
      <c r="I51" s="290">
        <v>5500</v>
      </c>
      <c r="J51" s="129">
        <f t="shared" si="2"/>
        <v>220000</v>
      </c>
      <c r="L51" s="24"/>
    </row>
    <row r="52" spans="2:12" s="3" customFormat="1" ht="18">
      <c r="B52" s="168" t="s">
        <v>102</v>
      </c>
      <c r="C52" s="173"/>
      <c r="D52" s="173"/>
      <c r="E52" s="259" t="s">
        <v>128</v>
      </c>
      <c r="F52" s="260"/>
      <c r="G52" s="161">
        <v>5</v>
      </c>
      <c r="H52" s="156" t="s">
        <v>42</v>
      </c>
      <c r="I52" s="290">
        <v>2806</v>
      </c>
      <c r="J52" s="129">
        <f t="shared" si="2"/>
        <v>14030</v>
      </c>
      <c r="L52" s="24"/>
    </row>
    <row r="53" spans="2:12" s="3" customFormat="1" ht="18">
      <c r="B53" s="172" t="s">
        <v>25</v>
      </c>
      <c r="C53" s="173"/>
      <c r="D53" s="173"/>
      <c r="E53" s="259"/>
      <c r="F53" s="260"/>
      <c r="G53" s="161"/>
      <c r="H53" s="156"/>
      <c r="I53" s="290"/>
      <c r="J53" s="129"/>
      <c r="L53" s="24"/>
    </row>
    <row r="54" spans="2:12" s="3" customFormat="1" ht="18">
      <c r="B54" s="168" t="s">
        <v>103</v>
      </c>
      <c r="C54" s="173"/>
      <c r="D54" s="173"/>
      <c r="E54" s="259" t="s">
        <v>58</v>
      </c>
      <c r="F54" s="260"/>
      <c r="G54" s="161">
        <v>3</v>
      </c>
      <c r="H54" s="156" t="s">
        <v>41</v>
      </c>
      <c r="I54" s="290">
        <v>11392</v>
      </c>
      <c r="J54" s="129">
        <f t="shared" si="2"/>
        <v>34176</v>
      </c>
      <c r="L54" s="24"/>
    </row>
    <row r="55" spans="2:12" s="3" customFormat="1" ht="18">
      <c r="B55" s="168" t="s">
        <v>104</v>
      </c>
      <c r="C55" s="173"/>
      <c r="D55" s="173"/>
      <c r="E55" s="259" t="s">
        <v>94</v>
      </c>
      <c r="F55" s="260"/>
      <c r="G55" s="161">
        <v>3</v>
      </c>
      <c r="H55" s="156" t="s">
        <v>42</v>
      </c>
      <c r="I55" s="290">
        <v>7229</v>
      </c>
      <c r="J55" s="129">
        <f t="shared" si="2"/>
        <v>21687</v>
      </c>
      <c r="L55" s="24"/>
    </row>
    <row r="56" spans="2:12" s="3" customFormat="1" ht="18">
      <c r="B56" s="168" t="s">
        <v>105</v>
      </c>
      <c r="C56" s="173"/>
      <c r="D56" s="173"/>
      <c r="E56" s="259" t="s">
        <v>129</v>
      </c>
      <c r="F56" s="260"/>
      <c r="G56" s="161">
        <v>0.6</v>
      </c>
      <c r="H56" s="156" t="s">
        <v>42</v>
      </c>
      <c r="I56" s="290">
        <v>28400</v>
      </c>
      <c r="J56" s="129">
        <f t="shared" si="2"/>
        <v>17040</v>
      </c>
      <c r="L56" s="24"/>
    </row>
    <row r="57" spans="2:12" s="3" customFormat="1" ht="18">
      <c r="B57" s="168" t="s">
        <v>106</v>
      </c>
      <c r="C57" s="173"/>
      <c r="D57" s="173"/>
      <c r="E57" s="259" t="s">
        <v>130</v>
      </c>
      <c r="F57" s="260"/>
      <c r="G57" s="161">
        <v>25</v>
      </c>
      <c r="H57" s="156" t="s">
        <v>42</v>
      </c>
      <c r="I57" s="290">
        <v>3172</v>
      </c>
      <c r="J57" s="129">
        <f t="shared" si="2"/>
        <v>79300</v>
      </c>
      <c r="L57" s="24"/>
    </row>
    <row r="58" spans="2:12" s="3" customFormat="1" ht="18">
      <c r="B58" s="184" t="s">
        <v>107</v>
      </c>
      <c r="C58" s="26"/>
      <c r="D58" s="167"/>
      <c r="E58" s="259" t="s">
        <v>129</v>
      </c>
      <c r="F58" s="260"/>
      <c r="G58" s="161">
        <v>0.6</v>
      </c>
      <c r="H58" s="156" t="s">
        <v>42</v>
      </c>
      <c r="I58" s="290">
        <v>122000</v>
      </c>
      <c r="J58" s="129">
        <f t="shared" si="2"/>
        <v>73200</v>
      </c>
      <c r="L58" s="24"/>
    </row>
    <row r="59" spans="2:12" s="3" customFormat="1" ht="18">
      <c r="B59" s="174" t="s">
        <v>108</v>
      </c>
      <c r="C59" s="26"/>
      <c r="D59" s="181"/>
      <c r="E59" s="259"/>
      <c r="F59" s="260"/>
      <c r="G59" s="161"/>
      <c r="H59" s="156"/>
      <c r="I59" s="290"/>
      <c r="J59" s="129"/>
      <c r="L59" s="24"/>
    </row>
    <row r="60" spans="2:12" s="3" customFormat="1" ht="18">
      <c r="B60" s="165" t="s">
        <v>109</v>
      </c>
      <c r="C60" s="26"/>
      <c r="D60" s="181"/>
      <c r="E60" s="259" t="s">
        <v>131</v>
      </c>
      <c r="F60" s="260"/>
      <c r="G60" s="161">
        <v>3</v>
      </c>
      <c r="H60" s="156" t="s">
        <v>42</v>
      </c>
      <c r="I60" s="290">
        <v>18500</v>
      </c>
      <c r="J60" s="129">
        <f t="shared" si="2"/>
        <v>55500</v>
      </c>
      <c r="L60" s="24"/>
    </row>
    <row r="61" spans="2:12" s="3" customFormat="1" ht="18">
      <c r="B61" s="172" t="s">
        <v>110</v>
      </c>
      <c r="C61" s="173"/>
      <c r="D61" s="173"/>
      <c r="E61" s="259"/>
      <c r="F61" s="260"/>
      <c r="G61" s="161"/>
      <c r="H61" s="156"/>
      <c r="I61" s="290"/>
      <c r="J61" s="129"/>
      <c r="L61" s="24"/>
    </row>
    <row r="62" spans="2:12" s="3" customFormat="1" ht="18">
      <c r="B62" s="168" t="s">
        <v>111</v>
      </c>
      <c r="C62" s="169"/>
      <c r="D62" s="169"/>
      <c r="E62" s="259" t="s">
        <v>132</v>
      </c>
      <c r="F62" s="260"/>
      <c r="G62" s="177">
        <v>1</v>
      </c>
      <c r="H62" s="158" t="s">
        <v>41</v>
      </c>
      <c r="I62" s="290">
        <v>490000</v>
      </c>
      <c r="J62" s="129">
        <f t="shared" si="2"/>
        <v>490000</v>
      </c>
      <c r="L62" s="24"/>
    </row>
    <row r="63" spans="2:12" s="3" customFormat="1" ht="18">
      <c r="B63" s="166" t="s">
        <v>112</v>
      </c>
      <c r="C63" s="167"/>
      <c r="D63" s="178"/>
      <c r="E63" s="259"/>
      <c r="F63" s="260"/>
      <c r="G63" s="177"/>
      <c r="H63" s="158"/>
      <c r="I63" s="290"/>
      <c r="J63" s="129"/>
      <c r="L63" s="24"/>
    </row>
    <row r="64" spans="2:12" s="3" customFormat="1" ht="18">
      <c r="B64" s="165" t="s">
        <v>121</v>
      </c>
      <c r="C64" s="181"/>
      <c r="D64" s="181"/>
      <c r="E64" s="259" t="s">
        <v>35</v>
      </c>
      <c r="F64" s="260"/>
      <c r="G64" s="177">
        <v>1</v>
      </c>
      <c r="H64" s="158" t="s">
        <v>40</v>
      </c>
      <c r="I64" s="290">
        <v>28000</v>
      </c>
      <c r="J64" s="129">
        <f t="shared" si="2"/>
        <v>28000</v>
      </c>
      <c r="L64" s="24"/>
    </row>
    <row r="65" spans="2:12" s="3" customFormat="1" ht="18">
      <c r="B65" s="165" t="s">
        <v>113</v>
      </c>
      <c r="C65" s="181"/>
      <c r="D65" s="181"/>
      <c r="E65" s="259" t="s">
        <v>123</v>
      </c>
      <c r="F65" s="282"/>
      <c r="G65" s="177">
        <v>1</v>
      </c>
      <c r="H65" s="158" t="s">
        <v>40</v>
      </c>
      <c r="I65" s="290">
        <v>150000</v>
      </c>
      <c r="J65" s="129">
        <f t="shared" si="2"/>
        <v>150000</v>
      </c>
      <c r="L65" s="24"/>
    </row>
    <row r="66" spans="2:12" s="3" customFormat="1" ht="18">
      <c r="B66" s="165" t="s">
        <v>114</v>
      </c>
      <c r="C66" s="280"/>
      <c r="D66" s="280"/>
      <c r="E66" s="259" t="s">
        <v>133</v>
      </c>
      <c r="F66" s="282"/>
      <c r="G66" s="177">
        <v>1</v>
      </c>
      <c r="H66" s="158" t="s">
        <v>40</v>
      </c>
      <c r="I66" s="290">
        <v>100000</v>
      </c>
      <c r="J66" s="129">
        <f t="shared" si="2"/>
        <v>100000</v>
      </c>
      <c r="L66" s="24"/>
    </row>
    <row r="67" spans="2:12" s="3" customFormat="1" ht="18">
      <c r="B67" s="165" t="s">
        <v>115</v>
      </c>
      <c r="C67" s="280"/>
      <c r="D67" s="280"/>
      <c r="E67" s="259" t="s">
        <v>85</v>
      </c>
      <c r="F67" s="282"/>
      <c r="G67" s="177">
        <v>4</v>
      </c>
      <c r="H67" s="158" t="s">
        <v>39</v>
      </c>
      <c r="I67" s="290">
        <v>80000</v>
      </c>
      <c r="J67" s="129">
        <f t="shared" si="2"/>
        <v>320000</v>
      </c>
      <c r="L67" s="24"/>
    </row>
    <row r="68" spans="2:12" s="3" customFormat="1" ht="18">
      <c r="B68" s="165" t="s">
        <v>116</v>
      </c>
      <c r="C68" s="280"/>
      <c r="D68" s="280"/>
      <c r="E68" s="259" t="s">
        <v>85</v>
      </c>
      <c r="F68" s="282"/>
      <c r="G68" s="177">
        <v>115</v>
      </c>
      <c r="H68" s="158" t="s">
        <v>39</v>
      </c>
      <c r="I68" s="290">
        <v>180</v>
      </c>
      <c r="J68" s="129">
        <f t="shared" si="2"/>
        <v>20700</v>
      </c>
      <c r="L68" s="24"/>
    </row>
    <row r="69" spans="2:12" s="3" customFormat="1" ht="18">
      <c r="B69" s="165" t="s">
        <v>117</v>
      </c>
      <c r="C69" s="280"/>
      <c r="D69" s="280"/>
      <c r="E69" s="259" t="s">
        <v>85</v>
      </c>
      <c r="F69" s="282"/>
      <c r="G69" s="177">
        <v>8</v>
      </c>
      <c r="H69" s="158" t="s">
        <v>39</v>
      </c>
      <c r="I69" s="290">
        <v>12000</v>
      </c>
      <c r="J69" s="129">
        <f t="shared" si="2"/>
        <v>96000</v>
      </c>
      <c r="L69" s="24"/>
    </row>
    <row r="70" spans="2:12" s="3" customFormat="1" ht="18">
      <c r="B70" s="165" t="s">
        <v>118</v>
      </c>
      <c r="C70" s="280"/>
      <c r="D70" s="280"/>
      <c r="E70" s="259" t="s">
        <v>85</v>
      </c>
      <c r="F70" s="282"/>
      <c r="G70" s="177">
        <v>12</v>
      </c>
      <c r="H70" s="158" t="s">
        <v>135</v>
      </c>
      <c r="I70" s="290">
        <v>11000</v>
      </c>
      <c r="J70" s="129">
        <f t="shared" si="2"/>
        <v>132000</v>
      </c>
      <c r="L70" s="24"/>
    </row>
    <row r="71" spans="2:12" s="3" customFormat="1" ht="18">
      <c r="B71" s="165" t="s">
        <v>119</v>
      </c>
      <c r="C71" s="280"/>
      <c r="D71" s="280"/>
      <c r="E71" s="259" t="s">
        <v>59</v>
      </c>
      <c r="F71" s="282"/>
      <c r="G71" s="177">
        <v>10</v>
      </c>
      <c r="H71" s="158" t="s">
        <v>42</v>
      </c>
      <c r="I71" s="290">
        <v>8725</v>
      </c>
      <c r="J71" s="129">
        <f t="shared" si="2"/>
        <v>87250</v>
      </c>
      <c r="L71" s="24"/>
    </row>
    <row r="72" spans="2:12" s="3" customFormat="1" ht="18">
      <c r="B72" s="165" t="s">
        <v>120</v>
      </c>
      <c r="C72" s="280"/>
      <c r="D72" s="280"/>
      <c r="E72" s="259" t="s">
        <v>134</v>
      </c>
      <c r="F72" s="282"/>
      <c r="G72" s="177">
        <v>3</v>
      </c>
      <c r="H72" s="158" t="s">
        <v>42</v>
      </c>
      <c r="I72" s="290">
        <v>8725</v>
      </c>
      <c r="J72" s="129">
        <f t="shared" si="2"/>
        <v>26175</v>
      </c>
      <c r="L72" s="24"/>
    </row>
    <row r="73" spans="2:14" ht="18">
      <c r="B73" s="220" t="s">
        <v>11</v>
      </c>
      <c r="C73" s="221"/>
      <c r="D73" s="221"/>
      <c r="E73" s="221"/>
      <c r="F73" s="221"/>
      <c r="G73" s="221"/>
      <c r="H73" s="221"/>
      <c r="I73" s="221"/>
      <c r="J73" s="125">
        <f>SUM(J42:J72)</f>
        <v>2273216</v>
      </c>
      <c r="K73" s="16"/>
      <c r="M73" s="16"/>
      <c r="N73" s="16"/>
    </row>
    <row r="74" spans="2:14" s="3" customFormat="1" ht="18">
      <c r="B74" s="29"/>
      <c r="C74" s="29"/>
      <c r="D74" s="29"/>
      <c r="E74" s="29"/>
      <c r="F74" s="29"/>
      <c r="G74" s="30"/>
      <c r="H74" s="29"/>
      <c r="I74" s="29"/>
      <c r="J74" s="31"/>
      <c r="K74" s="16"/>
      <c r="M74" s="16"/>
      <c r="N74" s="16"/>
    </row>
    <row r="75" spans="2:16" ht="18" customHeight="1">
      <c r="B75" s="222" t="s">
        <v>45</v>
      </c>
      <c r="C75" s="223"/>
      <c r="D75" s="223"/>
      <c r="E75" s="252"/>
      <c r="F75" s="252"/>
      <c r="G75" s="148" t="s">
        <v>5</v>
      </c>
      <c r="H75" s="149" t="s">
        <v>6</v>
      </c>
      <c r="I75" s="150"/>
      <c r="J75" s="151" t="s">
        <v>1</v>
      </c>
      <c r="K75" s="16"/>
      <c r="M75" s="16"/>
      <c r="N75" s="16"/>
      <c r="O75" s="9"/>
      <c r="P75" s="9"/>
    </row>
    <row r="76" spans="2:14" s="3" customFormat="1" ht="18">
      <c r="B76" s="273" t="s">
        <v>53</v>
      </c>
      <c r="C76" s="274"/>
      <c r="D76" s="275"/>
      <c r="E76" s="276"/>
      <c r="F76" s="277"/>
      <c r="G76" s="281">
        <v>0.05</v>
      </c>
      <c r="H76" s="278" t="s">
        <v>37</v>
      </c>
      <c r="I76" s="279"/>
      <c r="J76" s="279">
        <f>(J30+J39+J73)*G76</f>
        <v>236300.80000000002</v>
      </c>
      <c r="K76" s="16"/>
      <c r="M76" s="16"/>
      <c r="N76" s="16"/>
    </row>
    <row r="77" spans="11:14" s="3" customFormat="1" ht="18">
      <c r="K77" s="16"/>
      <c r="M77" s="16"/>
      <c r="N77" s="16"/>
    </row>
    <row r="78" spans="2:14" s="3" customFormat="1" ht="18">
      <c r="B78" s="224" t="s">
        <v>46</v>
      </c>
      <c r="C78" s="225"/>
      <c r="D78" s="225"/>
      <c r="E78" s="225"/>
      <c r="F78" s="225"/>
      <c r="G78" s="225"/>
      <c r="H78" s="225"/>
      <c r="I78" s="225"/>
      <c r="J78" s="104">
        <f>J30+J39+J73+J76</f>
        <v>4962316.8</v>
      </c>
      <c r="K78" s="16"/>
      <c r="M78" s="16"/>
      <c r="N78" s="16"/>
    </row>
    <row r="79" spans="2:14" s="3" customFormat="1" ht="18">
      <c r="B79" s="133"/>
      <c r="C79" s="133"/>
      <c r="D79" s="133"/>
      <c r="E79" s="133"/>
      <c r="F79" s="133"/>
      <c r="G79" s="32"/>
      <c r="H79" s="133"/>
      <c r="I79" s="133"/>
      <c r="J79" s="27"/>
      <c r="K79" s="16"/>
      <c r="M79" s="16"/>
      <c r="N79" s="16"/>
    </row>
    <row r="80" spans="2:14" s="3" customFormat="1" ht="20.25">
      <c r="B80" s="120" t="s">
        <v>48</v>
      </c>
      <c r="C80" s="119"/>
      <c r="D80" s="119"/>
      <c r="E80" s="20"/>
      <c r="F80" s="20"/>
      <c r="G80" s="21"/>
      <c r="H80" s="22"/>
      <c r="I80" s="23"/>
      <c r="J80" s="23"/>
      <c r="K80" s="16"/>
      <c r="M80" s="16"/>
      <c r="N80" s="16"/>
    </row>
    <row r="81" spans="2:14" s="3" customFormat="1" ht="18" customHeight="1">
      <c r="B81" s="270" t="s">
        <v>31</v>
      </c>
      <c r="C81" s="252"/>
      <c r="D81" s="252"/>
      <c r="E81" s="252"/>
      <c r="F81" s="252"/>
      <c r="G81" s="148" t="s">
        <v>5</v>
      </c>
      <c r="H81" s="149" t="s">
        <v>6</v>
      </c>
      <c r="I81" s="150"/>
      <c r="J81" s="151" t="s">
        <v>1</v>
      </c>
      <c r="K81" s="16"/>
      <c r="M81" s="16"/>
      <c r="N81" s="16"/>
    </row>
    <row r="82" spans="2:15" s="3" customFormat="1" ht="18" customHeight="1">
      <c r="B82" s="226" t="s">
        <v>140</v>
      </c>
      <c r="C82" s="204"/>
      <c r="D82" s="204"/>
      <c r="E82" s="255"/>
      <c r="F82" s="256"/>
      <c r="G82" s="179">
        <f>E17</f>
        <v>0.015</v>
      </c>
      <c r="H82" s="180" t="s">
        <v>37</v>
      </c>
      <c r="I82" s="206"/>
      <c r="J82" s="11">
        <f>J78*E17*E18*0.5</f>
        <v>446608.512</v>
      </c>
      <c r="K82" s="16"/>
      <c r="L82" s="320"/>
      <c r="M82" s="320"/>
      <c r="N82" s="320"/>
      <c r="O82" s="320"/>
    </row>
    <row r="83" spans="2:18" ht="18" customHeight="1" outlineLevel="1">
      <c r="B83" s="184" t="s">
        <v>63</v>
      </c>
      <c r="C83" s="169"/>
      <c r="D83" s="169"/>
      <c r="E83" s="202"/>
      <c r="F83" s="196"/>
      <c r="G83" s="197"/>
      <c r="H83" s="204"/>
      <c r="I83" s="207"/>
      <c r="J83" s="198"/>
      <c r="L83"/>
      <c r="M83"/>
      <c r="N83"/>
      <c r="O83"/>
      <c r="P83"/>
      <c r="Q83"/>
      <c r="R83"/>
    </row>
    <row r="84" spans="2:18" ht="18" customHeight="1" outlineLevel="1">
      <c r="B84" s="184" t="s">
        <v>64</v>
      </c>
      <c r="C84" s="169"/>
      <c r="D84" s="169"/>
      <c r="E84" s="202"/>
      <c r="F84" s="196"/>
      <c r="G84" s="197"/>
      <c r="H84" s="204"/>
      <c r="I84" s="207"/>
      <c r="J84" s="198"/>
      <c r="L84"/>
      <c r="M84"/>
      <c r="N84"/>
      <c r="O84"/>
      <c r="P84"/>
      <c r="Q84"/>
      <c r="R84"/>
    </row>
    <row r="85" spans="2:18" ht="18" customHeight="1" outlineLevel="1">
      <c r="B85" s="187" t="s">
        <v>65</v>
      </c>
      <c r="C85" s="130"/>
      <c r="D85" s="130"/>
      <c r="E85" s="203"/>
      <c r="F85" s="199"/>
      <c r="G85" s="200"/>
      <c r="H85" s="205"/>
      <c r="I85" s="208"/>
      <c r="J85" s="201"/>
      <c r="L85"/>
      <c r="M85"/>
      <c r="N85"/>
      <c r="O85"/>
      <c r="P85"/>
      <c r="Q85"/>
      <c r="R85"/>
    </row>
    <row r="86" spans="2:14" ht="18">
      <c r="B86" s="227" t="s">
        <v>28</v>
      </c>
      <c r="C86" s="228"/>
      <c r="D86" s="228"/>
      <c r="E86" s="228"/>
      <c r="F86" s="228"/>
      <c r="G86" s="228"/>
      <c r="H86" s="228"/>
      <c r="I86" s="228"/>
      <c r="J86" s="104">
        <f>SUM(J82:J85)</f>
        <v>446608.512</v>
      </c>
      <c r="K86" s="16"/>
      <c r="M86" s="16"/>
      <c r="N86" s="16"/>
    </row>
    <row r="87" spans="2:12" s="3" customFormat="1" ht="18">
      <c r="B87" s="84"/>
      <c r="C87" s="84"/>
      <c r="D87" s="84"/>
      <c r="E87" s="84"/>
      <c r="F87" s="84"/>
      <c r="G87" s="25"/>
      <c r="H87" s="84"/>
      <c r="I87" s="84"/>
      <c r="J87" s="27"/>
      <c r="K87" s="16"/>
      <c r="L87" s="16"/>
    </row>
    <row r="88" spans="2:12" ht="18">
      <c r="B88" s="229" t="s">
        <v>13</v>
      </c>
      <c r="C88" s="230"/>
      <c r="D88" s="230"/>
      <c r="E88" s="230"/>
      <c r="F88" s="230"/>
      <c r="G88" s="230"/>
      <c r="H88" s="230"/>
      <c r="I88" s="230"/>
      <c r="J88" s="233">
        <f>J78+J86</f>
        <v>5408925.312</v>
      </c>
      <c r="K88" s="16"/>
      <c r="L88" s="16"/>
    </row>
    <row r="89" spans="2:12" s="3" customFormat="1" ht="18">
      <c r="B89" s="231"/>
      <c r="C89" s="232"/>
      <c r="D89" s="232"/>
      <c r="E89" s="232"/>
      <c r="F89" s="232"/>
      <c r="G89" s="232"/>
      <c r="H89" s="232"/>
      <c r="I89" s="232"/>
      <c r="J89" s="234"/>
      <c r="K89" s="16"/>
      <c r="L89" s="16"/>
    </row>
    <row r="90" spans="2:12" s="3" customFormat="1" ht="18" customHeight="1">
      <c r="B90" s="139"/>
      <c r="C90" s="139"/>
      <c r="D90" s="139"/>
      <c r="E90" s="139"/>
      <c r="F90" s="139"/>
      <c r="G90" s="139"/>
      <c r="H90" s="139"/>
      <c r="I90" s="139"/>
      <c r="J90" s="140"/>
      <c r="K90" s="16"/>
      <c r="L90" s="16"/>
    </row>
    <row r="91" spans="2:12" s="3" customFormat="1" ht="18" customHeight="1">
      <c r="B91" s="139"/>
      <c r="C91" s="139"/>
      <c r="D91" s="139"/>
      <c r="E91" s="139"/>
      <c r="F91" s="139"/>
      <c r="G91" s="139"/>
      <c r="H91" s="139"/>
      <c r="I91" s="139"/>
      <c r="J91" s="140"/>
      <c r="K91" s="16"/>
      <c r="L91" s="16"/>
    </row>
    <row r="92" spans="2:12" s="3" customFormat="1" ht="18" customHeight="1">
      <c r="B92" s="139"/>
      <c r="C92" s="139"/>
      <c r="D92" s="139"/>
      <c r="E92" s="139"/>
      <c r="F92" s="139"/>
      <c r="G92" s="139"/>
      <c r="H92" s="139"/>
      <c r="I92" s="139"/>
      <c r="J92" s="140"/>
      <c r="K92" s="16"/>
      <c r="L92" s="16"/>
    </row>
    <row r="93" spans="2:12" ht="18" customHeight="1">
      <c r="B93" s="331" t="s">
        <v>141</v>
      </c>
      <c r="C93" s="332"/>
      <c r="D93" s="332"/>
      <c r="E93" s="332"/>
      <c r="F93" s="332"/>
      <c r="G93" s="332"/>
      <c r="H93" s="332"/>
      <c r="I93" s="332"/>
      <c r="J93" s="333"/>
      <c r="K93" s="16"/>
      <c r="L93" s="24"/>
    </row>
    <row r="94" spans="2:12" ht="18" customHeight="1">
      <c r="B94" s="300" t="s">
        <v>43</v>
      </c>
      <c r="C94" s="301"/>
      <c r="D94" s="301"/>
      <c r="E94" s="301"/>
      <c r="F94" s="301"/>
      <c r="G94" s="301"/>
      <c r="H94" s="301"/>
      <c r="I94" s="301"/>
      <c r="J94" s="302"/>
      <c r="K94" s="16"/>
      <c r="L94" s="24"/>
    </row>
    <row r="95" spans="2:12" s="3" customFormat="1" ht="18" customHeight="1">
      <c r="B95" s="266" t="s">
        <v>136</v>
      </c>
      <c r="C95" s="261"/>
      <c r="D95" s="262"/>
      <c r="E95" s="305" t="s">
        <v>149</v>
      </c>
      <c r="F95" s="306"/>
      <c r="G95" s="306"/>
      <c r="H95" s="306"/>
      <c r="I95" s="306"/>
      <c r="J95" s="307"/>
      <c r="K95" s="16"/>
      <c r="L95" s="24"/>
    </row>
    <row r="96" spans="2:12" s="3" customFormat="1" ht="18" customHeight="1">
      <c r="B96" s="263"/>
      <c r="C96" s="264"/>
      <c r="D96" s="265"/>
      <c r="E96" s="334">
        <f>G96*0.9</f>
        <v>1710</v>
      </c>
      <c r="F96" s="335"/>
      <c r="G96" s="336">
        <f>E15</f>
        <v>1900</v>
      </c>
      <c r="H96" s="337"/>
      <c r="I96" s="334">
        <f>G96*1.1</f>
        <v>2090</v>
      </c>
      <c r="J96" s="335"/>
      <c r="K96" s="16"/>
      <c r="L96" s="24"/>
    </row>
    <row r="97" spans="2:12" s="3" customFormat="1" ht="18" customHeight="1">
      <c r="B97" s="235"/>
      <c r="C97" s="237">
        <f>+C98*0.9</f>
        <v>3240</v>
      </c>
      <c r="D97" s="236"/>
      <c r="E97" s="303">
        <f>E$96*$C$97-$J$88</f>
        <v>131474.68800000008</v>
      </c>
      <c r="F97" s="304"/>
      <c r="G97" s="303">
        <f>G$96*$C$97-$J$88</f>
        <v>747074.6880000001</v>
      </c>
      <c r="H97" s="304"/>
      <c r="I97" s="303">
        <f>I$96*$C$97-$J$88</f>
        <v>1362674.688</v>
      </c>
      <c r="J97" s="304"/>
      <c r="K97" s="16"/>
      <c r="L97" s="24"/>
    </row>
    <row r="98" spans="2:12" s="3" customFormat="1" ht="18" customHeight="1">
      <c r="B98" s="235"/>
      <c r="C98" s="237">
        <f>+E14</f>
        <v>3600</v>
      </c>
      <c r="D98" s="236"/>
      <c r="E98" s="303">
        <f>E$96*$C$98-$J$88</f>
        <v>747074.6880000001</v>
      </c>
      <c r="F98" s="304"/>
      <c r="G98" s="303">
        <f>G$96*$C$98-$J$88</f>
        <v>1431074.688</v>
      </c>
      <c r="H98" s="304"/>
      <c r="I98" s="303">
        <f>I$96*$C$98-$J$88</f>
        <v>2115074.688</v>
      </c>
      <c r="J98" s="304"/>
      <c r="K98" s="16"/>
      <c r="L98" s="24"/>
    </row>
    <row r="99" spans="2:12" s="3" customFormat="1" ht="18" customHeight="1">
      <c r="B99" s="235"/>
      <c r="C99" s="237">
        <f>+C98*1.1</f>
        <v>3960.0000000000005</v>
      </c>
      <c r="D99" s="236"/>
      <c r="E99" s="303">
        <f>E$96*$C$99-$J$88</f>
        <v>1362674.688000001</v>
      </c>
      <c r="F99" s="304"/>
      <c r="G99" s="303">
        <f>G$96*$C$99-$J$88</f>
        <v>2115074.688000001</v>
      </c>
      <c r="H99" s="304"/>
      <c r="I99" s="303">
        <f>I$96*$C$99-$J$88</f>
        <v>2867474.688000001</v>
      </c>
      <c r="J99" s="304"/>
      <c r="K99" s="16"/>
      <c r="L99" s="24"/>
    </row>
    <row r="100" spans="2:12" s="3" customFormat="1" ht="18" customHeight="1">
      <c r="B100" s="34"/>
      <c r="C100" s="34"/>
      <c r="D100" s="35"/>
      <c r="E100" s="35"/>
      <c r="F100" s="35"/>
      <c r="G100" s="36"/>
      <c r="H100" s="12"/>
      <c r="I100" s="15"/>
      <c r="J100" s="15"/>
      <c r="K100" s="16"/>
      <c r="L100" s="24"/>
    </row>
    <row r="101" spans="2:12" s="3" customFormat="1" ht="18" customHeight="1">
      <c r="B101" s="297" t="s">
        <v>142</v>
      </c>
      <c r="C101" s="298"/>
      <c r="D101" s="298"/>
      <c r="E101" s="298"/>
      <c r="F101" s="298"/>
      <c r="G101" s="298"/>
      <c r="H101" s="298"/>
      <c r="I101" s="298"/>
      <c r="J101" s="299"/>
      <c r="K101" s="16"/>
      <c r="L101" s="24"/>
    </row>
    <row r="102" spans="2:12" s="3" customFormat="1" ht="18" customHeight="1">
      <c r="B102" s="267"/>
      <c r="C102" s="268"/>
      <c r="D102" s="268"/>
      <c r="E102" s="268"/>
      <c r="F102" s="268"/>
      <c r="G102" s="268"/>
      <c r="H102" s="268"/>
      <c r="I102" s="268"/>
      <c r="J102" s="269"/>
      <c r="K102" s="16"/>
      <c r="L102" s="24"/>
    </row>
    <row r="103" spans="2:12" s="3" customFormat="1" ht="18" customHeight="1">
      <c r="B103" s="238" t="s">
        <v>136</v>
      </c>
      <c r="C103" s="239"/>
      <c r="D103" s="239"/>
      <c r="E103" s="193">
        <f>C97</f>
        <v>3240</v>
      </c>
      <c r="F103" s="239"/>
      <c r="G103" s="193">
        <f>E14</f>
        <v>3600</v>
      </c>
      <c r="H103" s="239"/>
      <c r="I103" s="193">
        <f>C99</f>
        <v>3960.0000000000005</v>
      </c>
      <c r="J103" s="246"/>
      <c r="K103" s="16"/>
      <c r="L103" s="24"/>
    </row>
    <row r="104" spans="2:12" ht="18" customHeight="1">
      <c r="B104" s="240"/>
      <c r="C104" s="241"/>
      <c r="D104" s="241"/>
      <c r="E104" s="194"/>
      <c r="F104" s="241"/>
      <c r="G104" s="194"/>
      <c r="H104" s="241"/>
      <c r="I104" s="194"/>
      <c r="J104" s="247"/>
      <c r="K104" s="16"/>
      <c r="L104" s="24"/>
    </row>
    <row r="105" spans="2:12" ht="18" customHeight="1">
      <c r="B105" s="242" t="s">
        <v>137</v>
      </c>
      <c r="C105" s="243"/>
      <c r="D105" s="243"/>
      <c r="E105" s="192">
        <f>$J$88/E103</f>
        <v>1669.4213925925926</v>
      </c>
      <c r="F105" s="248"/>
      <c r="G105" s="192">
        <f>$J$88/G103</f>
        <v>1502.4792533333334</v>
      </c>
      <c r="H105" s="248"/>
      <c r="I105" s="192">
        <f>$J$88/I103</f>
        <v>1365.8902303030302</v>
      </c>
      <c r="J105" s="250"/>
      <c r="K105" s="16"/>
      <c r="L105" s="24"/>
    </row>
    <row r="106" spans="2:12" ht="18" customHeight="1">
      <c r="B106" s="244"/>
      <c r="C106" s="245"/>
      <c r="D106" s="245"/>
      <c r="E106" s="249"/>
      <c r="F106" s="249"/>
      <c r="G106" s="249"/>
      <c r="H106" s="249"/>
      <c r="I106" s="249"/>
      <c r="J106" s="251"/>
      <c r="K106" s="16"/>
      <c r="L106" s="24"/>
    </row>
    <row r="107" spans="2:12" ht="18" customHeight="1">
      <c r="B107" s="46"/>
      <c r="C107" s="1"/>
      <c r="D107" s="3"/>
      <c r="E107" s="3"/>
      <c r="F107" s="105"/>
      <c r="G107" s="105"/>
      <c r="H107" s="105"/>
      <c r="I107" s="15"/>
      <c r="J107" s="15"/>
      <c r="K107" s="16"/>
      <c r="L107" s="24"/>
    </row>
    <row r="108" spans="2:11" s="3" customFormat="1" ht="18" customHeight="1">
      <c r="B108" s="321" t="s">
        <v>15</v>
      </c>
      <c r="C108" s="322"/>
      <c r="D108" s="322"/>
      <c r="E108" s="322"/>
      <c r="F108" s="322"/>
      <c r="G108" s="322"/>
      <c r="H108" s="322"/>
      <c r="I108" s="322"/>
      <c r="J108" s="323"/>
      <c r="K108" s="80"/>
    </row>
    <row r="109" spans="2:14" s="3" customFormat="1" ht="18">
      <c r="B109" s="294" t="s">
        <v>143</v>
      </c>
      <c r="C109" s="295"/>
      <c r="D109" s="295"/>
      <c r="E109" s="295"/>
      <c r="F109" s="295"/>
      <c r="G109" s="295"/>
      <c r="H109" s="295"/>
      <c r="I109" s="295"/>
      <c r="J109" s="296"/>
      <c r="K109" s="80"/>
      <c r="N109" s="106"/>
    </row>
    <row r="110" spans="2:11" s="3" customFormat="1" ht="15.75" customHeight="1">
      <c r="B110" s="294" t="s">
        <v>150</v>
      </c>
      <c r="C110" s="295"/>
      <c r="D110" s="295"/>
      <c r="E110" s="295"/>
      <c r="F110" s="295"/>
      <c r="G110" s="295"/>
      <c r="H110" s="295"/>
      <c r="I110" s="295"/>
      <c r="J110" s="296"/>
      <c r="K110" s="81"/>
    </row>
    <row r="111" spans="2:11" s="3" customFormat="1" ht="15.75" customHeight="1">
      <c r="B111" s="294" t="s">
        <v>61</v>
      </c>
      <c r="C111" s="295"/>
      <c r="D111" s="295"/>
      <c r="E111" s="295"/>
      <c r="F111" s="295"/>
      <c r="G111" s="295"/>
      <c r="H111" s="295"/>
      <c r="I111" s="295"/>
      <c r="J111" s="296"/>
      <c r="K111" s="81"/>
    </row>
    <row r="112" spans="2:11" s="3" customFormat="1" ht="30.75" customHeight="1">
      <c r="B112" s="325" t="s">
        <v>144</v>
      </c>
      <c r="C112" s="326"/>
      <c r="D112" s="326"/>
      <c r="E112" s="326"/>
      <c r="F112" s="326"/>
      <c r="G112" s="326"/>
      <c r="H112" s="326"/>
      <c r="I112" s="326"/>
      <c r="J112" s="327"/>
      <c r="K112" s="80"/>
    </row>
    <row r="113" spans="2:11" s="3" customFormat="1" ht="18" customHeight="1">
      <c r="B113" s="294" t="s">
        <v>145</v>
      </c>
      <c r="C113" s="295"/>
      <c r="D113" s="295"/>
      <c r="E113" s="295"/>
      <c r="F113" s="295"/>
      <c r="G113" s="295"/>
      <c r="H113" s="295"/>
      <c r="I113" s="295"/>
      <c r="J113" s="296"/>
      <c r="K113" s="80"/>
    </row>
    <row r="114" spans="2:11" s="3" customFormat="1" ht="18">
      <c r="B114" s="328" t="s">
        <v>146</v>
      </c>
      <c r="C114" s="329"/>
      <c r="D114" s="329"/>
      <c r="E114" s="329"/>
      <c r="F114" s="329"/>
      <c r="G114" s="329"/>
      <c r="H114" s="329"/>
      <c r="I114" s="329"/>
      <c r="J114" s="330"/>
      <c r="K114" s="80"/>
    </row>
    <row r="115" spans="2:11" s="3" customFormat="1" ht="18.75" customHeight="1">
      <c r="B115" s="291" t="s">
        <v>147</v>
      </c>
      <c r="C115" s="292"/>
      <c r="D115" s="292"/>
      <c r="E115" s="292"/>
      <c r="F115" s="292"/>
      <c r="G115" s="292"/>
      <c r="H115" s="292"/>
      <c r="I115" s="292"/>
      <c r="J115" s="293"/>
      <c r="K115" s="80"/>
    </row>
    <row r="116" spans="2:11" s="3" customFormat="1" ht="18" customHeight="1">
      <c r="B116" s="142"/>
      <c r="C116" s="142"/>
      <c r="D116" s="142"/>
      <c r="E116" s="142"/>
      <c r="F116" s="142"/>
      <c r="G116" s="142"/>
      <c r="H116" s="142"/>
      <c r="I116" s="142"/>
      <c r="J116" s="142"/>
      <c r="K116" s="81"/>
    </row>
    <row r="117" spans="2:11" s="3" customFormat="1" ht="18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3"/>
    </row>
    <row r="118" spans="2:11" s="3" customFormat="1" ht="16.5" customHeight="1">
      <c r="B118" s="39"/>
      <c r="C118" s="39"/>
      <c r="D118" s="39"/>
      <c r="E118" s="39"/>
      <c r="F118" s="39"/>
      <c r="G118" s="40"/>
      <c r="H118" s="39"/>
      <c r="I118" s="39"/>
      <c r="J118" s="39"/>
      <c r="K118" s="9"/>
    </row>
    <row r="119" spans="2:11" s="3" customFormat="1" ht="15">
      <c r="B119" s="4"/>
      <c r="C119" s="4"/>
      <c r="D119" s="4"/>
      <c r="E119" s="4"/>
      <c r="F119" s="4"/>
      <c r="G119" s="5"/>
      <c r="H119" s="4"/>
      <c r="I119" s="4"/>
      <c r="J119" s="4"/>
      <c r="K119" s="9"/>
    </row>
    <row r="120" spans="2:11" s="3" customFormat="1" ht="15">
      <c r="B120" s="6"/>
      <c r="C120" s="6"/>
      <c r="D120" s="6"/>
      <c r="E120" s="6"/>
      <c r="F120" s="6"/>
      <c r="G120" s="7"/>
      <c r="H120" s="6"/>
      <c r="I120" s="6"/>
      <c r="J120" s="6"/>
      <c r="K120" s="9"/>
    </row>
    <row r="121" spans="2:11" s="3" customFormat="1" ht="15">
      <c r="B121" s="6"/>
      <c r="C121" s="6"/>
      <c r="D121" s="6"/>
      <c r="E121" s="6"/>
      <c r="F121" s="6"/>
      <c r="G121" s="7"/>
      <c r="H121" s="6"/>
      <c r="I121" s="6"/>
      <c r="J121" s="6"/>
      <c r="K121" s="9"/>
    </row>
    <row r="122" spans="2:11" s="3" customFormat="1" ht="15">
      <c r="B122" s="6"/>
      <c r="C122" s="6"/>
      <c r="D122" s="6"/>
      <c r="E122" s="6"/>
      <c r="F122" s="6"/>
      <c r="G122" s="7"/>
      <c r="H122" s="6"/>
      <c r="I122" s="6"/>
      <c r="J122" s="6"/>
      <c r="K122" s="9"/>
    </row>
    <row r="123" spans="2:12" s="3" customFormat="1" ht="15">
      <c r="B123" s="67"/>
      <c r="C123" s="67"/>
      <c r="D123" s="67"/>
      <c r="E123" s="67"/>
      <c r="F123" s="67"/>
      <c r="G123" s="68"/>
      <c r="H123" s="67"/>
      <c r="I123" s="67"/>
      <c r="J123" s="67"/>
      <c r="K123" s="69"/>
      <c r="L123" s="67"/>
    </row>
    <row r="124" spans="2:12" s="3" customFormat="1" ht="15">
      <c r="B124" s="67"/>
      <c r="C124" s="67"/>
      <c r="D124" s="67"/>
      <c r="E124" s="67"/>
      <c r="F124" s="67"/>
      <c r="G124" s="68"/>
      <c r="H124" s="67"/>
      <c r="I124" s="67"/>
      <c r="J124" s="67"/>
      <c r="K124" s="69"/>
      <c r="L124" s="67"/>
    </row>
    <row r="125" spans="2:12" s="3" customFormat="1" ht="15">
      <c r="B125" s="67"/>
      <c r="C125" s="67"/>
      <c r="D125" s="67"/>
      <c r="E125" s="67"/>
      <c r="F125" s="67"/>
      <c r="G125" s="68"/>
      <c r="H125" s="67"/>
      <c r="I125" s="67"/>
      <c r="J125" s="67"/>
      <c r="K125" s="69"/>
      <c r="L125" s="67"/>
    </row>
    <row r="126" spans="2:12" s="3" customFormat="1" ht="1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ht="18">
      <c r="B127" s="56"/>
      <c r="C127" s="56"/>
      <c r="D127" s="57"/>
      <c r="E127" s="57"/>
      <c r="F127" s="58"/>
      <c r="G127" s="58"/>
      <c r="H127" s="58"/>
      <c r="I127" s="67"/>
      <c r="J127" s="67"/>
      <c r="K127" s="69"/>
      <c r="L127" s="67"/>
    </row>
    <row r="128" spans="2:12" ht="18">
      <c r="B128" s="56"/>
      <c r="C128" s="59"/>
      <c r="D128" s="59"/>
      <c r="E128" s="60"/>
      <c r="F128" s="59"/>
      <c r="G128" s="61"/>
      <c r="H128" s="62"/>
      <c r="I128" s="67"/>
      <c r="J128" s="67"/>
      <c r="K128" s="69"/>
      <c r="L128" s="67"/>
    </row>
    <row r="129" spans="2:12" ht="18">
      <c r="B129" s="57"/>
      <c r="C129" s="57"/>
      <c r="D129" s="57"/>
      <c r="E129" s="57"/>
      <c r="F129" s="57"/>
      <c r="G129" s="57"/>
      <c r="H129" s="57"/>
      <c r="I129" s="67"/>
      <c r="J129" s="67"/>
      <c r="K129" s="69"/>
      <c r="L129" s="67"/>
    </row>
    <row r="130" spans="2:12" ht="18">
      <c r="B130" s="56"/>
      <c r="C130" s="57"/>
      <c r="D130" s="57"/>
      <c r="E130" s="57"/>
      <c r="F130" s="57"/>
      <c r="G130" s="57"/>
      <c r="H130" s="57"/>
      <c r="I130" s="67"/>
      <c r="J130" s="67"/>
      <c r="K130" s="69"/>
      <c r="L130" s="67"/>
    </row>
    <row r="131" spans="2:12" ht="18">
      <c r="B131" s="70"/>
      <c r="C131" s="71"/>
      <c r="D131" s="71"/>
      <c r="E131" s="63"/>
      <c r="F131" s="63"/>
      <c r="G131" s="63"/>
      <c r="H131" s="63"/>
      <c r="I131" s="67"/>
      <c r="J131" s="69"/>
      <c r="K131" s="69"/>
      <c r="L131" s="67"/>
    </row>
    <row r="132" spans="2:12" ht="18">
      <c r="B132" s="70"/>
      <c r="C132" s="71"/>
      <c r="D132" s="71"/>
      <c r="E132" s="63"/>
      <c r="F132" s="63"/>
      <c r="G132" s="63"/>
      <c r="H132" s="63"/>
      <c r="I132" s="67"/>
      <c r="J132" s="69"/>
      <c r="K132" s="69"/>
      <c r="L132" s="67"/>
    </row>
    <row r="133" spans="2:12" ht="18">
      <c r="B133" s="64"/>
      <c r="C133" s="65"/>
      <c r="D133" s="65"/>
      <c r="E133" s="64"/>
      <c r="F133" s="64"/>
      <c r="G133" s="64"/>
      <c r="H133" s="66"/>
      <c r="I133" s="67"/>
      <c r="J133" s="67"/>
      <c r="K133" s="69"/>
      <c r="L133" s="67"/>
    </row>
    <row r="134" spans="2:12" ht="18">
      <c r="B134" s="57"/>
      <c r="C134" s="57"/>
      <c r="D134" s="57"/>
      <c r="E134" s="57"/>
      <c r="F134" s="57"/>
      <c r="G134" s="57"/>
      <c r="H134" s="57"/>
      <c r="I134" s="67"/>
      <c r="J134" s="67"/>
      <c r="K134" s="69"/>
      <c r="L134" s="67"/>
    </row>
    <row r="135" spans="2:12" ht="18">
      <c r="B135" s="56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324"/>
      <c r="C138" s="324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8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8">
      <c r="B144" s="72"/>
      <c r="C144" s="73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8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8">
      <c r="B146" s="72"/>
      <c r="C146" s="73"/>
      <c r="D146" s="74"/>
      <c r="E146" s="75"/>
      <c r="F146" s="74"/>
      <c r="G146" s="76"/>
      <c r="H146" s="76"/>
      <c r="I146" s="67"/>
      <c r="J146" s="67"/>
      <c r="K146" s="69"/>
      <c r="L146" s="67"/>
    </row>
    <row r="147" spans="2:12" ht="18">
      <c r="B147" s="72"/>
      <c r="C147" s="73"/>
      <c r="D147" s="74"/>
      <c r="E147" s="75"/>
      <c r="F147" s="74"/>
      <c r="G147" s="76"/>
      <c r="H147" s="76"/>
      <c r="I147" s="67"/>
      <c r="J147" s="67"/>
      <c r="K147" s="69"/>
      <c r="L147" s="67"/>
    </row>
    <row r="148" spans="2:12" ht="18">
      <c r="B148" s="72"/>
      <c r="C148" s="73"/>
      <c r="D148" s="74"/>
      <c r="E148" s="75"/>
      <c r="F148" s="74"/>
      <c r="G148" s="76"/>
      <c r="H148" s="76"/>
      <c r="I148" s="67"/>
      <c r="J148" s="67"/>
      <c r="K148" s="69"/>
      <c r="L148" s="67"/>
    </row>
    <row r="149" spans="2:12" ht="18">
      <c r="B149" s="64"/>
      <c r="C149" s="65"/>
      <c r="D149" s="65"/>
      <c r="E149" s="64"/>
      <c r="F149" s="64"/>
      <c r="G149" s="64"/>
      <c r="H149" s="66"/>
      <c r="I149" s="67"/>
      <c r="J149" s="67"/>
      <c r="K149" s="69"/>
      <c r="L149" s="67"/>
    </row>
    <row r="150" spans="2:12" ht="18">
      <c r="B150" s="57"/>
      <c r="C150" s="57"/>
      <c r="D150" s="57"/>
      <c r="E150" s="57"/>
      <c r="F150" s="57"/>
      <c r="G150" s="57"/>
      <c r="H150" s="57"/>
      <c r="I150" s="67"/>
      <c r="J150" s="67"/>
      <c r="K150" s="69"/>
      <c r="L150" s="67"/>
    </row>
    <row r="151" spans="2:12" ht="18">
      <c r="B151" s="64"/>
      <c r="C151" s="65"/>
      <c r="D151" s="65"/>
      <c r="E151" s="64"/>
      <c r="F151" s="64"/>
      <c r="G151" s="64"/>
      <c r="H151" s="66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77"/>
      <c r="C162" s="77"/>
      <c r="D162" s="77"/>
      <c r="E162" s="77"/>
      <c r="F162" s="7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9"/>
      <c r="D165" s="69"/>
      <c r="E165" s="69"/>
      <c r="F165" s="69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9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9"/>
      <c r="D172" s="69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8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9"/>
      <c r="C185" s="69"/>
      <c r="D185" s="69"/>
      <c r="E185" s="69"/>
      <c r="F185" s="69"/>
      <c r="G185" s="69"/>
      <c r="H185" s="69"/>
      <c r="I185" s="69"/>
      <c r="J185" s="67"/>
      <c r="K185" s="69"/>
      <c r="L185" s="67"/>
    </row>
    <row r="186" spans="2:12" s="3" customFormat="1" ht="15">
      <c r="B186" s="69"/>
      <c r="C186" s="69"/>
      <c r="D186" s="69"/>
      <c r="E186" s="69"/>
      <c r="F186" s="69"/>
      <c r="G186" s="78"/>
      <c r="H186" s="69"/>
      <c r="I186" s="69"/>
      <c r="J186" s="67"/>
      <c r="K186" s="69"/>
      <c r="L186" s="78"/>
    </row>
    <row r="187" spans="2:12" s="3" customFormat="1" ht="15">
      <c r="B187" s="69"/>
      <c r="C187" s="69"/>
      <c r="D187" s="69"/>
      <c r="E187" s="69"/>
      <c r="F187" s="69"/>
      <c r="G187" s="69"/>
      <c r="H187" s="69"/>
      <c r="I187" s="7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9"/>
      <c r="I203" s="69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9"/>
      <c r="I204" s="69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9"/>
      <c r="I205" s="69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ht="1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ht="1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</sheetData>
  <sheetProtection/>
  <mergeCells count="33">
    <mergeCell ref="I97:J97"/>
    <mergeCell ref="I98:J98"/>
    <mergeCell ref="I99:J99"/>
    <mergeCell ref="I96:J96"/>
    <mergeCell ref="G96:H96"/>
    <mergeCell ref="G97:H97"/>
    <mergeCell ref="L82:O82"/>
    <mergeCell ref="B108:J108"/>
    <mergeCell ref="B138:C138"/>
    <mergeCell ref="B109:J109"/>
    <mergeCell ref="B112:J112"/>
    <mergeCell ref="B114:J114"/>
    <mergeCell ref="B93:J93"/>
    <mergeCell ref="B113:J113"/>
    <mergeCell ref="E96:F96"/>
    <mergeCell ref="E97:F97"/>
    <mergeCell ref="D2:J2"/>
    <mergeCell ref="D3:J3"/>
    <mergeCell ref="D4:J4"/>
    <mergeCell ref="B13:E13"/>
    <mergeCell ref="G13:J13"/>
    <mergeCell ref="E21:F21"/>
    <mergeCell ref="D6:J6"/>
    <mergeCell ref="B115:J115"/>
    <mergeCell ref="B111:J111"/>
    <mergeCell ref="B101:J101"/>
    <mergeCell ref="B110:J110"/>
    <mergeCell ref="B94:J94"/>
    <mergeCell ref="E98:F98"/>
    <mergeCell ref="E99:F99"/>
    <mergeCell ref="E95:J95"/>
    <mergeCell ref="G98:H98"/>
    <mergeCell ref="G99:H9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((nogal_serr_valparaíso!E14-45000)/45000)+1</f>
        <v>0.07999999999999996</v>
      </c>
    </row>
    <row r="3" ht="18">
      <c r="B3" s="13"/>
    </row>
    <row r="4" spans="2:3" ht="18">
      <c r="B4" s="338" t="s">
        <v>18</v>
      </c>
      <c r="C4" s="338"/>
    </row>
    <row r="5" spans="2:5" ht="18">
      <c r="B5" s="82" t="s">
        <v>32</v>
      </c>
      <c r="C5" s="130"/>
      <c r="D5" s="83"/>
      <c r="E5" s="3">
        <v>45000</v>
      </c>
    </row>
    <row r="6" spans="2:4" ht="15">
      <c r="B6" s="26"/>
      <c r="C6" s="26"/>
      <c r="D6" s="26"/>
    </row>
    <row r="14" spans="2:4" ht="15">
      <c r="B14" s="339" t="s">
        <v>14</v>
      </c>
      <c r="C14" s="339"/>
      <c r="D14" s="339"/>
    </row>
    <row r="16" spans="2:4" ht="18">
      <c r="B16" s="49" t="s">
        <v>16</v>
      </c>
      <c r="C16" s="48">
        <f>nogal_serr_valparaíso!B97</f>
        <v>0</v>
      </c>
      <c r="D16" s="48">
        <f>nogal_serr_valparaíso!B99</f>
        <v>0</v>
      </c>
    </row>
    <row r="17" ht="15">
      <c r="B17" s="24"/>
    </row>
    <row r="18" spans="2:4" ht="15">
      <c r="B18" s="47" t="s">
        <v>17</v>
      </c>
      <c r="C18" s="50">
        <f>((C16-nogal_serr_valparaíso!E14)/nogal_serr_valparaíso!E14)+1</f>
        <v>0</v>
      </c>
      <c r="D18" s="50">
        <f>((D16-nogal_serr_valparaíso!E14)/nogal_serr_valparaíso!E14)+1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SUM(nogal_serr_valparaíso!J23:J29)</f>
        <v>2016000</v>
      </c>
      <c r="D21" s="9">
        <f>SUM(nogal_serr_valparaíso!J23:J29)</f>
        <v>2016000</v>
      </c>
    </row>
    <row r="22" spans="2:4" ht="18">
      <c r="B22" s="51" t="s">
        <v>20</v>
      </c>
      <c r="C22" s="52" t="e">
        <f>C18*nogal_serr_valparaíso!#REF!*nogal_serr_valparaíso!#REF!</f>
        <v>#REF!</v>
      </c>
      <c r="D22" s="52" t="e">
        <f>D18*nogal_serr_valparaíso!#REF!*nogal_serr_valparaíso!#REF!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SUM(nogal_serr_valparaíso!J33:J38)</f>
        <v>436800</v>
      </c>
      <c r="D26" s="9">
        <f>SUM(nogal_serr_valparaíso!J33:J38)</f>
        <v>436800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436800</v>
      </c>
      <c r="D28" s="9">
        <f>SUM(D26:D27)</f>
        <v>436800</v>
      </c>
    </row>
    <row r="30" ht="18">
      <c r="B30" s="49" t="s">
        <v>22</v>
      </c>
    </row>
    <row r="31" spans="2:4" ht="18">
      <c r="B31" s="17" t="s">
        <v>19</v>
      </c>
      <c r="C31" s="9">
        <f>SUM(nogal_serr_valparaíso!J42:J72)</f>
        <v>2273216</v>
      </c>
      <c r="D31" s="9">
        <f>SUM(nogal_serr_valparaíso!J42:J72)</f>
        <v>2273216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2273216</v>
      </c>
      <c r="D33" s="9">
        <f>SUM(D31:D32)</f>
        <v>2273216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C35*nogal_serr_valparaíso!G76</f>
        <v>#REF!</v>
      </c>
      <c r="D37" s="9" t="e">
        <f>D35*D18*nogal_serr_valparaíso!G76</f>
        <v>#REF!</v>
      </c>
    </row>
    <row r="38" spans="2:4" ht="18">
      <c r="B38" s="53" t="s">
        <v>12</v>
      </c>
      <c r="C38" s="9" t="e">
        <f>C35*nogal_serr_valparaíso!E17*nogal_serr_valparaíso!E18*0.5</f>
        <v>#REF!</v>
      </c>
      <c r="D38" s="9" t="e">
        <f>D35*nogal_serr_valparaíso!E17*nogal_serr_valparaíso!E18*0.5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2019-08-28T21:32:32Z</dcterms:modified>
  <cp:category/>
  <cp:version/>
  <cp:contentType/>
  <cp:contentStatus/>
</cp:coreProperties>
</file>