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palta_hass_valparaíso" sheetId="1" r:id="rId1"/>
    <sheet name="Hoja1" sheetId="2" state="hidden" r:id="rId2"/>
  </sheets>
  <definedNames>
    <definedName name="_xlnm.Print_Area" localSheetId="0">'palta_hass_valparaíso'!$A$1:$K$110</definedName>
  </definedNames>
  <calcPr fullCalcOnLoad="1"/>
</workbook>
</file>

<file path=xl/sharedStrings.xml><?xml version="1.0" encoding="utf-8"?>
<sst xmlns="http://schemas.openxmlformats.org/spreadsheetml/2006/main" count="200" uniqueCount="134">
  <si>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</si>
  <si>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</si>
  <si>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</si>
  <si>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</si>
  <si>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</si>
  <si>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</si>
  <si>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</si>
  <si>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</si>
  <si>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</si>
  <si>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</si>
  <si>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</si>
  <si>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</si>
  <si>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</si>
  <si>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</si>
  <si>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</si>
  <si>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</si>
  <si>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</si>
  <si>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</si>
  <si>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</si>
  <si>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</si>
  <si>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</si>
  <si>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</si>
  <si>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</si>
  <si>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</si>
  <si>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</si>
  <si>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</si>
  <si>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</si>
  <si>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</si>
  <si>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</si>
  <si>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</si>
  <si>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</si>
  <si>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</si>
  <si>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</si>
  <si>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</si>
  <si>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</si>
  <si>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</si>
  <si>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</si>
  <si>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</si>
  <si>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</si>
  <si>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</si>
  <si>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</si>
  <si>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</si>
  <si>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</si>
  <si>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</si>
  <si>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</si>
  <si>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</si>
  <si>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</si>
  <si>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</si>
  <si>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</si>
  <si>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</si>
  <si>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</si>
  <si>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</si>
  <si>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</si>
  <si>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</si>
  <si>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</si>
  <si>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Control manual de malezas</t>
  </si>
  <si>
    <t>octubre - noviembre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</si>
  <si>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</si>
  <si>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</si>
  <si>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</si>
  <si>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</si>
  <si>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</si>
  <si>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</si>
  <si>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</si>
  <si>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</si>
  <si>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</si>
  <si>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</si>
  <si>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</si>
  <si>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(6) 1,5% mensual simple sobre el 50% de los costos directos, tasa de interés promedio de las empresas distribuidoras de insumos.</t>
  </si>
  <si>
    <t>1 hectaréa Septiembre 2016</t>
  </si>
  <si>
    <t>Sistema de conducción: No aplica</t>
  </si>
  <si>
    <t>Tecnología de riego: Goteo</t>
  </si>
  <si>
    <t>Densidad (plantas/hectárea): 500</t>
  </si>
  <si>
    <t>Plantación: agosto</t>
  </si>
  <si>
    <t>Variedad: Hass plano</t>
  </si>
  <si>
    <t>Destino de producción: Venta en predio "por corte"</t>
  </si>
  <si>
    <t>Tecnología: Media</t>
  </si>
  <si>
    <t>Rendimiento (kilos/hectárea):</t>
  </si>
  <si>
    <t>Sacar ramas</t>
  </si>
  <si>
    <t>Fertirrigación</t>
  </si>
  <si>
    <t>Acarreo de cosecha</t>
  </si>
  <si>
    <t>cosecha, cortado, seleccionado y embalado</t>
  </si>
  <si>
    <t>Poda</t>
  </si>
  <si>
    <t>agosto - febrero</t>
  </si>
  <si>
    <t>agosto - mayo</t>
  </si>
  <si>
    <t>enero - diciembre</t>
  </si>
  <si>
    <t>julio - junio</t>
  </si>
  <si>
    <t>planta</t>
  </si>
  <si>
    <t>Aplicación herbicidas</t>
  </si>
  <si>
    <t>Aplicación pesticidas</t>
  </si>
  <si>
    <t>Trituradora</t>
  </si>
  <si>
    <t>marzo - septiembre</t>
  </si>
  <si>
    <t xml:space="preserve">   Ácido Bórico</t>
  </si>
  <si>
    <t xml:space="preserve">   Ácido Fosfórico</t>
  </si>
  <si>
    <t xml:space="preserve">   Nitrato de Calcio</t>
  </si>
  <si>
    <t xml:space="preserve">   Nitrato de Potasio</t>
  </si>
  <si>
    <t xml:space="preserve">   Sulfato de Zinc</t>
  </si>
  <si>
    <t xml:space="preserve">   Urea</t>
  </si>
  <si>
    <t xml:space="preserve">   Glifosato</t>
  </si>
  <si>
    <t xml:space="preserve">   Podexal</t>
  </si>
  <si>
    <t xml:space="preserve">   Ridomil Gold 480 SL</t>
  </si>
  <si>
    <t xml:space="preserve">   Tazer flo</t>
  </si>
  <si>
    <t xml:space="preserve">   Aceite Citroliv</t>
  </si>
  <si>
    <t xml:space="preserve">   Fast Plus</t>
  </si>
  <si>
    <t>Otros:</t>
  </si>
  <si>
    <t xml:space="preserve">   Electricidad</t>
  </si>
  <si>
    <t xml:space="preserve">   Baños químicos</t>
  </si>
  <si>
    <t xml:space="preserve">   Fosfimax 40 - 20</t>
  </si>
  <si>
    <t xml:space="preserve">   Terrasorb</t>
  </si>
  <si>
    <t xml:space="preserve">   Break</t>
  </si>
  <si>
    <t xml:space="preserve">   Colmenas</t>
  </si>
  <si>
    <t>septiembre - mayo</t>
  </si>
  <si>
    <t>julio - marzo</t>
  </si>
  <si>
    <t>agosto - marzo</t>
  </si>
  <si>
    <t>marzo - agosto</t>
  </si>
  <si>
    <t>junio - marzo</t>
  </si>
  <si>
    <t>enero - abril</t>
  </si>
  <si>
    <t>marzo - noviembre</t>
  </si>
  <si>
    <t>marzo - abril</t>
  </si>
  <si>
    <t>enero - octubre</t>
  </si>
  <si>
    <t>colmena</t>
  </si>
  <si>
    <t>Rendimiento (kilos/hectárea)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</si>
  <si>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</si>
  <si>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Costo unitario ($/kilo)</t>
  </si>
  <si>
    <r>
      <t xml:space="preserve">Precio de venta mercado interno ($/kilo): </t>
    </r>
    <r>
      <rPr>
        <b/>
        <vertAlign val="superscript"/>
        <sz val="14"/>
        <rFont val="Arial"/>
        <family val="2"/>
      </rPr>
      <t>(1)</t>
    </r>
  </si>
  <si>
    <r>
      <t xml:space="preserve">Acarreo de cosecha </t>
    </r>
    <r>
      <rPr>
        <vertAlign val="superscript"/>
        <sz val="14"/>
        <rFont val="Arial"/>
        <family val="2"/>
      </rPr>
      <t>(2)</t>
    </r>
  </si>
  <si>
    <t xml:space="preserve">(1) El precio del kilo de palto corresponde al promedio estimado de la región a nivel predial, estimado durante la coseha para la temporada  2015/2016. </t>
  </si>
  <si>
    <t>(2) La cosecha se mide por kilo cosechado.</t>
  </si>
  <si>
    <r>
      <t xml:space="preserve">   Análisis foliar </t>
    </r>
    <r>
      <rPr>
        <vertAlign val="superscript"/>
        <sz val="14"/>
        <rFont val="Arial"/>
        <family val="2"/>
      </rPr>
      <t>(5)</t>
    </r>
  </si>
  <si>
    <t>(5)La dosis de fertilización promedio podría variar de acuerdo a los resultados del análisis de suelo.</t>
  </si>
  <si>
    <t>Palto</t>
  </si>
  <si>
    <t>Región: Valparaíso</t>
  </si>
  <si>
    <t>Fecha cosecha: julio - junio</t>
  </si>
  <si>
    <t>Precio ($/kilo)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</si>
</sst>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3" xfId="56" applyNumberFormat="1" applyFont="1" applyFill="1" applyBorder="1" applyAlignment="1" applyProtection="1">
      <alignment horizontal="center" vertical="center" wrapText="1"/>
      <protection/>
    </xf>
    <xf numFmtId="0" fontId="62" fillId="23" borderId="23" xfId="56" applyFont="1" applyFill="1" applyBorder="1" applyAlignment="1" applyProtection="1">
      <alignment horizontal="center" vertical="center" wrapText="1"/>
      <protection/>
    </xf>
    <xf numFmtId="3" fontId="62" fillId="23" borderId="23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3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3" xfId="56" applyFont="1" applyFill="1" applyBorder="1" applyAlignment="1" applyProtection="1">
      <alignment vertical="center"/>
      <protection/>
    </xf>
    <xf numFmtId="0" fontId="62" fillId="23" borderId="23" xfId="56" applyFont="1" applyFill="1" applyBorder="1" applyAlignment="1" applyProtection="1">
      <alignment horizontal="right" vertical="center"/>
      <protection/>
    </xf>
    <xf numFmtId="0" fontId="62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3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8" fillId="34" borderId="17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3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57150</xdr:rowOff>
    </xdr:from>
    <xdr:to>
      <xdr:col>2</xdr:col>
      <xdr:colOff>866775</xdr:colOff>
      <xdr:row>11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2</xdr:col>
      <xdr:colOff>628650</xdr:colOff>
      <xdr:row>109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50983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2"/>
  <sheetViews>
    <sheetView showGridLines="0" tabSelected="1" view="pageBreakPreview" zoomScale="70" zoomScaleNormal="70" zoomScaleSheetLayoutView="70" zoomScalePageLayoutView="80" workbookViewId="0" topLeftCell="A79">
      <selection activeCell="J18" sqref="J18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2"/>
      <c r="C2" s="142"/>
      <c r="D2" s="301" t="s">
        <v>33</v>
      </c>
      <c r="E2" s="301"/>
      <c r="F2" s="301"/>
      <c r="G2" s="301"/>
      <c r="H2" s="301"/>
      <c r="I2" s="301"/>
      <c r="J2" s="301"/>
    </row>
    <row r="3" spans="2:11" s="3" customFormat="1" ht="18" customHeight="1">
      <c r="B3" s="94"/>
      <c r="C3" s="117"/>
      <c r="D3" s="302" t="s">
        <v>130</v>
      </c>
      <c r="E3" s="302"/>
      <c r="F3" s="302"/>
      <c r="G3" s="302"/>
      <c r="H3" s="302"/>
      <c r="I3" s="302"/>
      <c r="J3" s="302"/>
      <c r="K3" s="14"/>
    </row>
    <row r="4" spans="2:11" s="3" customFormat="1" ht="18" customHeight="1">
      <c r="B4" s="94"/>
      <c r="C4" s="117"/>
      <c r="D4" s="302" t="s">
        <v>131</v>
      </c>
      <c r="E4" s="302"/>
      <c r="F4" s="302"/>
      <c r="G4" s="302"/>
      <c r="H4" s="302"/>
      <c r="I4" s="302"/>
      <c r="J4" s="302"/>
      <c r="K4" s="14"/>
    </row>
    <row r="5" spans="2:11" s="3" customFormat="1" ht="18" customHeight="1">
      <c r="B5" s="42"/>
      <c r="C5" s="42"/>
      <c r="D5" s="118"/>
      <c r="E5" s="44"/>
      <c r="F5" s="137"/>
      <c r="G5" s="137"/>
      <c r="H5" s="137"/>
      <c r="I5" s="137"/>
      <c r="J5" s="137"/>
      <c r="K5" s="16"/>
    </row>
    <row r="6" spans="2:11" s="3" customFormat="1" ht="18" customHeight="1">
      <c r="B6" s="42"/>
      <c r="C6" s="42"/>
      <c r="D6" s="310" t="s">
        <v>29</v>
      </c>
      <c r="E6" s="311"/>
      <c r="F6" s="311"/>
      <c r="G6" s="311"/>
      <c r="H6" s="311"/>
      <c r="I6" s="311"/>
      <c r="J6" s="312"/>
      <c r="K6" s="16"/>
    </row>
    <row r="7" spans="2:11" s="3" customFormat="1" ht="18" customHeight="1">
      <c r="B7" s="42"/>
      <c r="C7" s="42"/>
      <c r="D7" s="85" t="s">
        <v>69</v>
      </c>
      <c r="E7" s="86"/>
      <c r="F7" s="86"/>
      <c r="G7" s="87" t="s">
        <v>74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70</v>
      </c>
      <c r="E8" s="92"/>
      <c r="F8" s="92"/>
      <c r="G8" s="93" t="s">
        <v>75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71</v>
      </c>
      <c r="E9" s="92"/>
      <c r="F9" s="92"/>
      <c r="G9" s="93" t="s">
        <v>76</v>
      </c>
      <c r="H9" s="94"/>
      <c r="I9" s="95"/>
      <c r="J9" s="96"/>
      <c r="K9" s="16"/>
    </row>
    <row r="10" spans="2:11" s="3" customFormat="1" ht="18" customHeight="1">
      <c r="B10" s="42"/>
      <c r="C10" s="42"/>
      <c r="D10" s="91" t="s">
        <v>72</v>
      </c>
      <c r="E10" s="169"/>
      <c r="F10" s="92"/>
      <c r="G10" s="93" t="s">
        <v>132</v>
      </c>
      <c r="H10" s="94"/>
      <c r="I10" s="95"/>
      <c r="J10" s="96"/>
      <c r="K10" s="18"/>
    </row>
    <row r="11" spans="2:11" s="3" customFormat="1" ht="18" customHeight="1">
      <c r="B11" s="42"/>
      <c r="C11" s="42"/>
      <c r="D11" s="97" t="s">
        <v>73</v>
      </c>
      <c r="E11" s="98"/>
      <c r="F11" s="98"/>
      <c r="G11" s="99"/>
      <c r="H11" s="100"/>
      <c r="I11" s="101"/>
      <c r="J11" s="102"/>
      <c r="K11" s="18"/>
    </row>
    <row r="12" spans="2:11" s="3" customFormat="1" ht="18" customHeight="1">
      <c r="B12" s="42"/>
      <c r="C12" s="42"/>
      <c r="D12" s="26"/>
      <c r="E12" s="92"/>
      <c r="F12" s="92"/>
      <c r="G12" s="26"/>
      <c r="H12" s="94"/>
      <c r="I12" s="95"/>
      <c r="J12" s="126"/>
      <c r="K12" s="18"/>
    </row>
    <row r="13" spans="2:11" ht="18">
      <c r="B13" s="303" t="s">
        <v>30</v>
      </c>
      <c r="C13" s="304"/>
      <c r="D13" s="304"/>
      <c r="E13" s="305"/>
      <c r="F13" s="41"/>
      <c r="G13" s="306" t="s">
        <v>4</v>
      </c>
      <c r="H13" s="307"/>
      <c r="I13" s="307"/>
      <c r="J13" s="308"/>
      <c r="K13" s="16"/>
    </row>
    <row r="14" spans="2:11" ht="18">
      <c r="B14" s="107" t="s">
        <v>77</v>
      </c>
      <c r="C14" s="108"/>
      <c r="D14" s="86"/>
      <c r="E14" s="109">
        <v>10000</v>
      </c>
      <c r="F14" s="42"/>
      <c r="G14" s="113" t="s">
        <v>49</v>
      </c>
      <c r="H14" s="86"/>
      <c r="I14" s="86"/>
      <c r="J14" s="143">
        <f>E14*E15</f>
        <v>8000000</v>
      </c>
      <c r="K14" s="16"/>
    </row>
    <row r="15" spans="2:13" ht="18" customHeight="1">
      <c r="B15" s="208" t="s">
        <v>124</v>
      </c>
      <c r="C15" s="209"/>
      <c r="D15" s="209"/>
      <c r="E15" s="146">
        <v>800</v>
      </c>
      <c r="F15" s="42"/>
      <c r="G15" s="114" t="s">
        <v>46</v>
      </c>
      <c r="H15" s="42"/>
      <c r="I15" s="42"/>
      <c r="J15" s="144">
        <f>J30+J37+J64+J67</f>
        <v>4481359.05</v>
      </c>
      <c r="K15" s="16"/>
      <c r="M15" s="194"/>
    </row>
    <row r="16" spans="2:11" ht="18">
      <c r="B16" s="134" t="s">
        <v>34</v>
      </c>
      <c r="C16" s="43"/>
      <c r="D16" s="42"/>
      <c r="E16" s="146">
        <v>16000</v>
      </c>
      <c r="F16" s="42"/>
      <c r="G16" s="114" t="s">
        <v>48</v>
      </c>
      <c r="H16" s="44"/>
      <c r="I16" s="42"/>
      <c r="J16" s="144">
        <f>J30+J37+J64+J67+J77</f>
        <v>4884681.3645</v>
      </c>
      <c r="K16" s="16"/>
    </row>
    <row r="17" spans="2:11" ht="18">
      <c r="B17" s="134" t="s">
        <v>2</v>
      </c>
      <c r="C17" s="45"/>
      <c r="D17" s="42"/>
      <c r="E17" s="110">
        <v>0.015</v>
      </c>
      <c r="F17" s="42"/>
      <c r="G17" s="114" t="s">
        <v>50</v>
      </c>
      <c r="H17" s="42"/>
      <c r="I17" s="42"/>
      <c r="J17" s="144">
        <f>J14-J15</f>
        <v>3518640.95</v>
      </c>
      <c r="K17" s="16"/>
    </row>
    <row r="18" spans="2:11" ht="18">
      <c r="B18" s="134" t="s">
        <v>3</v>
      </c>
      <c r="C18" s="45"/>
      <c r="D18" s="42"/>
      <c r="E18" s="271">
        <v>12</v>
      </c>
      <c r="F18" s="42"/>
      <c r="G18" s="114" t="s">
        <v>51</v>
      </c>
      <c r="H18" s="42"/>
      <c r="I18" s="42"/>
      <c r="J18" s="144">
        <f>J14-J16</f>
        <v>3115318.6355</v>
      </c>
      <c r="K18" s="16"/>
    </row>
    <row r="19" spans="2:11" ht="18">
      <c r="B19" s="111"/>
      <c r="C19" s="112"/>
      <c r="D19" s="103"/>
      <c r="E19" s="270"/>
      <c r="F19" s="42"/>
      <c r="G19" s="115" t="s">
        <v>26</v>
      </c>
      <c r="H19" s="103"/>
      <c r="I19" s="116"/>
      <c r="J19" s="145">
        <f>G96</f>
        <v>488.46813645000003</v>
      </c>
      <c r="K19" s="16"/>
    </row>
    <row r="20" spans="2:11" s="3" customFormat="1" ht="18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0.25">
      <c r="B21" s="120" t="s">
        <v>27</v>
      </c>
      <c r="C21" s="119"/>
      <c r="D21" s="119"/>
      <c r="E21" s="309"/>
      <c r="F21" s="309"/>
      <c r="G21" s="121"/>
      <c r="H21" s="122"/>
      <c r="I21" s="132"/>
      <c r="J21" s="123"/>
      <c r="K21" s="16"/>
    </row>
    <row r="22" spans="2:11" s="3" customFormat="1" ht="18" customHeight="1">
      <c r="B22" s="221" t="s">
        <v>7</v>
      </c>
      <c r="C22" s="222"/>
      <c r="D22" s="222"/>
      <c r="E22" s="253" t="s">
        <v>35</v>
      </c>
      <c r="F22" s="252"/>
      <c r="G22" s="147" t="s">
        <v>5</v>
      </c>
      <c r="H22" s="148" t="s">
        <v>6</v>
      </c>
      <c r="I22" s="149" t="s">
        <v>43</v>
      </c>
      <c r="J22" s="150" t="s">
        <v>1</v>
      </c>
      <c r="K22" s="16"/>
    </row>
    <row r="23" spans="2:10" s="3" customFormat="1" ht="18">
      <c r="B23" s="188" t="s">
        <v>78</v>
      </c>
      <c r="C23" s="189"/>
      <c r="D23" s="190"/>
      <c r="E23" s="215" t="s">
        <v>83</v>
      </c>
      <c r="F23" s="213"/>
      <c r="G23" s="158">
        <v>8</v>
      </c>
      <c r="H23" s="152" t="s">
        <v>37</v>
      </c>
      <c r="I23" s="131">
        <v>16000</v>
      </c>
      <c r="J23" s="182">
        <f aca="true" t="shared" si="0" ref="J23:J29">G23*I23</f>
        <v>128000</v>
      </c>
    </row>
    <row r="24" spans="2:10" s="3" customFormat="1" ht="18">
      <c r="B24" s="163" t="s">
        <v>79</v>
      </c>
      <c r="C24" s="211"/>
      <c r="D24" s="212"/>
      <c r="E24" s="216" t="s">
        <v>84</v>
      </c>
      <c r="F24" s="214"/>
      <c r="G24" s="159">
        <v>25</v>
      </c>
      <c r="H24" s="154" t="s">
        <v>37</v>
      </c>
      <c r="I24" s="127">
        <v>16000</v>
      </c>
      <c r="J24" s="10">
        <f t="shared" si="0"/>
        <v>400000</v>
      </c>
    </row>
    <row r="25" spans="2:10" s="3" customFormat="1" ht="18">
      <c r="B25" s="183" t="s">
        <v>55</v>
      </c>
      <c r="C25" s="184"/>
      <c r="D25" s="185"/>
      <c r="E25" s="216" t="s">
        <v>84</v>
      </c>
      <c r="F25" s="214"/>
      <c r="G25" s="159">
        <v>6</v>
      </c>
      <c r="H25" s="154" t="s">
        <v>37</v>
      </c>
      <c r="I25" s="127">
        <v>16000</v>
      </c>
      <c r="J25" s="10">
        <f t="shared" si="0"/>
        <v>96000</v>
      </c>
    </row>
    <row r="26" spans="2:10" s="3" customFormat="1" ht="18">
      <c r="B26" s="183" t="s">
        <v>80</v>
      </c>
      <c r="C26" s="184"/>
      <c r="D26" s="185"/>
      <c r="E26" s="216" t="s">
        <v>85</v>
      </c>
      <c r="F26" s="214"/>
      <c r="G26" s="159">
        <v>5</v>
      </c>
      <c r="H26" s="154" t="s">
        <v>37</v>
      </c>
      <c r="I26" s="127">
        <v>16000</v>
      </c>
      <c r="J26" s="10">
        <f t="shared" si="0"/>
        <v>80000</v>
      </c>
    </row>
    <row r="27" spans="2:10" s="3" customFormat="1" ht="18">
      <c r="B27" s="183" t="s">
        <v>81</v>
      </c>
      <c r="C27" s="184"/>
      <c r="D27" s="185"/>
      <c r="E27" s="216" t="s">
        <v>86</v>
      </c>
      <c r="F27" s="214"/>
      <c r="G27" s="159">
        <v>10000</v>
      </c>
      <c r="H27" s="154" t="s">
        <v>40</v>
      </c>
      <c r="I27" s="127">
        <v>100</v>
      </c>
      <c r="J27" s="10">
        <f t="shared" si="0"/>
        <v>1000000</v>
      </c>
    </row>
    <row r="28" spans="2:10" s="3" customFormat="1" ht="21">
      <c r="B28" s="183" t="s">
        <v>125</v>
      </c>
      <c r="C28" s="184"/>
      <c r="D28" s="185"/>
      <c r="E28" s="216" t="s">
        <v>86</v>
      </c>
      <c r="F28" s="214"/>
      <c r="G28" s="159">
        <v>10000</v>
      </c>
      <c r="H28" s="154" t="s">
        <v>40</v>
      </c>
      <c r="I28" s="127">
        <v>10</v>
      </c>
      <c r="J28" s="10">
        <f t="shared" si="0"/>
        <v>100000</v>
      </c>
    </row>
    <row r="29" spans="2:10" s="3" customFormat="1" ht="18">
      <c r="B29" s="183" t="s">
        <v>82</v>
      </c>
      <c r="C29" s="168"/>
      <c r="D29" s="210"/>
      <c r="E29" s="216" t="s">
        <v>83</v>
      </c>
      <c r="F29" s="214"/>
      <c r="G29" s="159">
        <v>500</v>
      </c>
      <c r="H29" s="154" t="s">
        <v>87</v>
      </c>
      <c r="I29" s="127">
        <v>500</v>
      </c>
      <c r="J29" s="10">
        <f t="shared" si="0"/>
        <v>250000</v>
      </c>
    </row>
    <row r="30" spans="2:11" ht="18">
      <c r="B30" s="226" t="s">
        <v>8</v>
      </c>
      <c r="C30" s="227"/>
      <c r="D30" s="227"/>
      <c r="E30" s="227"/>
      <c r="F30" s="227"/>
      <c r="G30" s="227"/>
      <c r="H30" s="227"/>
      <c r="I30" s="227"/>
      <c r="J30" s="104">
        <f>SUM(J23:J29)</f>
        <v>2054000</v>
      </c>
      <c r="K30" s="3"/>
    </row>
    <row r="31" spans="2:10" s="3" customFormat="1" ht="18">
      <c r="B31" s="84"/>
      <c r="C31" s="84"/>
      <c r="D31" s="84"/>
      <c r="E31" s="84"/>
      <c r="F31" s="84"/>
      <c r="G31" s="25"/>
      <c r="H31" s="84"/>
      <c r="I31" s="84"/>
      <c r="J31" s="27"/>
    </row>
    <row r="32" spans="2:11" s="28" customFormat="1" ht="18" customHeight="1">
      <c r="B32" s="221" t="s">
        <v>58</v>
      </c>
      <c r="C32" s="222"/>
      <c r="D32" s="222"/>
      <c r="E32" s="253" t="s">
        <v>35</v>
      </c>
      <c r="F32" s="253"/>
      <c r="G32" s="147" t="s">
        <v>5</v>
      </c>
      <c r="H32" s="148" t="s">
        <v>6</v>
      </c>
      <c r="I32" s="149" t="s">
        <v>43</v>
      </c>
      <c r="J32" s="150" t="s">
        <v>1</v>
      </c>
      <c r="K32" s="3"/>
    </row>
    <row r="33" spans="2:10" s="3" customFormat="1" ht="18">
      <c r="B33" s="187" t="s">
        <v>88</v>
      </c>
      <c r="C33" s="217"/>
      <c r="D33" s="218"/>
      <c r="E33" s="215" t="s">
        <v>91</v>
      </c>
      <c r="F33" s="213"/>
      <c r="G33" s="161">
        <v>2</v>
      </c>
      <c r="H33" s="151" t="s">
        <v>39</v>
      </c>
      <c r="I33" s="135">
        <v>30000</v>
      </c>
      <c r="J33" s="128">
        <f>I33*G33</f>
        <v>60000</v>
      </c>
    </row>
    <row r="34" spans="2:10" s="3" customFormat="1" ht="18">
      <c r="B34" s="183" t="s">
        <v>89</v>
      </c>
      <c r="C34" s="168"/>
      <c r="D34" s="210"/>
      <c r="E34" s="216" t="s">
        <v>85</v>
      </c>
      <c r="F34" s="214"/>
      <c r="G34" s="162">
        <v>5</v>
      </c>
      <c r="H34" s="153" t="s">
        <v>39</v>
      </c>
      <c r="I34" s="136">
        <v>30000</v>
      </c>
      <c r="J34" s="129">
        <f>I34*G34</f>
        <v>150000</v>
      </c>
    </row>
    <row r="35" spans="2:10" s="3" customFormat="1" ht="18">
      <c r="B35" s="183" t="s">
        <v>90</v>
      </c>
      <c r="C35" s="168"/>
      <c r="D35" s="210"/>
      <c r="E35" s="216" t="s">
        <v>86</v>
      </c>
      <c r="F35" s="214"/>
      <c r="G35" s="162">
        <v>2</v>
      </c>
      <c r="H35" s="153" t="s">
        <v>39</v>
      </c>
      <c r="I35" s="136">
        <v>40000</v>
      </c>
      <c r="J35" s="129">
        <f>I35*G35</f>
        <v>80000</v>
      </c>
    </row>
    <row r="36" spans="2:10" s="3" customFormat="1" ht="18">
      <c r="B36" s="183" t="s">
        <v>80</v>
      </c>
      <c r="C36" s="184"/>
      <c r="D36" s="185"/>
      <c r="E36" s="216" t="s">
        <v>86</v>
      </c>
      <c r="F36" s="214"/>
      <c r="G36" s="162">
        <v>12000</v>
      </c>
      <c r="H36" s="153" t="s">
        <v>40</v>
      </c>
      <c r="I36" s="136">
        <v>10</v>
      </c>
      <c r="J36" s="129">
        <f>I36*G36</f>
        <v>120000</v>
      </c>
    </row>
    <row r="37" spans="2:12" ht="15.75" customHeight="1">
      <c r="B37" s="226" t="s">
        <v>10</v>
      </c>
      <c r="C37" s="227"/>
      <c r="D37" s="227"/>
      <c r="E37" s="227"/>
      <c r="F37" s="227"/>
      <c r="G37" s="227"/>
      <c r="H37" s="227"/>
      <c r="I37" s="227"/>
      <c r="J37" s="124">
        <f>SUM(J33:J36)</f>
        <v>410000</v>
      </c>
      <c r="K37" s="3"/>
      <c r="L37" s="16"/>
    </row>
    <row r="38" spans="2:12" s="3" customFormat="1" ht="18">
      <c r="B38" s="84"/>
      <c r="C38" s="84"/>
      <c r="D38" s="84"/>
      <c r="E38" s="84"/>
      <c r="F38" s="84"/>
      <c r="G38" s="25"/>
      <c r="H38" s="84"/>
      <c r="I38" s="84"/>
      <c r="J38" s="27"/>
      <c r="L38" s="19"/>
    </row>
    <row r="39" spans="2:12" s="3" customFormat="1" ht="18" customHeight="1">
      <c r="B39" s="221" t="s">
        <v>60</v>
      </c>
      <c r="C39" s="222"/>
      <c r="D39" s="222"/>
      <c r="E39" s="253" t="s">
        <v>35</v>
      </c>
      <c r="F39" s="253"/>
      <c r="G39" s="147" t="s">
        <v>5</v>
      </c>
      <c r="H39" s="148" t="s">
        <v>6</v>
      </c>
      <c r="I39" s="149" t="s">
        <v>43</v>
      </c>
      <c r="J39" s="150" t="s">
        <v>1</v>
      </c>
      <c r="L39" s="24"/>
    </row>
    <row r="40" spans="2:12" s="3" customFormat="1" ht="18">
      <c r="B40" s="281" t="s">
        <v>24</v>
      </c>
      <c r="C40" s="175"/>
      <c r="D40" s="175"/>
      <c r="E40" s="256"/>
      <c r="F40" s="257"/>
      <c r="G40" s="181"/>
      <c r="H40" s="156"/>
      <c r="I40" s="128"/>
      <c r="J40" s="128"/>
      <c r="L40" s="24"/>
    </row>
    <row r="41" spans="2:12" s="3" customFormat="1" ht="18">
      <c r="B41" s="282" t="s">
        <v>92</v>
      </c>
      <c r="C41" s="174"/>
      <c r="D41" s="174"/>
      <c r="E41" s="258" t="s">
        <v>111</v>
      </c>
      <c r="F41" s="259"/>
      <c r="G41" s="176">
        <v>30</v>
      </c>
      <c r="H41" s="157" t="s">
        <v>40</v>
      </c>
      <c r="I41" s="129">
        <v>623</v>
      </c>
      <c r="J41" s="129">
        <f aca="true" t="shared" si="1" ref="J41:J63">G41*I41</f>
        <v>18690</v>
      </c>
      <c r="L41" s="24"/>
    </row>
    <row r="42" spans="2:12" s="3" customFormat="1" ht="18">
      <c r="B42" s="164" t="s">
        <v>93</v>
      </c>
      <c r="C42" s="170"/>
      <c r="D42" s="170"/>
      <c r="E42" s="258" t="s">
        <v>85</v>
      </c>
      <c r="F42" s="259"/>
      <c r="G42" s="160">
        <v>100</v>
      </c>
      <c r="H42" s="155" t="s">
        <v>40</v>
      </c>
      <c r="I42" s="129">
        <v>786</v>
      </c>
      <c r="J42" s="129">
        <f t="shared" si="1"/>
        <v>78600</v>
      </c>
      <c r="L42" s="24"/>
    </row>
    <row r="43" spans="2:12" s="3" customFormat="1" ht="18">
      <c r="B43" s="164" t="s">
        <v>94</v>
      </c>
      <c r="C43" s="140"/>
      <c r="D43" s="140"/>
      <c r="E43" s="258" t="s">
        <v>112</v>
      </c>
      <c r="F43" s="259"/>
      <c r="G43" s="160">
        <v>150</v>
      </c>
      <c r="H43" s="155" t="s">
        <v>40</v>
      </c>
      <c r="I43" s="129">
        <v>362</v>
      </c>
      <c r="J43" s="129">
        <f t="shared" si="1"/>
        <v>54300</v>
      </c>
      <c r="L43" s="24"/>
    </row>
    <row r="44" spans="2:12" s="3" customFormat="1" ht="18">
      <c r="B44" s="167" t="s">
        <v>95</v>
      </c>
      <c r="C44" s="172"/>
      <c r="D44" s="172"/>
      <c r="E44" s="258" t="s">
        <v>84</v>
      </c>
      <c r="F44" s="259"/>
      <c r="G44" s="160">
        <v>200</v>
      </c>
      <c r="H44" s="155" t="s">
        <v>40</v>
      </c>
      <c r="I44" s="129">
        <v>670</v>
      </c>
      <c r="J44" s="129">
        <f t="shared" si="1"/>
        <v>134000</v>
      </c>
      <c r="L44" s="24"/>
    </row>
    <row r="45" spans="2:12" s="3" customFormat="1" ht="18">
      <c r="B45" s="183" t="s">
        <v>96</v>
      </c>
      <c r="C45" s="26"/>
      <c r="D45" s="166"/>
      <c r="E45" s="258" t="s">
        <v>111</v>
      </c>
      <c r="F45" s="259"/>
      <c r="G45" s="160">
        <v>100</v>
      </c>
      <c r="H45" s="155" t="s">
        <v>40</v>
      </c>
      <c r="I45" s="129">
        <v>485</v>
      </c>
      <c r="J45" s="129">
        <f t="shared" si="1"/>
        <v>48500</v>
      </c>
      <c r="L45" s="24"/>
    </row>
    <row r="46" spans="2:12" s="3" customFormat="1" ht="18">
      <c r="B46" s="282" t="s">
        <v>97</v>
      </c>
      <c r="C46" s="26"/>
      <c r="D46" s="180"/>
      <c r="E46" s="258" t="s">
        <v>113</v>
      </c>
      <c r="F46" s="259"/>
      <c r="G46" s="160">
        <v>250</v>
      </c>
      <c r="H46" s="155" t="s">
        <v>40</v>
      </c>
      <c r="I46" s="129">
        <v>362</v>
      </c>
      <c r="J46" s="129">
        <f t="shared" si="1"/>
        <v>90500</v>
      </c>
      <c r="L46" s="24"/>
    </row>
    <row r="47" spans="2:12" s="3" customFormat="1" ht="18">
      <c r="B47" s="173" t="s">
        <v>53</v>
      </c>
      <c r="C47" s="26"/>
      <c r="D47" s="180"/>
      <c r="E47" s="258"/>
      <c r="F47" s="259"/>
      <c r="G47" s="160"/>
      <c r="H47" s="155"/>
      <c r="I47" s="129"/>
      <c r="J47" s="129"/>
      <c r="L47" s="24"/>
    </row>
    <row r="48" spans="2:12" s="3" customFormat="1" ht="18">
      <c r="B48" s="167" t="s">
        <v>98</v>
      </c>
      <c r="C48" s="172"/>
      <c r="D48" s="172"/>
      <c r="E48" s="258" t="s">
        <v>83</v>
      </c>
      <c r="F48" s="259"/>
      <c r="G48" s="160">
        <v>4</v>
      </c>
      <c r="H48" s="155" t="s">
        <v>41</v>
      </c>
      <c r="I48" s="129">
        <v>6327</v>
      </c>
      <c r="J48" s="129">
        <f t="shared" si="1"/>
        <v>25308</v>
      </c>
      <c r="L48" s="24"/>
    </row>
    <row r="49" spans="2:12" s="3" customFormat="1" ht="18">
      <c r="B49" s="171" t="s">
        <v>54</v>
      </c>
      <c r="C49" s="168"/>
      <c r="D49" s="168"/>
      <c r="E49" s="258"/>
      <c r="F49" s="259"/>
      <c r="G49" s="176"/>
      <c r="H49" s="157"/>
      <c r="I49" s="129"/>
      <c r="J49" s="129"/>
      <c r="L49" s="24"/>
    </row>
    <row r="50" spans="2:12" s="3" customFormat="1" ht="18">
      <c r="B50" s="283" t="s">
        <v>99</v>
      </c>
      <c r="C50" s="166"/>
      <c r="D50" s="177"/>
      <c r="E50" s="258" t="s">
        <v>114</v>
      </c>
      <c r="F50" s="259"/>
      <c r="G50" s="176">
        <v>4</v>
      </c>
      <c r="H50" s="157" t="s">
        <v>41</v>
      </c>
      <c r="I50" s="129">
        <v>2086</v>
      </c>
      <c r="J50" s="129">
        <f t="shared" si="1"/>
        <v>8344</v>
      </c>
      <c r="L50" s="24"/>
    </row>
    <row r="51" spans="2:12" s="3" customFormat="1" ht="18">
      <c r="B51" s="283" t="s">
        <v>100</v>
      </c>
      <c r="C51" s="279"/>
      <c r="D51" s="279"/>
      <c r="E51" s="258" t="s">
        <v>115</v>
      </c>
      <c r="F51" s="259"/>
      <c r="G51" s="176">
        <v>1</v>
      </c>
      <c r="H51" s="157" t="s">
        <v>41</v>
      </c>
      <c r="I51" s="129">
        <v>21829</v>
      </c>
      <c r="J51" s="129">
        <f t="shared" si="1"/>
        <v>21829</v>
      </c>
      <c r="L51" s="24"/>
    </row>
    <row r="52" spans="2:12" s="3" customFormat="1" ht="18">
      <c r="B52" s="283" t="s">
        <v>101</v>
      </c>
      <c r="C52" s="279"/>
      <c r="D52" s="279"/>
      <c r="E52" s="258" t="s">
        <v>85</v>
      </c>
      <c r="F52" s="259"/>
      <c r="G52" s="176">
        <v>5</v>
      </c>
      <c r="H52" s="157" t="s">
        <v>41</v>
      </c>
      <c r="I52" s="129">
        <v>9320</v>
      </c>
      <c r="J52" s="129">
        <f t="shared" si="1"/>
        <v>46600</v>
      </c>
      <c r="L52" s="24"/>
    </row>
    <row r="53" spans="2:12" s="3" customFormat="1" ht="18">
      <c r="B53" s="165" t="s">
        <v>25</v>
      </c>
      <c r="C53" s="279"/>
      <c r="D53" s="279"/>
      <c r="E53" s="258"/>
      <c r="F53" s="259"/>
      <c r="G53" s="176"/>
      <c r="H53" s="157"/>
      <c r="I53" s="129"/>
      <c r="J53" s="129"/>
      <c r="L53" s="24"/>
    </row>
    <row r="54" spans="2:12" s="3" customFormat="1" ht="18">
      <c r="B54" s="283" t="s">
        <v>102</v>
      </c>
      <c r="C54" s="279"/>
      <c r="D54" s="279"/>
      <c r="E54" s="258" t="s">
        <v>116</v>
      </c>
      <c r="F54" s="259"/>
      <c r="G54" s="176">
        <v>20</v>
      </c>
      <c r="H54" s="157" t="s">
        <v>41</v>
      </c>
      <c r="I54" s="129">
        <v>3172</v>
      </c>
      <c r="J54" s="129">
        <f t="shared" si="1"/>
        <v>63440</v>
      </c>
      <c r="L54" s="24"/>
    </row>
    <row r="55" spans="2:12" s="3" customFormat="1" ht="18">
      <c r="B55" s="283" t="s">
        <v>103</v>
      </c>
      <c r="C55" s="279"/>
      <c r="D55" s="279"/>
      <c r="E55" s="258" t="s">
        <v>117</v>
      </c>
      <c r="F55" s="259"/>
      <c r="G55" s="176">
        <v>3</v>
      </c>
      <c r="H55" s="157" t="s">
        <v>41</v>
      </c>
      <c r="I55" s="129">
        <v>26500</v>
      </c>
      <c r="J55" s="129">
        <f t="shared" si="1"/>
        <v>79500</v>
      </c>
      <c r="L55" s="24"/>
    </row>
    <row r="56" spans="2:12" s="3" customFormat="1" ht="18">
      <c r="B56" s="165" t="s">
        <v>104</v>
      </c>
      <c r="C56" s="279"/>
      <c r="D56" s="279"/>
      <c r="E56" s="258"/>
      <c r="F56" s="259"/>
      <c r="G56" s="176"/>
      <c r="H56" s="157"/>
      <c r="I56" s="129"/>
      <c r="J56" s="129"/>
      <c r="L56" s="24"/>
    </row>
    <row r="57" spans="2:12" s="3" customFormat="1" ht="18">
      <c r="B57" s="283" t="s">
        <v>105</v>
      </c>
      <c r="C57" s="279"/>
      <c r="D57" s="279"/>
      <c r="E57" s="258" t="s">
        <v>84</v>
      </c>
      <c r="F57" s="259"/>
      <c r="G57" s="176">
        <v>1</v>
      </c>
      <c r="H57" s="157" t="s">
        <v>39</v>
      </c>
      <c r="I57" s="129">
        <v>250000</v>
      </c>
      <c r="J57" s="129">
        <f t="shared" si="1"/>
        <v>250000</v>
      </c>
      <c r="L57" s="24"/>
    </row>
    <row r="58" spans="2:12" s="3" customFormat="1" ht="18">
      <c r="B58" s="283" t="s">
        <v>106</v>
      </c>
      <c r="C58" s="279"/>
      <c r="D58" s="279"/>
      <c r="E58" s="258" t="s">
        <v>84</v>
      </c>
      <c r="F58" s="259"/>
      <c r="G58" s="176">
        <v>8</v>
      </c>
      <c r="H58" s="157" t="s">
        <v>38</v>
      </c>
      <c r="I58" s="129">
        <v>80000</v>
      </c>
      <c r="J58" s="129">
        <f t="shared" si="1"/>
        <v>640000</v>
      </c>
      <c r="L58" s="24"/>
    </row>
    <row r="59" spans="2:12" s="3" customFormat="1" ht="21">
      <c r="B59" s="283" t="s">
        <v>128</v>
      </c>
      <c r="C59" s="279"/>
      <c r="D59" s="279"/>
      <c r="E59" s="258" t="s">
        <v>118</v>
      </c>
      <c r="F59" s="259"/>
      <c r="G59" s="176">
        <v>1</v>
      </c>
      <c r="H59" s="157" t="s">
        <v>38</v>
      </c>
      <c r="I59" s="129">
        <v>28000</v>
      </c>
      <c r="J59" s="129">
        <f t="shared" si="1"/>
        <v>28000</v>
      </c>
      <c r="L59" s="24"/>
    </row>
    <row r="60" spans="2:12" s="3" customFormat="1" ht="18">
      <c r="B60" s="283" t="s">
        <v>107</v>
      </c>
      <c r="C60" s="279"/>
      <c r="D60" s="279"/>
      <c r="E60" s="258" t="s">
        <v>85</v>
      </c>
      <c r="F60" s="259"/>
      <c r="G60" s="176">
        <v>6</v>
      </c>
      <c r="H60" s="157" t="s">
        <v>41</v>
      </c>
      <c r="I60" s="129">
        <v>8725</v>
      </c>
      <c r="J60" s="129">
        <f t="shared" si="1"/>
        <v>52350</v>
      </c>
      <c r="L60" s="24"/>
    </row>
    <row r="61" spans="2:12" s="3" customFormat="1" ht="18">
      <c r="B61" s="283" t="s">
        <v>108</v>
      </c>
      <c r="C61" s="279"/>
      <c r="D61" s="279"/>
      <c r="E61" s="258" t="s">
        <v>119</v>
      </c>
      <c r="F61" s="259"/>
      <c r="G61" s="176">
        <v>4</v>
      </c>
      <c r="H61" s="157" t="s">
        <v>41</v>
      </c>
      <c r="I61" s="129">
        <v>5500</v>
      </c>
      <c r="J61" s="129">
        <f t="shared" si="1"/>
        <v>22000</v>
      </c>
      <c r="L61" s="24"/>
    </row>
    <row r="62" spans="2:12" s="3" customFormat="1" ht="18">
      <c r="B62" s="283" t="s">
        <v>109</v>
      </c>
      <c r="C62" s="279"/>
      <c r="D62" s="279"/>
      <c r="E62" s="258" t="s">
        <v>85</v>
      </c>
      <c r="F62" s="259"/>
      <c r="G62" s="176">
        <v>4</v>
      </c>
      <c r="H62" s="157" t="s">
        <v>41</v>
      </c>
      <c r="I62" s="129">
        <v>15500</v>
      </c>
      <c r="J62" s="129">
        <f t="shared" si="1"/>
        <v>62000</v>
      </c>
      <c r="L62" s="24"/>
    </row>
    <row r="63" spans="2:12" s="3" customFormat="1" ht="18">
      <c r="B63" s="283" t="s">
        <v>110</v>
      </c>
      <c r="C63" s="279"/>
      <c r="D63" s="279"/>
      <c r="E63" s="258" t="s">
        <v>56</v>
      </c>
      <c r="F63" s="259"/>
      <c r="G63" s="176">
        <v>8</v>
      </c>
      <c r="H63" s="157" t="s">
        <v>120</v>
      </c>
      <c r="I63" s="129">
        <v>10000</v>
      </c>
      <c r="J63" s="129">
        <f t="shared" si="1"/>
        <v>80000</v>
      </c>
      <c r="L63" s="24"/>
    </row>
    <row r="64" spans="2:14" ht="18">
      <c r="B64" s="219" t="s">
        <v>11</v>
      </c>
      <c r="C64" s="220"/>
      <c r="D64" s="220"/>
      <c r="E64" s="220"/>
      <c r="F64" s="220"/>
      <c r="G64" s="220"/>
      <c r="H64" s="220"/>
      <c r="I64" s="220"/>
      <c r="J64" s="125">
        <f>SUM(J40:J63)</f>
        <v>1803961</v>
      </c>
      <c r="K64" s="16"/>
      <c r="M64" s="16"/>
      <c r="N64" s="16"/>
    </row>
    <row r="65" spans="2:14" s="3" customFormat="1" ht="18">
      <c r="B65" s="29"/>
      <c r="C65" s="29"/>
      <c r="D65" s="29"/>
      <c r="E65" s="29"/>
      <c r="F65" s="29"/>
      <c r="G65" s="30"/>
      <c r="H65" s="29"/>
      <c r="I65" s="29"/>
      <c r="J65" s="31"/>
      <c r="K65" s="16"/>
      <c r="M65" s="16"/>
      <c r="N65" s="16"/>
    </row>
    <row r="66" spans="2:16" ht="18" customHeight="1">
      <c r="B66" s="221" t="s">
        <v>44</v>
      </c>
      <c r="C66" s="222"/>
      <c r="D66" s="222"/>
      <c r="E66" s="251"/>
      <c r="F66" s="251"/>
      <c r="G66" s="147" t="s">
        <v>5</v>
      </c>
      <c r="H66" s="148" t="s">
        <v>6</v>
      </c>
      <c r="I66" s="149"/>
      <c r="J66" s="150" t="s">
        <v>1</v>
      </c>
      <c r="K66" s="16"/>
      <c r="M66" s="16"/>
      <c r="N66" s="16"/>
      <c r="O66" s="9"/>
      <c r="P66" s="9"/>
    </row>
    <row r="67" spans="2:14" s="3" customFormat="1" ht="18">
      <c r="B67" s="272" t="s">
        <v>52</v>
      </c>
      <c r="C67" s="273"/>
      <c r="D67" s="274"/>
      <c r="E67" s="275"/>
      <c r="F67" s="276"/>
      <c r="G67" s="280">
        <v>0.05</v>
      </c>
      <c r="H67" s="277" t="s">
        <v>36</v>
      </c>
      <c r="I67" s="278"/>
      <c r="J67" s="278">
        <f>(J30+J37+J64)*G67</f>
        <v>213398.05000000002</v>
      </c>
      <c r="K67" s="16"/>
      <c r="M67" s="16"/>
      <c r="N67" s="16"/>
    </row>
    <row r="68" spans="11:14" s="3" customFormat="1" ht="18">
      <c r="K68" s="16"/>
      <c r="M68" s="16"/>
      <c r="N68" s="16"/>
    </row>
    <row r="69" spans="2:14" s="3" customFormat="1" ht="18">
      <c r="B69" s="223" t="s">
        <v>45</v>
      </c>
      <c r="C69" s="224"/>
      <c r="D69" s="224"/>
      <c r="E69" s="224"/>
      <c r="F69" s="224"/>
      <c r="G69" s="224"/>
      <c r="H69" s="224"/>
      <c r="I69" s="224"/>
      <c r="J69" s="104">
        <f>J30+J37+J64+J67</f>
        <v>4481359.05</v>
      </c>
      <c r="K69" s="16"/>
      <c r="M69" s="16"/>
      <c r="N69" s="16"/>
    </row>
    <row r="70" spans="2:14" s="3" customFormat="1" ht="18">
      <c r="B70" s="133"/>
      <c r="C70" s="133"/>
      <c r="D70" s="133"/>
      <c r="E70" s="133"/>
      <c r="F70" s="133"/>
      <c r="G70" s="32"/>
      <c r="H70" s="133"/>
      <c r="I70" s="133"/>
      <c r="J70" s="27"/>
      <c r="K70" s="16"/>
      <c r="M70" s="16"/>
      <c r="N70" s="16"/>
    </row>
    <row r="71" spans="2:14" s="3" customFormat="1" ht="20.25">
      <c r="B71" s="120" t="s">
        <v>47</v>
      </c>
      <c r="C71" s="119"/>
      <c r="D71" s="119"/>
      <c r="E71" s="20"/>
      <c r="F71" s="20"/>
      <c r="G71" s="21"/>
      <c r="H71" s="22"/>
      <c r="I71" s="23"/>
      <c r="J71" s="23"/>
      <c r="K71" s="16"/>
      <c r="M71" s="16"/>
      <c r="N71" s="16"/>
    </row>
    <row r="72" spans="2:14" s="3" customFormat="1" ht="18" customHeight="1">
      <c r="B72" s="269" t="s">
        <v>31</v>
      </c>
      <c r="C72" s="251"/>
      <c r="D72" s="251"/>
      <c r="E72" s="251"/>
      <c r="F72" s="251"/>
      <c r="G72" s="147" t="s">
        <v>5</v>
      </c>
      <c r="H72" s="148" t="s">
        <v>6</v>
      </c>
      <c r="I72" s="149"/>
      <c r="J72" s="150" t="s">
        <v>1</v>
      </c>
      <c r="K72" s="16"/>
      <c r="M72" s="16"/>
      <c r="N72" s="16"/>
    </row>
    <row r="73" spans="2:15" s="3" customFormat="1" ht="18" customHeight="1">
      <c r="B73" s="225" t="s">
        <v>61</v>
      </c>
      <c r="C73" s="203"/>
      <c r="D73" s="203"/>
      <c r="E73" s="254"/>
      <c r="F73" s="255"/>
      <c r="G73" s="178">
        <f>E17</f>
        <v>0.015</v>
      </c>
      <c r="H73" s="179" t="s">
        <v>36</v>
      </c>
      <c r="I73" s="205"/>
      <c r="J73" s="11">
        <f>J69*E17*E18*0.5</f>
        <v>403322.3145</v>
      </c>
      <c r="K73" s="16"/>
      <c r="L73" s="313"/>
      <c r="M73" s="313"/>
      <c r="N73" s="313"/>
      <c r="O73" s="313"/>
    </row>
    <row r="74" spans="2:18" ht="18" customHeight="1" outlineLevel="1">
      <c r="B74" s="183" t="s">
        <v>65</v>
      </c>
      <c r="C74" s="168"/>
      <c r="D74" s="168"/>
      <c r="E74" s="201"/>
      <c r="F74" s="195"/>
      <c r="G74" s="196"/>
      <c r="H74" s="203"/>
      <c r="I74" s="206"/>
      <c r="J74" s="197"/>
      <c r="L74"/>
      <c r="M74"/>
      <c r="N74"/>
      <c r="O74"/>
      <c r="P74"/>
      <c r="Q74"/>
      <c r="R74"/>
    </row>
    <row r="75" spans="2:18" ht="18" customHeight="1" outlineLevel="1">
      <c r="B75" s="183" t="s">
        <v>66</v>
      </c>
      <c r="C75" s="168"/>
      <c r="D75" s="168"/>
      <c r="E75" s="201"/>
      <c r="F75" s="195"/>
      <c r="G75" s="196"/>
      <c r="H75" s="203"/>
      <c r="I75" s="206"/>
      <c r="J75" s="197"/>
      <c r="L75"/>
      <c r="M75"/>
      <c r="N75"/>
      <c r="O75"/>
      <c r="P75"/>
      <c r="Q75"/>
      <c r="R75"/>
    </row>
    <row r="76" spans="2:18" ht="18" customHeight="1" outlineLevel="1">
      <c r="B76" s="186" t="s">
        <v>67</v>
      </c>
      <c r="C76" s="130"/>
      <c r="D76" s="130"/>
      <c r="E76" s="202"/>
      <c r="F76" s="198"/>
      <c r="G76" s="199"/>
      <c r="H76" s="204"/>
      <c r="I76" s="207"/>
      <c r="J76" s="200"/>
      <c r="L76"/>
      <c r="M76"/>
      <c r="N76"/>
      <c r="O76"/>
      <c r="P76"/>
      <c r="Q76"/>
      <c r="R76"/>
    </row>
    <row r="77" spans="2:14" ht="18">
      <c r="B77" s="226" t="s">
        <v>28</v>
      </c>
      <c r="C77" s="227"/>
      <c r="D77" s="227"/>
      <c r="E77" s="227"/>
      <c r="F77" s="227"/>
      <c r="G77" s="227"/>
      <c r="H77" s="227"/>
      <c r="I77" s="227"/>
      <c r="J77" s="104">
        <f>SUM(J73:J76)</f>
        <v>403322.3145</v>
      </c>
      <c r="K77" s="16"/>
      <c r="M77" s="16"/>
      <c r="N77" s="16"/>
    </row>
    <row r="78" spans="2:12" s="3" customFormat="1" ht="18">
      <c r="B78" s="84"/>
      <c r="C78" s="84"/>
      <c r="D78" s="84"/>
      <c r="E78" s="84"/>
      <c r="F78" s="84"/>
      <c r="G78" s="25"/>
      <c r="H78" s="84"/>
      <c r="I78" s="84"/>
      <c r="J78" s="27"/>
      <c r="K78" s="16"/>
      <c r="L78" s="16"/>
    </row>
    <row r="79" spans="2:12" ht="18">
      <c r="B79" s="228" t="s">
        <v>13</v>
      </c>
      <c r="C79" s="229"/>
      <c r="D79" s="229"/>
      <c r="E79" s="229"/>
      <c r="F79" s="229"/>
      <c r="G79" s="229"/>
      <c r="H79" s="229"/>
      <c r="I79" s="229"/>
      <c r="J79" s="232">
        <f>J69+J77</f>
        <v>4884681.3645</v>
      </c>
      <c r="K79" s="16"/>
      <c r="L79" s="16"/>
    </row>
    <row r="80" spans="2:12" s="3" customFormat="1" ht="18">
      <c r="B80" s="230"/>
      <c r="C80" s="231"/>
      <c r="D80" s="231"/>
      <c r="E80" s="231"/>
      <c r="F80" s="231"/>
      <c r="G80" s="231"/>
      <c r="H80" s="231"/>
      <c r="I80" s="231"/>
      <c r="J80" s="233"/>
      <c r="K80" s="16"/>
      <c r="L80" s="16"/>
    </row>
    <row r="81" spans="2:12" s="3" customFormat="1" ht="18" customHeight="1">
      <c r="B81" s="138"/>
      <c r="C81" s="138"/>
      <c r="D81" s="138"/>
      <c r="E81" s="138"/>
      <c r="F81" s="138"/>
      <c r="G81" s="138"/>
      <c r="H81" s="138"/>
      <c r="I81" s="138"/>
      <c r="J81" s="139"/>
      <c r="K81" s="16"/>
      <c r="L81" s="16"/>
    </row>
    <row r="82" spans="2:12" s="3" customFormat="1" ht="18" customHeight="1">
      <c r="B82" s="138"/>
      <c r="C82" s="138"/>
      <c r="D82" s="138"/>
      <c r="E82" s="138"/>
      <c r="F82" s="138"/>
      <c r="G82" s="138"/>
      <c r="H82" s="138"/>
      <c r="I82" s="138"/>
      <c r="J82" s="139"/>
      <c r="K82" s="16"/>
      <c r="L82" s="16"/>
    </row>
    <row r="83" spans="2:12" s="3" customFormat="1" ht="18" customHeight="1">
      <c r="B83" s="138"/>
      <c r="C83" s="138"/>
      <c r="D83" s="138"/>
      <c r="E83" s="138"/>
      <c r="F83" s="138"/>
      <c r="G83" s="138"/>
      <c r="H83" s="138"/>
      <c r="I83" s="138"/>
      <c r="J83" s="139"/>
      <c r="K83" s="16"/>
      <c r="L83" s="16"/>
    </row>
    <row r="84" spans="2:12" ht="18" customHeight="1">
      <c r="B84" s="324" t="s">
        <v>62</v>
      </c>
      <c r="C84" s="325"/>
      <c r="D84" s="325"/>
      <c r="E84" s="325"/>
      <c r="F84" s="325"/>
      <c r="G84" s="325"/>
      <c r="H84" s="325"/>
      <c r="I84" s="325"/>
      <c r="J84" s="326"/>
      <c r="K84" s="16"/>
      <c r="L84" s="24"/>
    </row>
    <row r="85" spans="2:12" ht="18" customHeight="1">
      <c r="B85" s="293" t="s">
        <v>42</v>
      </c>
      <c r="C85" s="294"/>
      <c r="D85" s="294"/>
      <c r="E85" s="294"/>
      <c r="F85" s="294"/>
      <c r="G85" s="294"/>
      <c r="H85" s="294"/>
      <c r="I85" s="294"/>
      <c r="J85" s="295"/>
      <c r="K85" s="16"/>
      <c r="L85" s="24"/>
    </row>
    <row r="86" spans="2:12" s="3" customFormat="1" ht="18" customHeight="1">
      <c r="B86" s="265" t="s">
        <v>121</v>
      </c>
      <c r="C86" s="260"/>
      <c r="D86" s="261"/>
      <c r="E86" s="298" t="s">
        <v>133</v>
      </c>
      <c r="F86" s="299"/>
      <c r="G86" s="299"/>
      <c r="H86" s="299"/>
      <c r="I86" s="299"/>
      <c r="J86" s="300"/>
      <c r="K86" s="16"/>
      <c r="L86" s="24"/>
    </row>
    <row r="87" spans="2:12" s="3" customFormat="1" ht="18" customHeight="1">
      <c r="B87" s="262"/>
      <c r="C87" s="263"/>
      <c r="D87" s="264"/>
      <c r="E87" s="327">
        <f>G87*0.9</f>
        <v>720</v>
      </c>
      <c r="F87" s="328"/>
      <c r="G87" s="329">
        <f>E15</f>
        <v>800</v>
      </c>
      <c r="H87" s="330"/>
      <c r="I87" s="327">
        <f>G87*1.1</f>
        <v>880.0000000000001</v>
      </c>
      <c r="J87" s="328"/>
      <c r="K87" s="16"/>
      <c r="L87" s="24"/>
    </row>
    <row r="88" spans="2:12" s="3" customFormat="1" ht="18" customHeight="1">
      <c r="B88" s="234"/>
      <c r="C88" s="236">
        <f>+C89*0.9</f>
        <v>9000</v>
      </c>
      <c r="D88" s="235"/>
      <c r="E88" s="296">
        <f>E$87*$C$88-$J$79</f>
        <v>1595318.6354999999</v>
      </c>
      <c r="F88" s="297"/>
      <c r="G88" s="296">
        <f>G$87*$C$88-$J$79</f>
        <v>2315318.6355</v>
      </c>
      <c r="H88" s="297"/>
      <c r="I88" s="296">
        <f>I$87*$C$88-$J$79</f>
        <v>3035318.635500001</v>
      </c>
      <c r="J88" s="297"/>
      <c r="K88" s="16"/>
      <c r="L88" s="24"/>
    </row>
    <row r="89" spans="2:12" s="3" customFormat="1" ht="18" customHeight="1">
      <c r="B89" s="234"/>
      <c r="C89" s="236">
        <f>+E14</f>
        <v>10000</v>
      </c>
      <c r="D89" s="235"/>
      <c r="E89" s="296">
        <f>E$87*$C$89-$J$79</f>
        <v>2315318.6355</v>
      </c>
      <c r="F89" s="297"/>
      <c r="G89" s="296">
        <f>G$87*$C$89-$J$79</f>
        <v>3115318.6355</v>
      </c>
      <c r="H89" s="297"/>
      <c r="I89" s="296">
        <f>I$87*$C$89-$J$79</f>
        <v>3915318.6355000017</v>
      </c>
      <c r="J89" s="297"/>
      <c r="K89" s="16"/>
      <c r="L89" s="24"/>
    </row>
    <row r="90" spans="2:12" s="3" customFormat="1" ht="18" customHeight="1">
      <c r="B90" s="234"/>
      <c r="C90" s="236">
        <f>+C89*1.1</f>
        <v>11000</v>
      </c>
      <c r="D90" s="235"/>
      <c r="E90" s="296">
        <f>E$87*$C$90-$J$79</f>
        <v>3035318.6355</v>
      </c>
      <c r="F90" s="297"/>
      <c r="G90" s="296">
        <f>G$87*$C$90-$J$79</f>
        <v>3915318.6355</v>
      </c>
      <c r="H90" s="297"/>
      <c r="I90" s="296">
        <f>I$87*$C$90-$J$79</f>
        <v>4795318.635500002</v>
      </c>
      <c r="J90" s="297"/>
      <c r="K90" s="16"/>
      <c r="L90" s="24"/>
    </row>
    <row r="91" spans="2:12" s="3" customFormat="1" ht="18" customHeight="1">
      <c r="B91" s="34"/>
      <c r="C91" s="34"/>
      <c r="D91" s="35"/>
      <c r="E91" s="35"/>
      <c r="F91" s="35"/>
      <c r="G91" s="36"/>
      <c r="H91" s="12"/>
      <c r="I91" s="15"/>
      <c r="J91" s="15"/>
      <c r="K91" s="16"/>
      <c r="L91" s="24"/>
    </row>
    <row r="92" spans="2:12" s="3" customFormat="1" ht="18" customHeight="1">
      <c r="B92" s="290" t="s">
        <v>122</v>
      </c>
      <c r="C92" s="291"/>
      <c r="D92" s="291"/>
      <c r="E92" s="291"/>
      <c r="F92" s="291"/>
      <c r="G92" s="291"/>
      <c r="H92" s="291"/>
      <c r="I92" s="291"/>
      <c r="J92" s="292"/>
      <c r="K92" s="16"/>
      <c r="L92" s="24"/>
    </row>
    <row r="93" spans="2:12" s="3" customFormat="1" ht="18" customHeight="1">
      <c r="B93" s="266"/>
      <c r="C93" s="267"/>
      <c r="D93" s="267"/>
      <c r="E93" s="267"/>
      <c r="F93" s="267"/>
      <c r="G93" s="267"/>
      <c r="H93" s="267"/>
      <c r="I93" s="267"/>
      <c r="J93" s="268"/>
      <c r="K93" s="16"/>
      <c r="L93" s="24"/>
    </row>
    <row r="94" spans="2:12" s="3" customFormat="1" ht="18" customHeight="1">
      <c r="B94" s="237" t="s">
        <v>121</v>
      </c>
      <c r="C94" s="238"/>
      <c r="D94" s="238"/>
      <c r="E94" s="192">
        <f>C88</f>
        <v>9000</v>
      </c>
      <c r="F94" s="238"/>
      <c r="G94" s="192">
        <f>E14</f>
        <v>10000</v>
      </c>
      <c r="H94" s="238"/>
      <c r="I94" s="192">
        <f>C90</f>
        <v>11000</v>
      </c>
      <c r="J94" s="245"/>
      <c r="K94" s="16"/>
      <c r="L94" s="24"/>
    </row>
    <row r="95" spans="2:12" ht="18" customHeight="1">
      <c r="B95" s="239"/>
      <c r="C95" s="240"/>
      <c r="D95" s="240"/>
      <c r="E95" s="193"/>
      <c r="F95" s="240"/>
      <c r="G95" s="193"/>
      <c r="H95" s="240"/>
      <c r="I95" s="193"/>
      <c r="J95" s="246"/>
      <c r="K95" s="16"/>
      <c r="L95" s="24"/>
    </row>
    <row r="96" spans="2:12" ht="18" customHeight="1">
      <c r="B96" s="241" t="s">
        <v>123</v>
      </c>
      <c r="C96" s="242"/>
      <c r="D96" s="242"/>
      <c r="E96" s="191">
        <f>$J$79/E94</f>
        <v>542.7423738333333</v>
      </c>
      <c r="F96" s="247"/>
      <c r="G96" s="191">
        <f>$J$79/G94</f>
        <v>488.46813645000003</v>
      </c>
      <c r="H96" s="247"/>
      <c r="I96" s="191">
        <f>$J$79/I94</f>
        <v>444.06194222727277</v>
      </c>
      <c r="J96" s="249"/>
      <c r="K96" s="16"/>
      <c r="L96" s="24"/>
    </row>
    <row r="97" spans="2:12" ht="18" customHeight="1">
      <c r="B97" s="243"/>
      <c r="C97" s="244"/>
      <c r="D97" s="244"/>
      <c r="E97" s="248"/>
      <c r="F97" s="248"/>
      <c r="G97" s="248"/>
      <c r="H97" s="248"/>
      <c r="I97" s="248"/>
      <c r="J97" s="250"/>
      <c r="K97" s="16"/>
      <c r="L97" s="24"/>
    </row>
    <row r="98" spans="2:12" ht="18" customHeight="1">
      <c r="B98" s="46"/>
      <c r="C98" s="1"/>
      <c r="D98" s="3"/>
      <c r="E98" s="3"/>
      <c r="F98" s="105"/>
      <c r="G98" s="105"/>
      <c r="H98" s="105"/>
      <c r="I98" s="15"/>
      <c r="J98" s="15"/>
      <c r="K98" s="16"/>
      <c r="L98" s="24"/>
    </row>
    <row r="99" spans="2:11" s="3" customFormat="1" ht="18" customHeight="1">
      <c r="B99" s="314" t="s">
        <v>15</v>
      </c>
      <c r="C99" s="315"/>
      <c r="D99" s="315"/>
      <c r="E99" s="315"/>
      <c r="F99" s="315"/>
      <c r="G99" s="315"/>
      <c r="H99" s="315"/>
      <c r="I99" s="315"/>
      <c r="J99" s="316"/>
      <c r="K99" s="80"/>
    </row>
    <row r="100" spans="2:14" s="3" customFormat="1" ht="18">
      <c r="B100" s="287" t="s">
        <v>126</v>
      </c>
      <c r="C100" s="288"/>
      <c r="D100" s="288"/>
      <c r="E100" s="288"/>
      <c r="F100" s="288"/>
      <c r="G100" s="288"/>
      <c r="H100" s="288"/>
      <c r="I100" s="288"/>
      <c r="J100" s="289"/>
      <c r="K100" s="80"/>
      <c r="N100" s="106"/>
    </row>
    <row r="101" spans="2:11" s="3" customFormat="1" ht="15.75" customHeight="1">
      <c r="B101" s="287" t="s">
        <v>127</v>
      </c>
      <c r="C101" s="288"/>
      <c r="D101" s="288"/>
      <c r="E101" s="288"/>
      <c r="F101" s="288"/>
      <c r="G101" s="288"/>
      <c r="H101" s="288"/>
      <c r="I101" s="288"/>
      <c r="J101" s="289"/>
      <c r="K101" s="81"/>
    </row>
    <row r="102" spans="2:11" s="3" customFormat="1" ht="15.75" customHeight="1">
      <c r="B102" s="287" t="s">
        <v>59</v>
      </c>
      <c r="C102" s="288"/>
      <c r="D102" s="288"/>
      <c r="E102" s="288"/>
      <c r="F102" s="288"/>
      <c r="G102" s="288"/>
      <c r="H102" s="288"/>
      <c r="I102" s="288"/>
      <c r="J102" s="289"/>
      <c r="K102" s="81"/>
    </row>
    <row r="103" spans="2:11" s="3" customFormat="1" ht="30.75" customHeight="1">
      <c r="B103" s="318" t="s">
        <v>63</v>
      </c>
      <c r="C103" s="319"/>
      <c r="D103" s="319"/>
      <c r="E103" s="319"/>
      <c r="F103" s="319"/>
      <c r="G103" s="319"/>
      <c r="H103" s="319"/>
      <c r="I103" s="319"/>
      <c r="J103" s="320"/>
      <c r="K103" s="80"/>
    </row>
    <row r="104" spans="2:11" s="3" customFormat="1" ht="18">
      <c r="B104" s="287" t="s">
        <v>129</v>
      </c>
      <c r="C104" s="288"/>
      <c r="D104" s="288"/>
      <c r="E104" s="288"/>
      <c r="F104" s="288"/>
      <c r="G104" s="288"/>
      <c r="H104" s="288"/>
      <c r="I104" s="288"/>
      <c r="J104" s="289"/>
      <c r="K104" s="80"/>
    </row>
    <row r="105" spans="2:11" s="3" customFormat="1" ht="18" customHeight="1">
      <c r="B105" s="287" t="s">
        <v>68</v>
      </c>
      <c r="C105" s="288"/>
      <c r="D105" s="288"/>
      <c r="E105" s="288"/>
      <c r="F105" s="288"/>
      <c r="G105" s="288"/>
      <c r="H105" s="288"/>
      <c r="I105" s="288"/>
      <c r="J105" s="289"/>
      <c r="K105" s="80"/>
    </row>
    <row r="106" spans="2:11" s="3" customFormat="1" ht="18">
      <c r="B106" s="321" t="s">
        <v>64</v>
      </c>
      <c r="C106" s="322"/>
      <c r="D106" s="322"/>
      <c r="E106" s="322"/>
      <c r="F106" s="322"/>
      <c r="G106" s="322"/>
      <c r="H106" s="322"/>
      <c r="I106" s="322"/>
      <c r="J106" s="323"/>
      <c r="K106" s="80"/>
    </row>
    <row r="107" spans="2:11" s="3" customFormat="1" ht="18.75" customHeight="1">
      <c r="B107" s="284" t="s">
        <v>57</v>
      </c>
      <c r="C107" s="285"/>
      <c r="D107" s="285"/>
      <c r="E107" s="285"/>
      <c r="F107" s="285"/>
      <c r="G107" s="285"/>
      <c r="H107" s="285"/>
      <c r="I107" s="285"/>
      <c r="J107" s="286"/>
      <c r="K107" s="80"/>
    </row>
    <row r="108" spans="2:11" s="3" customFormat="1" ht="18" customHeight="1">
      <c r="B108" s="141"/>
      <c r="C108" s="141"/>
      <c r="D108" s="141"/>
      <c r="E108" s="141"/>
      <c r="F108" s="141"/>
      <c r="G108" s="141"/>
      <c r="H108" s="141"/>
      <c r="I108" s="141"/>
      <c r="J108" s="141"/>
      <c r="K108" s="81"/>
    </row>
    <row r="109" spans="2:11" s="3" customFormat="1" ht="18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3"/>
    </row>
    <row r="110" spans="2:11" s="3" customFormat="1" ht="16.5" customHeight="1">
      <c r="B110" s="39"/>
      <c r="C110" s="39"/>
      <c r="D110" s="39"/>
      <c r="E110" s="39"/>
      <c r="F110" s="39"/>
      <c r="G110" s="40"/>
      <c r="H110" s="39"/>
      <c r="I110" s="39"/>
      <c r="J110" s="39"/>
      <c r="K110" s="9"/>
    </row>
    <row r="111" spans="2:11" s="3" customFormat="1" ht="15">
      <c r="B111" s="4"/>
      <c r="C111" s="4"/>
      <c r="D111" s="4"/>
      <c r="E111" s="4"/>
      <c r="F111" s="4"/>
      <c r="G111" s="5"/>
      <c r="H111" s="4"/>
      <c r="I111" s="4"/>
      <c r="J111" s="4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9"/>
    </row>
    <row r="115" spans="2:12" s="3" customFormat="1" ht="1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s="3" customFormat="1" ht="1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s="3" customFormat="1" ht="15">
      <c r="B118" s="67"/>
      <c r="C118" s="67"/>
      <c r="D118" s="67"/>
      <c r="E118" s="67"/>
      <c r="F118" s="67"/>
      <c r="G118" s="68"/>
      <c r="H118" s="67"/>
      <c r="I118" s="67"/>
      <c r="J118" s="67"/>
      <c r="K118" s="69"/>
      <c r="L118" s="67"/>
    </row>
    <row r="119" spans="2:12" ht="18">
      <c r="B119" s="56"/>
      <c r="C119" s="56"/>
      <c r="D119" s="57"/>
      <c r="E119" s="57"/>
      <c r="F119" s="58"/>
      <c r="G119" s="58"/>
      <c r="H119" s="58"/>
      <c r="I119" s="67"/>
      <c r="J119" s="67"/>
      <c r="K119" s="69"/>
      <c r="L119" s="67"/>
    </row>
    <row r="120" spans="2:12" ht="18">
      <c r="B120" s="56"/>
      <c r="C120" s="59"/>
      <c r="D120" s="59"/>
      <c r="E120" s="60"/>
      <c r="F120" s="59"/>
      <c r="G120" s="61"/>
      <c r="H120" s="62"/>
      <c r="I120" s="67"/>
      <c r="J120" s="67"/>
      <c r="K120" s="69"/>
      <c r="L120" s="67"/>
    </row>
    <row r="121" spans="2:12" ht="18">
      <c r="B121" s="57"/>
      <c r="C121" s="57"/>
      <c r="D121" s="57"/>
      <c r="E121" s="57"/>
      <c r="F121" s="57"/>
      <c r="G121" s="57"/>
      <c r="H121" s="57"/>
      <c r="I121" s="67"/>
      <c r="J121" s="67"/>
      <c r="K121" s="69"/>
      <c r="L121" s="67"/>
    </row>
    <row r="122" spans="2:12" ht="18">
      <c r="B122" s="56"/>
      <c r="C122" s="57"/>
      <c r="D122" s="57"/>
      <c r="E122" s="57"/>
      <c r="F122" s="57"/>
      <c r="G122" s="57"/>
      <c r="H122" s="57"/>
      <c r="I122" s="67"/>
      <c r="J122" s="67"/>
      <c r="K122" s="69"/>
      <c r="L122" s="67"/>
    </row>
    <row r="123" spans="2:12" ht="18">
      <c r="B123" s="70"/>
      <c r="C123" s="71"/>
      <c r="D123" s="71"/>
      <c r="E123" s="63"/>
      <c r="F123" s="63"/>
      <c r="G123" s="63"/>
      <c r="H123" s="63"/>
      <c r="I123" s="67"/>
      <c r="J123" s="69"/>
      <c r="K123" s="69"/>
      <c r="L123" s="67"/>
    </row>
    <row r="124" spans="2:12" ht="18">
      <c r="B124" s="70"/>
      <c r="C124" s="71"/>
      <c r="D124" s="71"/>
      <c r="E124" s="63"/>
      <c r="F124" s="63"/>
      <c r="G124" s="63"/>
      <c r="H124" s="63"/>
      <c r="I124" s="67"/>
      <c r="J124" s="69"/>
      <c r="K124" s="69"/>
      <c r="L124" s="67"/>
    </row>
    <row r="125" spans="2:12" ht="18">
      <c r="B125" s="64"/>
      <c r="C125" s="65"/>
      <c r="D125" s="65"/>
      <c r="E125" s="64"/>
      <c r="F125" s="64"/>
      <c r="G125" s="64"/>
      <c r="H125" s="66"/>
      <c r="I125" s="67"/>
      <c r="J125" s="67"/>
      <c r="K125" s="69"/>
      <c r="L125" s="67"/>
    </row>
    <row r="126" spans="2:12" ht="18">
      <c r="B126" s="57"/>
      <c r="C126" s="57"/>
      <c r="D126" s="57"/>
      <c r="E126" s="57"/>
      <c r="F126" s="57"/>
      <c r="G126" s="57"/>
      <c r="H126" s="57"/>
      <c r="I126" s="67"/>
      <c r="J126" s="67"/>
      <c r="K126" s="69"/>
      <c r="L126" s="67"/>
    </row>
    <row r="127" spans="2:12" ht="18">
      <c r="B127" s="56"/>
      <c r="C127" s="57"/>
      <c r="D127" s="57"/>
      <c r="E127" s="57"/>
      <c r="F127" s="57"/>
      <c r="G127" s="57"/>
      <c r="H127" s="57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317"/>
      <c r="C130" s="317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72"/>
      <c r="C138" s="73"/>
      <c r="D138" s="74"/>
      <c r="E138" s="75"/>
      <c r="F138" s="74"/>
      <c r="G138" s="76"/>
      <c r="H138" s="76"/>
      <c r="I138" s="67"/>
      <c r="J138" s="67"/>
      <c r="K138" s="69"/>
      <c r="L138" s="67"/>
    </row>
    <row r="139" spans="2:12" ht="18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8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8">
      <c r="B141" s="64"/>
      <c r="C141" s="65"/>
      <c r="D141" s="65"/>
      <c r="E141" s="64"/>
      <c r="F141" s="64"/>
      <c r="G141" s="64"/>
      <c r="H141" s="66"/>
      <c r="I141" s="67"/>
      <c r="J141" s="67"/>
      <c r="K141" s="69"/>
      <c r="L141" s="67"/>
    </row>
    <row r="142" spans="2:12" ht="18">
      <c r="B142" s="57"/>
      <c r="C142" s="57"/>
      <c r="D142" s="57"/>
      <c r="E142" s="57"/>
      <c r="F142" s="57"/>
      <c r="G142" s="57"/>
      <c r="H142" s="57"/>
      <c r="I142" s="67"/>
      <c r="J142" s="67"/>
      <c r="K142" s="69"/>
      <c r="L142" s="67"/>
    </row>
    <row r="143" spans="2:12" ht="18">
      <c r="B143" s="64"/>
      <c r="C143" s="65"/>
      <c r="D143" s="65"/>
      <c r="E143" s="64"/>
      <c r="F143" s="64"/>
      <c r="G143" s="64"/>
      <c r="H143" s="66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77"/>
      <c r="C154" s="77"/>
      <c r="D154" s="77"/>
      <c r="E154" s="77"/>
      <c r="F154" s="7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9"/>
      <c r="D157" s="69"/>
      <c r="E157" s="69"/>
      <c r="F157" s="69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9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9"/>
      <c r="D164" s="69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8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9"/>
      <c r="C177" s="69"/>
      <c r="D177" s="69"/>
      <c r="E177" s="69"/>
      <c r="F177" s="69"/>
      <c r="G177" s="69"/>
      <c r="H177" s="69"/>
      <c r="I177" s="69"/>
      <c r="J177" s="67"/>
      <c r="K177" s="69"/>
      <c r="L177" s="67"/>
    </row>
    <row r="178" spans="2:12" s="3" customFormat="1" ht="15">
      <c r="B178" s="69"/>
      <c r="C178" s="69"/>
      <c r="D178" s="69"/>
      <c r="E178" s="69"/>
      <c r="F178" s="69"/>
      <c r="G178" s="78"/>
      <c r="H178" s="69"/>
      <c r="I178" s="69"/>
      <c r="J178" s="67"/>
      <c r="K178" s="69"/>
      <c r="L178" s="78"/>
    </row>
    <row r="179" spans="2:12" s="3" customFormat="1" ht="15">
      <c r="B179" s="69"/>
      <c r="C179" s="69"/>
      <c r="D179" s="69"/>
      <c r="E179" s="69"/>
      <c r="F179" s="69"/>
      <c r="G179" s="69"/>
      <c r="H179" s="69"/>
      <c r="I179" s="7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</sheetData>
  <sheetProtection/>
  <mergeCells count="34">
    <mergeCell ref="G90:H90"/>
    <mergeCell ref="I88:J88"/>
    <mergeCell ref="I89:J89"/>
    <mergeCell ref="I90:J90"/>
    <mergeCell ref="I87:J87"/>
    <mergeCell ref="G87:H87"/>
    <mergeCell ref="G88:H88"/>
    <mergeCell ref="L73:O73"/>
    <mergeCell ref="B99:J99"/>
    <mergeCell ref="B130:C130"/>
    <mergeCell ref="B100:J100"/>
    <mergeCell ref="B103:J103"/>
    <mergeCell ref="B106:J106"/>
    <mergeCell ref="B84:J84"/>
    <mergeCell ref="B105:J105"/>
    <mergeCell ref="E87:F87"/>
    <mergeCell ref="E88:F88"/>
    <mergeCell ref="D2:J2"/>
    <mergeCell ref="D3:J3"/>
    <mergeCell ref="D4:J4"/>
    <mergeCell ref="B13:E13"/>
    <mergeCell ref="G13:J13"/>
    <mergeCell ref="E21:F21"/>
    <mergeCell ref="D6:J6"/>
    <mergeCell ref="B107:J107"/>
    <mergeCell ref="B102:J102"/>
    <mergeCell ref="B92:J92"/>
    <mergeCell ref="B101:J101"/>
    <mergeCell ref="B104:J104"/>
    <mergeCell ref="B85:J85"/>
    <mergeCell ref="E89:F89"/>
    <mergeCell ref="E90:F90"/>
    <mergeCell ref="E86:J86"/>
    <mergeCell ref="G89:H8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((palta_hass_valparaíso!E14-45000)/45000)+1</f>
        <v>0.2222222222222222</v>
      </c>
    </row>
    <row r="3" ht="18">
      <c r="B3" s="13"/>
    </row>
    <row r="4" spans="2:3" ht="18">
      <c r="B4" s="331" t="s">
        <v>18</v>
      </c>
      <c r="C4" s="331"/>
    </row>
    <row r="5" spans="2:5" ht="18">
      <c r="B5" s="82" t="s">
        <v>32</v>
      </c>
      <c r="C5" s="130"/>
      <c r="D5" s="83"/>
      <c r="E5" s="3">
        <v>45000</v>
      </c>
    </row>
    <row r="6" spans="2:4" ht="15">
      <c r="B6" s="26"/>
      <c r="C6" s="26"/>
      <c r="D6" s="26"/>
    </row>
    <row r="14" spans="2:4" ht="15">
      <c r="B14" s="332" t="s">
        <v>14</v>
      </c>
      <c r="C14" s="332"/>
      <c r="D14" s="332"/>
    </row>
    <row r="16" spans="2:4" ht="18">
      <c r="B16" s="49" t="s">
        <v>16</v>
      </c>
      <c r="C16" s="48">
        <f>palta_hass_valparaíso!B88</f>
        <v>0</v>
      </c>
      <c r="D16" s="48">
        <f>palta_hass_valparaíso!B90</f>
        <v>0</v>
      </c>
    </row>
    <row r="17" ht="15">
      <c r="B17" s="24"/>
    </row>
    <row r="18" spans="2:4" ht="15">
      <c r="B18" s="47" t="s">
        <v>17</v>
      </c>
      <c r="C18" s="50">
        <f>((C16-palta_hass_valparaíso!E14)/palta_hass_valparaíso!E14)+1</f>
        <v>0</v>
      </c>
      <c r="D18" s="50">
        <f>((D16-palta_hass_valparaíso!E14)/palta_hass_valparaíso!E14)+1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SUM(palta_hass_valparaíso!J23:J29)</f>
        <v>2054000</v>
      </c>
      <c r="D21" s="9">
        <f>SUM(palta_hass_valparaíso!J23:J29)</f>
        <v>2054000</v>
      </c>
    </row>
    <row r="22" spans="2:4" ht="18">
      <c r="B22" s="51" t="s">
        <v>20</v>
      </c>
      <c r="C22" s="52" t="e">
        <f>C18*palta_hass_valparaíso!#REF!*palta_hass_valparaíso!#REF!</f>
        <v>#REF!</v>
      </c>
      <c r="D22" s="52" t="e">
        <f>D18*palta_hass_valparaíso!#REF!*palta_hass_valparaíso!#REF!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SUM(palta_hass_valparaíso!J33:J36)</f>
        <v>410000</v>
      </c>
      <c r="D26" s="9">
        <f>SUM(palta_hass_valparaíso!J33:J36)</f>
        <v>410000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410000</v>
      </c>
      <c r="D28" s="9">
        <f>SUM(D26:D27)</f>
        <v>410000</v>
      </c>
    </row>
    <row r="30" ht="18">
      <c r="B30" s="49" t="s">
        <v>22</v>
      </c>
    </row>
    <row r="31" spans="2:4" ht="18">
      <c r="B31" s="17" t="s">
        <v>19</v>
      </c>
      <c r="C31" s="9">
        <f>SUM(palta_hass_valparaíso!J40:J63)</f>
        <v>1803961</v>
      </c>
      <c r="D31" s="9">
        <f>SUM(palta_hass_valparaíso!J40:J63)</f>
        <v>1803961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1803961</v>
      </c>
      <c r="D33" s="9">
        <f>SUM(D31:D32)</f>
        <v>1803961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C35*palta_hass_valparaíso!G67</f>
        <v>#REF!</v>
      </c>
      <c r="D37" s="9" t="e">
        <f>D35*D18*palta_hass_valparaíso!G67</f>
        <v>#REF!</v>
      </c>
    </row>
    <row r="38" spans="2:4" ht="18">
      <c r="B38" s="53" t="s">
        <v>12</v>
      </c>
      <c r="C38" s="9" t="e">
        <f>C35*palta_hass_valparaíso!E17*palta_hass_valparaíso!E18*0.5</f>
        <v>#REF!</v>
      </c>
      <c r="D38" s="9" t="e">
        <f>D35*palta_hass_valparaíso!E17*palta_hass_valparaíso!E18*0.5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2019-08-28T21:35:24Z</cp:lastPrinted>
  <dcterms:created xsi:type="dcterms:W3CDTF">2012-07-09T18:51:50Z</dcterms:created>
  <dcterms:modified xsi:type="dcterms:W3CDTF">2019-08-28T21:35:27Z</dcterms:modified>
  <cp:category/>
  <cp:version/>
  <cp:contentType/>
  <cp:contentStatus/>
</cp:coreProperties>
</file>