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6" activeTab="0"/>
  </bookViews>
  <sheets>
    <sheet name="palta_hass_planoValparaíso-2021" sheetId="1" r:id="rId1"/>
    <sheet name="Hoja1" sheetId="2" state="hidden" r:id="rId2"/>
  </sheets>
  <definedNames>
    <definedName name="_xlnm.Print_Area" localSheetId="0">'palta_hass_planoValparaíso-2021'!$A$1:$K$122</definedName>
  </definedNames>
  <calcPr fullCalcOnLoad="1"/>
</workbook>
</file>

<file path=xl/sharedStrings.xml><?xml version="1.0" encoding="utf-8"?>
<sst xmlns="http://schemas.openxmlformats.org/spreadsheetml/2006/main" count="219" uniqueCount="145">
  <si>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</si>
  <si>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</si>
  <si>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</si>
  <si>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</si>
  <si>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</si>
  <si>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</si>
  <si>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</si>
  <si>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</si>
  <si>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</si>
  <si>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</si>
  <si>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</si>
  <si>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</si>
  <si>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</si>
  <si>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</si>
  <si>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</si>
  <si>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</si>
  <si>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</si>
  <si>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</si>
  <si>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</si>
  <si>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</si>
  <si>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</si>
  <si>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</si>
  <si>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</si>
  <si>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</si>
  <si>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</si>
  <si>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</si>
  <si>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</si>
  <si>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</si>
  <si>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</si>
  <si>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</si>
  <si>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</si>
  <si>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</si>
  <si>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</si>
  <si>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</si>
  <si>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Costo jornada hombre ($/jornada hombre)</t>
  </si>
  <si>
    <t>Periodo</t>
  </si>
  <si>
    <t>porcentaje</t>
  </si>
  <si>
    <t>jornada hombre</t>
  </si>
  <si>
    <t>unidad</t>
  </si>
  <si>
    <t>hectárea</t>
  </si>
  <si>
    <t>kilo</t>
  </si>
  <si>
    <t>litro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</si>
  <si>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</si>
  <si>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</si>
  <si>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</si>
  <si>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</si>
  <si>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</si>
  <si>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</si>
  <si>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</si>
  <si>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</si>
  <si>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</si>
  <si>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</si>
  <si>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</si>
  <si>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</si>
  <si>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Fungicidas:</t>
  </si>
  <si>
    <t>Control manual de malezas</t>
  </si>
  <si>
    <t>octubre - noviembre</t>
  </si>
  <si>
    <t>Costo oportunidad (arriendo)</t>
  </si>
  <si>
    <t xml:space="preserve">Administración </t>
  </si>
  <si>
    <t>Contribuciones</t>
  </si>
  <si>
    <t>Tecnología de riego: Goteo</t>
  </si>
  <si>
    <t>Plantación: agosto</t>
  </si>
  <si>
    <t>Destino de producción: Venta en predio "por corte"</t>
  </si>
  <si>
    <t>Tecnología: Media</t>
  </si>
  <si>
    <t>Rendimiento (kilos/hectárea):</t>
  </si>
  <si>
    <t>Fertirrigación</t>
  </si>
  <si>
    <t>Acarreo de cosecha</t>
  </si>
  <si>
    <t>cosecha, cortado, seleccionado y embalado</t>
  </si>
  <si>
    <t>Poda</t>
  </si>
  <si>
    <t>agosto - mayo</t>
  </si>
  <si>
    <t>enero - diciembre</t>
  </si>
  <si>
    <t>julio - junio</t>
  </si>
  <si>
    <t>planta</t>
  </si>
  <si>
    <t>Aplicación herbicidas</t>
  </si>
  <si>
    <t>Aplicación pesticidas</t>
  </si>
  <si>
    <t>Otros:</t>
  </si>
  <si>
    <t>septiembre - mayo</t>
  </si>
  <si>
    <t>marzo - agosto</t>
  </si>
  <si>
    <t>junio - marzo</t>
  </si>
  <si>
    <t>enero - abril</t>
  </si>
  <si>
    <t>marzo - abril</t>
  </si>
  <si>
    <t>Rendimiento (kilos/hectárea)</t>
  </si>
  <si>
    <t>Costo unitario ($/kilo)</t>
  </si>
  <si>
    <t>Región: Valparaíso</t>
  </si>
  <si>
    <t>Precio ($/kilo)</t>
  </si>
  <si>
    <t>(1) Nombre científico del palto.</t>
  </si>
  <si>
    <t>(3) La cosecha se mide por kilo cosechado.</t>
  </si>
  <si>
    <t>(4) Representa el valor de arriendo en la región.</t>
  </si>
  <si>
    <t xml:space="preserve">(5)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</si>
  <si>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(6)La dosis de fertilización promedio podría variar de acuerdo a los resultados del análisis de suelo.</t>
  </si>
  <si>
    <t>(7) 1,5% mensual simple sobre el 50% de los costos directos, tasa de interés promedio de las empresas distribuidoras de insumos.</t>
  </si>
  <si>
    <t>(8) Margen neto corresponde a ingresos totales (precio venta x rendimiento) menos los costos totales.</t>
  </si>
  <si>
    <t>(9) Representa el precio de venta mínimo para cubrir los costos totales de producción.</t>
  </si>
  <si>
    <t>1 hectaréa noviembre 2021</t>
  </si>
  <si>
    <t>septiembre -noviembre</t>
  </si>
  <si>
    <t>anual</t>
  </si>
  <si>
    <t>mayo - octubre</t>
  </si>
  <si>
    <t>abril - mayo</t>
  </si>
  <si>
    <t>Regulador de crecimiento</t>
  </si>
  <si>
    <t>octubre - marzo</t>
  </si>
  <si>
    <t xml:space="preserve">(2) El precio del kilo de palto corresponde al promedio estimado de la región a nivel predial, estimado durante la coseha para la temporada  2020/2021. </t>
  </si>
  <si>
    <r>
      <t>Palto( Persea americana Mill)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 en plano</t>
    </r>
  </si>
  <si>
    <t>Sistema de conducción: En producción</t>
  </si>
  <si>
    <t xml:space="preserve">Variedad: Hass </t>
  </si>
  <si>
    <t>Fecha cosecha: septiembre - diciembre</t>
  </si>
  <si>
    <t>septiembre - diciembre</t>
  </si>
  <si>
    <t>Mantención general del huerto y monitoreos</t>
  </si>
  <si>
    <t>Anillado</t>
  </si>
  <si>
    <t>abril</t>
  </si>
  <si>
    <t>Aplicación compost</t>
  </si>
  <si>
    <t>mayo - agosto</t>
  </si>
  <si>
    <t>Trituradora de poda</t>
  </si>
  <si>
    <t>septiembre -diciembre</t>
  </si>
  <si>
    <t>m3</t>
  </si>
  <si>
    <t>Densidad (plantas/hectárea): 500   4m X 5m</t>
  </si>
  <si>
    <t xml:space="preserve"> Ácido Bórico</t>
  </si>
  <si>
    <t xml:space="preserve"> Ácido Fosfórico</t>
  </si>
  <si>
    <t xml:space="preserve"> Nitrato de Calcio</t>
  </si>
  <si>
    <t xml:space="preserve"> Nitrato de magnesio</t>
  </si>
  <si>
    <t xml:space="preserve"> Fosfato Dipotásico</t>
  </si>
  <si>
    <t xml:space="preserve"> Nitrato de amonio</t>
  </si>
  <si>
    <t xml:space="preserve"> Naturvital</t>
  </si>
  <si>
    <t xml:space="preserve"> Sulfato de Potasio</t>
  </si>
  <si>
    <t xml:space="preserve"> Fosfato Monopotásico</t>
  </si>
  <si>
    <t xml:space="preserve"> Nitrato de Zinc</t>
  </si>
  <si>
    <t xml:space="preserve"> Compost</t>
  </si>
  <si>
    <t xml:space="preserve"> Glifosato</t>
  </si>
  <si>
    <t xml:space="preserve"> Podexal</t>
  </si>
  <si>
    <t xml:space="preserve"> Ridomil Gold 480 SL</t>
  </si>
  <si>
    <t xml:space="preserve"> Tazer flo</t>
  </si>
  <si>
    <t xml:space="preserve"> Aceite Citroliv</t>
  </si>
  <si>
    <t xml:space="preserve"> Fast Plus</t>
  </si>
  <si>
    <t xml:space="preserve"> Sunny 5SC</t>
  </si>
  <si>
    <t xml:space="preserve"> Electricidad</t>
  </si>
  <si>
    <t xml:space="preserve"> Baños químicos</t>
  </si>
  <si>
    <t xml:space="preserve"> Break thru</t>
  </si>
  <si>
    <t xml:space="preserve"> Colmenas</t>
  </si>
  <si>
    <r>
      <t xml:space="preserve">Precio de venta mercado interno ($/kilo): </t>
    </r>
    <r>
      <rPr>
        <b/>
        <vertAlign val="superscript"/>
        <sz val="14"/>
        <rFont val="Arial"/>
        <family val="2"/>
      </rPr>
      <t>(2)</t>
    </r>
  </si>
  <si>
    <r>
      <t xml:space="preserve">Acarreo de cosecha </t>
    </r>
    <r>
      <rPr>
        <vertAlign val="superscript"/>
        <sz val="14"/>
        <rFont val="Arial"/>
        <family val="2"/>
      </rPr>
      <t>(3)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</si>
  <si>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</si>
  <si>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</si>
  <si>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 Análisis foliar </t>
    </r>
    <r>
      <rPr>
        <vertAlign val="superscript"/>
        <sz val="14"/>
        <rFont val="Arial"/>
        <family val="2"/>
      </rPr>
      <t>(6)</t>
    </r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</si>
  <si>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</si>
  <si>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</si>
  <si>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(9)</t>
    </r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</si>
</sst>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  <xf numFmtId="0" fontId="5" fillId="0" borderId="10" applyNumberFormat="0" applyFill="0" applyAlignment="0" applyProtection="0"/>
  </cellStyleXfs>
  <cellXfs count="335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0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0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0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6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6" applyFont="1" applyFill="1" applyBorder="1" applyAlignment="1" applyProtection="1">
      <alignment horizontal="center"/>
      <protection/>
    </xf>
    <xf numFmtId="4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4" fillId="0" borderId="0" xfId="56" applyFont="1" applyFill="1" applyBorder="1" applyAlignment="1">
      <alignment horizontal="left"/>
      <protection/>
    </xf>
    <xf numFmtId="0" fontId="64" fillId="0" borderId="0" xfId="56" applyFont="1" applyFill="1" applyBorder="1" applyAlignment="1">
      <alignment horizontal="center"/>
      <protection/>
    </xf>
    <xf numFmtId="180" fontId="64" fillId="0" borderId="0" xfId="67" applyFont="1" applyFill="1" applyBorder="1" applyAlignment="1" applyProtection="1">
      <alignment horizontal="left"/>
      <protection/>
    </xf>
    <xf numFmtId="0" fontId="64" fillId="0" borderId="0" xfId="56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180" fontId="64" fillId="0" borderId="0" xfId="67" applyFont="1" applyFill="1" applyBorder="1" applyAlignment="1" applyProtection="1">
      <alignment horizontal="right"/>
      <protection/>
    </xf>
    <xf numFmtId="3" fontId="64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1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60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5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5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5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5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5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3" fillId="23" borderId="23" xfId="56" applyNumberFormat="1" applyFont="1" applyFill="1" applyBorder="1" applyAlignment="1" applyProtection="1">
      <alignment horizontal="center" vertical="center" wrapText="1"/>
      <protection/>
    </xf>
    <xf numFmtId="0" fontId="63" fillId="23" borderId="23" xfId="56" applyFont="1" applyFill="1" applyBorder="1" applyAlignment="1" applyProtection="1">
      <alignment horizontal="center" vertical="center" wrapText="1"/>
      <protection/>
    </xf>
    <xf numFmtId="3" fontId="63" fillId="23" borderId="23" xfId="56" applyNumberFormat="1" applyFont="1" applyFill="1" applyBorder="1" applyAlignment="1" applyProtection="1">
      <alignment horizontal="center" vertical="center" wrapText="1"/>
      <protection/>
    </xf>
    <xf numFmtId="3" fontId="63" fillId="23" borderId="20" xfId="56" applyNumberFormat="1" applyFont="1" applyFill="1" applyBorder="1" applyAlignment="1" applyProtection="1">
      <alignment horizontal="center" vertic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184" fontId="10" fillId="0" borderId="17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 applyProtection="1">
      <alignment horizontal="left" indent="1"/>
      <protection/>
    </xf>
    <xf numFmtId="0" fontId="10" fillId="34" borderId="11" xfId="56" applyFont="1" applyFill="1" applyBorder="1" applyAlignment="1" applyProtection="1">
      <alignment horizontal="left" indent="1"/>
      <protection/>
    </xf>
    <xf numFmtId="0" fontId="10" fillId="0" borderId="14" xfId="56" applyFont="1" applyFill="1" applyBorder="1" applyAlignment="1" applyProtection="1">
      <alignment horizontal="left" indent="1"/>
      <protection/>
    </xf>
    <xf numFmtId="0" fontId="10" fillId="0" borderId="18" xfId="56" applyFont="1" applyFill="1" applyBorder="1" applyAlignment="1" applyProtection="1">
      <alignment horizontal="left" indent="1"/>
      <protection/>
    </xf>
    <xf numFmtId="0" fontId="53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4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10" fillId="0" borderId="0" xfId="56" applyFont="1" applyFill="1" applyBorder="1" applyAlignment="1" applyProtection="1">
      <alignment horizontal="left" indent="2"/>
      <protection/>
    </xf>
    <xf numFmtId="0" fontId="10" fillId="0" borderId="11" xfId="56" applyFont="1" applyFill="1" applyBorder="1" applyAlignment="1" applyProtection="1">
      <alignment horizontal="left" indent="2"/>
      <protection/>
    </xf>
    <xf numFmtId="0" fontId="10" fillId="0" borderId="18" xfId="56" applyFont="1" applyFill="1" applyBorder="1" applyAlignment="1">
      <alignment/>
      <protection/>
    </xf>
    <xf numFmtId="0" fontId="10" fillId="0" borderId="11" xfId="56" applyFont="1" applyFill="1" applyBorder="1" applyAlignment="1">
      <alignment/>
      <protection/>
    </xf>
    <xf numFmtId="0" fontId="10" fillId="0" borderId="17" xfId="56" applyFont="1" applyFill="1" applyBorder="1" applyAlignment="1">
      <alignment horizontal="left" indent="3"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8" xfId="56" applyFont="1" applyFill="1" applyBorder="1" applyAlignment="1" applyProtection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3" xfId="0" applyFont="1" applyFill="1" applyBorder="1" applyAlignment="1" applyProtection="1">
      <alignment/>
      <protection/>
    </xf>
    <xf numFmtId="0" fontId="63" fillId="23" borderId="25" xfId="56" applyFont="1" applyFill="1" applyBorder="1" applyAlignment="1" applyProtection="1">
      <alignment/>
      <protection/>
    </xf>
    <xf numFmtId="0" fontId="63" fillId="23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3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3" fillId="23" borderId="23" xfId="56" applyFont="1" applyFill="1" applyBorder="1" applyAlignment="1" applyProtection="1">
      <alignment vertical="center"/>
      <protection/>
    </xf>
    <xf numFmtId="0" fontId="63" fillId="23" borderId="23" xfId="56" applyFont="1" applyFill="1" applyBorder="1" applyAlignment="1" applyProtection="1">
      <alignment horizontal="right" vertical="center"/>
      <protection/>
    </xf>
    <xf numFmtId="0" fontId="63" fillId="23" borderId="23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63" fillId="23" borderId="25" xfId="56" applyFont="1" applyFill="1" applyBorder="1" applyAlignment="1" applyProtection="1">
      <alignment vertical="center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6" fillId="0" borderId="23" xfId="67" applyNumberFormat="1" applyFont="1" applyFill="1" applyBorder="1" applyAlignment="1" applyProtection="1">
      <alignment horizontal="left"/>
      <protection/>
    </xf>
    <xf numFmtId="0" fontId="66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 applyProtection="1">
      <alignment horizontal="left"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8" fillId="34" borderId="17" xfId="67" applyNumberFormat="1" applyFont="1" applyFill="1" applyBorder="1" applyAlignment="1" applyProtection="1">
      <alignment/>
      <protection/>
    </xf>
    <xf numFmtId="0" fontId="10" fillId="34" borderId="19" xfId="67" applyNumberFormat="1" applyFont="1" applyFill="1" applyBorder="1" applyAlignment="1" applyProtection="1">
      <alignment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0" xfId="56" applyNumberFormat="1" applyFont="1" applyFill="1" applyBorder="1" applyAlignment="1">
      <alignment horizontal="left"/>
      <protection/>
    </xf>
    <xf numFmtId="3" fontId="12" fillId="34" borderId="11" xfId="56" applyNumberFormat="1" applyFont="1" applyFill="1" applyBorder="1" applyAlignment="1">
      <alignment horizontal="left"/>
      <protection/>
    </xf>
    <xf numFmtId="3" fontId="13" fillId="34" borderId="19" xfId="56" applyNumberFormat="1" applyFont="1" applyFill="1" applyBorder="1" applyAlignment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8" fillId="34" borderId="19" xfId="56" applyFont="1" applyFill="1" applyBorder="1" applyAlignment="1" applyProtection="1">
      <alignment horizontal="left"/>
      <protection/>
    </xf>
    <xf numFmtId="3" fontId="10" fillId="34" borderId="21" xfId="67" applyNumberFormat="1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3" fontId="10" fillId="0" borderId="17" xfId="67" applyNumberFormat="1" applyFont="1" applyFill="1" applyBorder="1" applyAlignment="1" applyProtection="1">
      <alignment horizontal="center"/>
      <protection/>
    </xf>
    <xf numFmtId="3" fontId="10" fillId="0" borderId="19" xfId="67" applyNumberFormat="1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/>
    </xf>
    <xf numFmtId="180" fontId="10" fillId="34" borderId="0" xfId="67" applyFont="1" applyFill="1" applyBorder="1" applyAlignment="1" applyProtection="1">
      <alignment horizontal="center"/>
      <protection/>
    </xf>
    <xf numFmtId="0" fontId="63" fillId="23" borderId="25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horizontal="left" vertical="center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vertical="center"/>
      <protection/>
    </xf>
    <xf numFmtId="3" fontId="10" fillId="34" borderId="24" xfId="56" applyNumberFormat="1" applyFont="1" applyFill="1" applyBorder="1" applyAlignment="1" applyProtection="1">
      <alignment horizontal="right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63" fillId="37" borderId="15" xfId="0" applyFont="1" applyFill="1" applyBorder="1" applyAlignment="1">
      <alignment horizontal="center"/>
    </xf>
    <xf numFmtId="0" fontId="63" fillId="37" borderId="13" xfId="0" applyFont="1" applyFill="1" applyBorder="1" applyAlignment="1">
      <alignment horizontal="center"/>
    </xf>
    <xf numFmtId="0" fontId="63" fillId="37" borderId="16" xfId="0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8" fillId="38" borderId="25" xfId="0" applyFont="1" applyFill="1" applyBorder="1" applyAlignment="1">
      <alignment horizontal="center"/>
    </xf>
    <xf numFmtId="0" fontId="8" fillId="38" borderId="23" xfId="0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3" fillId="39" borderId="17" xfId="55" applyFont="1" applyFill="1" applyBorder="1" applyAlignment="1">
      <alignment horizontal="center"/>
      <protection/>
    </xf>
    <xf numFmtId="0" fontId="63" fillId="39" borderId="14" xfId="55" applyFont="1" applyFill="1" applyBorder="1" applyAlignment="1">
      <alignment horizontal="center"/>
      <protection/>
    </xf>
    <xf numFmtId="0" fontId="63" fillId="39" borderId="18" xfId="55" applyFont="1" applyFill="1" applyBorder="1" applyAlignment="1">
      <alignment horizontal="center"/>
      <protection/>
    </xf>
    <xf numFmtId="0" fontId="63" fillId="39" borderId="25" xfId="55" applyFont="1" applyFill="1" applyBorder="1" applyAlignment="1">
      <alignment horizontal="center"/>
      <protection/>
    </xf>
    <xf numFmtId="0" fontId="63" fillId="39" borderId="23" xfId="55" applyFont="1" applyFill="1" applyBorder="1" applyAlignment="1">
      <alignment horizontal="center"/>
      <protection/>
    </xf>
    <xf numFmtId="0" fontId="63" fillId="39" borderId="20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3" fillId="39" borderId="17" xfId="67" applyNumberFormat="1" applyFont="1" applyFill="1" applyBorder="1" applyAlignment="1" applyProtection="1">
      <alignment horizontal="center"/>
      <protection/>
    </xf>
    <xf numFmtId="17" fontId="63" fillId="39" borderId="14" xfId="67" applyNumberFormat="1" applyFont="1" applyFill="1" applyBorder="1" applyAlignment="1" applyProtection="1">
      <alignment horizontal="center"/>
      <protection/>
    </xf>
    <xf numFmtId="17" fontId="63" fillId="39" borderId="18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180" fontId="64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3" fillId="37" borderId="17" xfId="0" applyFont="1" applyFill="1" applyBorder="1" applyAlignment="1">
      <alignment horizontal="center"/>
    </xf>
    <xf numFmtId="0" fontId="63" fillId="37" borderId="14" xfId="0" applyFont="1" applyFill="1" applyBorder="1" applyAlignment="1">
      <alignment horizontal="center"/>
    </xf>
    <xf numFmtId="0" fontId="63" fillId="37" borderId="18" xfId="0" applyFont="1" applyFill="1" applyBorder="1" applyAlignment="1">
      <alignment horizontal="center"/>
    </xf>
    <xf numFmtId="3" fontId="8" fillId="38" borderId="25" xfId="0" applyNumberFormat="1" applyFont="1" applyFill="1" applyBorder="1" applyAlignment="1">
      <alignment horizontal="center"/>
    </xf>
    <xf numFmtId="3" fontId="8" fillId="38" borderId="20" xfId="0" applyNumberFormat="1" applyFont="1" applyFill="1" applyBorder="1" applyAlignment="1">
      <alignment horizontal="center"/>
    </xf>
    <xf numFmtId="3" fontId="8" fillId="38" borderId="25" xfId="0" applyNumberFormat="1" applyFont="1" applyFill="1" applyBorder="1" applyAlignment="1">
      <alignment horizontal="center" vertical="center"/>
    </xf>
    <xf numFmtId="3" fontId="8" fillId="38" borderId="20" xfId="0" applyNumberFormat="1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0" fontId="10" fillId="0" borderId="25" xfId="56" applyFont="1" applyFill="1" applyBorder="1" applyAlignment="1">
      <alignment horizontal="center"/>
      <protection/>
    </xf>
    <xf numFmtId="0" fontId="10" fillId="0" borderId="20" xfId="56" applyFont="1" applyFill="1" applyBorder="1" applyAlignment="1">
      <alignment horizontal="center"/>
      <protection/>
    </xf>
    <xf numFmtId="0" fontId="10" fillId="34" borderId="17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0" fontId="10" fillId="38" borderId="19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19" xfId="0" applyNumberFormat="1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8" fillId="38" borderId="18" xfId="0" applyFont="1" applyFill="1" applyBorder="1" applyAlignment="1">
      <alignment horizontal="center" vertical="center"/>
    </xf>
    <xf numFmtId="0" fontId="8" fillId="38" borderId="15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0" fontId="8" fillId="38" borderId="16" xfId="0" applyFont="1" applyFill="1" applyBorder="1" applyAlignment="1">
      <alignment horizontal="center" vertical="center"/>
    </xf>
    <xf numFmtId="3" fontId="8" fillId="38" borderId="23" xfId="0" applyNumberFormat="1" applyFont="1" applyFill="1" applyBorder="1" applyAlignment="1">
      <alignment horizontal="center"/>
    </xf>
    <xf numFmtId="0" fontId="63" fillId="37" borderId="17" xfId="0" applyFont="1" applyFill="1" applyBorder="1" applyAlignment="1">
      <alignment horizontal="center" vertical="center"/>
    </xf>
    <xf numFmtId="0" fontId="63" fillId="37" borderId="14" xfId="0" applyFont="1" applyFill="1" applyBorder="1" applyAlignment="1">
      <alignment horizontal="center" vertical="center"/>
    </xf>
    <xf numFmtId="0" fontId="63" fillId="37" borderId="18" xfId="0" applyFont="1" applyFill="1" applyBorder="1" applyAlignment="1">
      <alignment horizontal="center" vertical="center"/>
    </xf>
    <xf numFmtId="0" fontId="63" fillId="37" borderId="15" xfId="0" applyFont="1" applyFill="1" applyBorder="1" applyAlignment="1">
      <alignment horizontal="center" vertical="center"/>
    </xf>
    <xf numFmtId="0" fontId="63" fillId="37" borderId="13" xfId="0" applyFont="1" applyFill="1" applyBorder="1" applyAlignment="1">
      <alignment horizontal="center" vertical="center"/>
    </xf>
    <xf numFmtId="0" fontId="63" fillId="37" borderId="16" xfId="0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8" borderId="18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57150</xdr:rowOff>
    </xdr:from>
    <xdr:to>
      <xdr:col>2</xdr:col>
      <xdr:colOff>866775</xdr:colOff>
      <xdr:row>11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66725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628650</xdr:colOff>
      <xdr:row>121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71748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4"/>
  <sheetViews>
    <sheetView showGridLines="0" tabSelected="1" view="pageBreakPreview" zoomScale="53" zoomScaleNormal="70" zoomScaleSheetLayoutView="53" zoomScalePageLayoutView="80" workbookViewId="0" topLeftCell="B112">
      <selection activeCell="B2" sqref="B2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9"/>
    </row>
    <row r="2" spans="2:10" s="3" customFormat="1" ht="18" customHeight="1">
      <c r="B2" s="138"/>
      <c r="C2" s="138"/>
      <c r="D2" s="272" t="s">
        <v>33</v>
      </c>
      <c r="E2" s="272"/>
      <c r="F2" s="272"/>
      <c r="G2" s="272"/>
      <c r="H2" s="272"/>
      <c r="I2" s="272"/>
      <c r="J2" s="272"/>
    </row>
    <row r="3" spans="2:11" s="3" customFormat="1" ht="18" customHeight="1">
      <c r="B3" s="94"/>
      <c r="C3" s="117"/>
      <c r="D3" s="273" t="s">
        <v>101</v>
      </c>
      <c r="E3" s="273"/>
      <c r="F3" s="273"/>
      <c r="G3" s="273"/>
      <c r="H3" s="273"/>
      <c r="I3" s="273"/>
      <c r="J3" s="273"/>
      <c r="K3" s="14"/>
    </row>
    <row r="4" spans="2:11" s="3" customFormat="1" ht="18" customHeight="1">
      <c r="B4" s="94"/>
      <c r="C4" s="117"/>
      <c r="D4" s="273" t="s">
        <v>83</v>
      </c>
      <c r="E4" s="273"/>
      <c r="F4" s="273"/>
      <c r="G4" s="273"/>
      <c r="H4" s="273"/>
      <c r="I4" s="273"/>
      <c r="J4" s="273"/>
      <c r="K4" s="14"/>
    </row>
    <row r="5" spans="2:11" s="3" customFormat="1" ht="18" customHeight="1">
      <c r="B5" s="42"/>
      <c r="C5" s="42"/>
      <c r="D5" s="118"/>
      <c r="E5" s="44"/>
      <c r="F5" s="133"/>
      <c r="G5" s="133"/>
      <c r="H5" s="133"/>
      <c r="I5" s="133"/>
      <c r="J5" s="133"/>
      <c r="K5" s="16"/>
    </row>
    <row r="6" spans="2:11" s="3" customFormat="1" ht="18" customHeight="1">
      <c r="B6" s="42"/>
      <c r="C6" s="42"/>
      <c r="D6" s="281" t="s">
        <v>29</v>
      </c>
      <c r="E6" s="282"/>
      <c r="F6" s="282"/>
      <c r="G6" s="282"/>
      <c r="H6" s="282"/>
      <c r="I6" s="282"/>
      <c r="J6" s="283"/>
      <c r="K6" s="16"/>
    </row>
    <row r="7" spans="2:11" s="3" customFormat="1" ht="18" customHeight="1">
      <c r="B7" s="42"/>
      <c r="C7" s="42"/>
      <c r="D7" s="85" t="s">
        <v>93</v>
      </c>
      <c r="E7" s="86"/>
      <c r="F7" s="86"/>
      <c r="G7" s="87" t="s">
        <v>103</v>
      </c>
      <c r="H7" s="88"/>
      <c r="I7" s="89"/>
      <c r="J7" s="90"/>
      <c r="K7" s="16"/>
    </row>
    <row r="8" spans="2:11" s="3" customFormat="1" ht="18" customHeight="1">
      <c r="B8" s="42"/>
      <c r="C8" s="42"/>
      <c r="D8" s="91" t="s">
        <v>102</v>
      </c>
      <c r="E8" s="92"/>
      <c r="F8" s="92"/>
      <c r="G8" s="93" t="s">
        <v>62</v>
      </c>
      <c r="H8" s="94"/>
      <c r="I8" s="95"/>
      <c r="J8" s="96"/>
      <c r="K8" s="16"/>
    </row>
    <row r="9" spans="2:11" s="3" customFormat="1" ht="18" customHeight="1">
      <c r="B9" s="42"/>
      <c r="C9" s="42"/>
      <c r="D9" s="91" t="s">
        <v>60</v>
      </c>
      <c r="E9" s="92"/>
      <c r="F9" s="92"/>
      <c r="G9" s="93" t="s">
        <v>63</v>
      </c>
      <c r="H9" s="94"/>
      <c r="I9" s="95"/>
      <c r="J9" s="96"/>
      <c r="K9" s="16"/>
    </row>
    <row r="10" spans="2:11" s="3" customFormat="1" ht="18" customHeight="1">
      <c r="B10" s="42"/>
      <c r="C10" s="42"/>
      <c r="D10" s="91" t="s">
        <v>114</v>
      </c>
      <c r="E10" s="163"/>
      <c r="F10" s="251"/>
      <c r="G10" s="93" t="s">
        <v>104</v>
      </c>
      <c r="H10" s="94"/>
      <c r="I10" s="95"/>
      <c r="J10" s="96"/>
      <c r="K10" s="18"/>
    </row>
    <row r="11" spans="2:11" s="3" customFormat="1" ht="18" customHeight="1">
      <c r="B11" s="42"/>
      <c r="C11" s="42"/>
      <c r="D11" s="97" t="s">
        <v>61</v>
      </c>
      <c r="E11" s="98"/>
      <c r="F11" s="98"/>
      <c r="G11" s="99"/>
      <c r="H11" s="100"/>
      <c r="I11" s="101"/>
      <c r="J11" s="102"/>
      <c r="K11" s="18"/>
    </row>
    <row r="12" spans="2:11" s="3" customFormat="1" ht="18" customHeight="1">
      <c r="B12" s="42"/>
      <c r="C12" s="42"/>
      <c r="D12" s="26"/>
      <c r="E12" s="92"/>
      <c r="F12" s="92"/>
      <c r="G12" s="26"/>
      <c r="H12" s="94"/>
      <c r="I12" s="95"/>
      <c r="J12" s="126"/>
      <c r="K12" s="18"/>
    </row>
    <row r="13" spans="2:11" ht="17.25">
      <c r="B13" s="274" t="s">
        <v>30</v>
      </c>
      <c r="C13" s="275"/>
      <c r="D13" s="275"/>
      <c r="E13" s="276"/>
      <c r="F13" s="41"/>
      <c r="G13" s="277" t="s">
        <v>4</v>
      </c>
      <c r="H13" s="278"/>
      <c r="I13" s="278"/>
      <c r="J13" s="279"/>
      <c r="K13" s="16"/>
    </row>
    <row r="14" spans="2:11" ht="17.25">
      <c r="B14" s="107" t="s">
        <v>64</v>
      </c>
      <c r="C14" s="108"/>
      <c r="D14" s="86"/>
      <c r="E14" s="109">
        <v>11000</v>
      </c>
      <c r="F14" s="42"/>
      <c r="G14" s="113" t="s">
        <v>49</v>
      </c>
      <c r="H14" s="86"/>
      <c r="I14" s="86"/>
      <c r="J14" s="139">
        <f>E14*E15</f>
        <v>11550000</v>
      </c>
      <c r="K14" s="16"/>
    </row>
    <row r="15" spans="2:13" ht="18" customHeight="1">
      <c r="B15" s="193" t="s">
        <v>137</v>
      </c>
      <c r="C15" s="194"/>
      <c r="D15" s="194"/>
      <c r="E15" s="142">
        <v>1050</v>
      </c>
      <c r="F15" s="42"/>
      <c r="G15" s="114" t="s">
        <v>46</v>
      </c>
      <c r="H15" s="42"/>
      <c r="I15" s="42"/>
      <c r="J15" s="140">
        <f>J31+J38+J75+J78</f>
        <v>7042673.4</v>
      </c>
      <c r="K15" s="16"/>
      <c r="M15" s="179"/>
    </row>
    <row r="16" spans="2:11" ht="17.25">
      <c r="B16" s="132" t="s">
        <v>34</v>
      </c>
      <c r="C16" s="43"/>
      <c r="D16" s="42"/>
      <c r="E16" s="142">
        <v>25000</v>
      </c>
      <c r="F16" s="42"/>
      <c r="G16" s="114" t="s">
        <v>48</v>
      </c>
      <c r="H16" s="44"/>
      <c r="I16" s="42"/>
      <c r="J16" s="140">
        <f>J31+J38+J75+J78+J88</f>
        <v>7676514.006</v>
      </c>
      <c r="K16" s="16"/>
    </row>
    <row r="17" spans="2:11" ht="17.25">
      <c r="B17" s="132" t="s">
        <v>2</v>
      </c>
      <c r="C17" s="45"/>
      <c r="D17" s="42"/>
      <c r="E17" s="110">
        <v>0.015</v>
      </c>
      <c r="F17" s="42"/>
      <c r="G17" s="114" t="s">
        <v>50</v>
      </c>
      <c r="H17" s="42"/>
      <c r="I17" s="42"/>
      <c r="J17" s="140">
        <f>J14-J15</f>
        <v>4507326.6</v>
      </c>
      <c r="K17" s="16"/>
    </row>
    <row r="18" spans="2:11" ht="17.25">
      <c r="B18" s="132" t="s">
        <v>3</v>
      </c>
      <c r="C18" s="45"/>
      <c r="D18" s="42"/>
      <c r="E18" s="227">
        <v>12</v>
      </c>
      <c r="F18" s="42"/>
      <c r="G18" s="114" t="s">
        <v>51</v>
      </c>
      <c r="H18" s="42"/>
      <c r="I18" s="42"/>
      <c r="J18" s="140">
        <f>J14-J16</f>
        <v>3873485.994</v>
      </c>
      <c r="K18" s="16"/>
    </row>
    <row r="19" spans="2:11" ht="17.25">
      <c r="B19" s="111"/>
      <c r="C19" s="112"/>
      <c r="D19" s="103"/>
      <c r="E19" s="226"/>
      <c r="F19" s="42"/>
      <c r="G19" s="115" t="s">
        <v>26</v>
      </c>
      <c r="H19" s="103"/>
      <c r="I19" s="116"/>
      <c r="J19" s="141">
        <f>G107</f>
        <v>697.8649096363637</v>
      </c>
      <c r="K19" s="16"/>
    </row>
    <row r="20" spans="2:11" s="3" customFormat="1" ht="17.25">
      <c r="B20" s="42"/>
      <c r="C20" s="42"/>
      <c r="D20" s="42"/>
      <c r="E20" s="20"/>
      <c r="F20" s="20"/>
      <c r="G20" s="21"/>
      <c r="H20" s="22"/>
      <c r="I20" s="23"/>
      <c r="J20" s="23"/>
      <c r="K20" s="16"/>
    </row>
    <row r="21" spans="2:11" s="3" customFormat="1" ht="21">
      <c r="B21" s="120" t="s">
        <v>27</v>
      </c>
      <c r="C21" s="119"/>
      <c r="D21" s="119"/>
      <c r="E21" s="280"/>
      <c r="F21" s="280"/>
      <c r="G21" s="121"/>
      <c r="H21" s="122"/>
      <c r="I21" s="130"/>
      <c r="J21" s="123"/>
      <c r="K21" s="16"/>
    </row>
    <row r="22" spans="2:11" s="3" customFormat="1" ht="18" customHeight="1">
      <c r="B22" s="206" t="s">
        <v>7</v>
      </c>
      <c r="C22" s="207"/>
      <c r="D22" s="207"/>
      <c r="E22" s="220" t="s">
        <v>35</v>
      </c>
      <c r="F22" s="219"/>
      <c r="G22" s="143" t="s">
        <v>5</v>
      </c>
      <c r="H22" s="144" t="s">
        <v>6</v>
      </c>
      <c r="I22" s="145" t="s">
        <v>43</v>
      </c>
      <c r="J22" s="146" t="s">
        <v>1</v>
      </c>
      <c r="K22" s="16"/>
    </row>
    <row r="23" spans="2:10" s="3" customFormat="1" ht="17.25">
      <c r="B23" s="253" t="s">
        <v>107</v>
      </c>
      <c r="C23" s="177"/>
      <c r="D23" s="178"/>
      <c r="E23" s="200" t="s">
        <v>108</v>
      </c>
      <c r="F23" s="198"/>
      <c r="G23" s="154">
        <v>500</v>
      </c>
      <c r="H23" s="148" t="s">
        <v>72</v>
      </c>
      <c r="I23" s="246">
        <v>300</v>
      </c>
      <c r="J23" s="174">
        <f aca="true" t="shared" si="0" ref="J23:J30">G23*I23</f>
        <v>150000</v>
      </c>
    </row>
    <row r="24" spans="2:10" s="3" customFormat="1" ht="17.25">
      <c r="B24" s="161" t="s">
        <v>65</v>
      </c>
      <c r="C24" s="196"/>
      <c r="D24" s="197"/>
      <c r="E24" s="201" t="s">
        <v>69</v>
      </c>
      <c r="F24" s="199"/>
      <c r="G24" s="155">
        <v>16</v>
      </c>
      <c r="H24" s="150" t="s">
        <v>37</v>
      </c>
      <c r="I24" s="247">
        <f>E16</f>
        <v>25000</v>
      </c>
      <c r="J24" s="10">
        <f t="shared" si="0"/>
        <v>400000</v>
      </c>
    </row>
    <row r="25" spans="2:10" s="3" customFormat="1" ht="17.25">
      <c r="B25" s="161" t="s">
        <v>109</v>
      </c>
      <c r="C25" s="196"/>
      <c r="D25" s="197"/>
      <c r="E25" s="201" t="s">
        <v>110</v>
      </c>
      <c r="F25" s="199"/>
      <c r="G25" s="155">
        <v>10</v>
      </c>
      <c r="H25" s="150" t="s">
        <v>37</v>
      </c>
      <c r="I25" s="247">
        <f>E16</f>
        <v>25000</v>
      </c>
      <c r="J25" s="10">
        <f>G25*I25</f>
        <v>250000</v>
      </c>
    </row>
    <row r="26" spans="2:10" s="3" customFormat="1" ht="17.25">
      <c r="B26" s="161" t="s">
        <v>55</v>
      </c>
      <c r="C26" s="175"/>
      <c r="D26" s="176"/>
      <c r="E26" s="201" t="s">
        <v>71</v>
      </c>
      <c r="F26" s="199"/>
      <c r="G26" s="155">
        <v>7</v>
      </c>
      <c r="H26" s="150" t="s">
        <v>37</v>
      </c>
      <c r="I26" s="247">
        <f>E16</f>
        <v>25000</v>
      </c>
      <c r="J26" s="10">
        <f t="shared" si="0"/>
        <v>175000</v>
      </c>
    </row>
    <row r="27" spans="2:10" s="3" customFormat="1" ht="17.25">
      <c r="B27" s="161" t="s">
        <v>106</v>
      </c>
      <c r="C27" s="175"/>
      <c r="D27" s="176"/>
      <c r="E27" s="201" t="s">
        <v>71</v>
      </c>
      <c r="F27" s="199"/>
      <c r="G27" s="155">
        <v>8</v>
      </c>
      <c r="H27" s="150" t="s">
        <v>37</v>
      </c>
      <c r="I27" s="247">
        <f>E16</f>
        <v>25000</v>
      </c>
      <c r="J27" s="10">
        <f t="shared" si="0"/>
        <v>200000</v>
      </c>
    </row>
    <row r="28" spans="2:10" s="3" customFormat="1" ht="17.25">
      <c r="B28" s="161" t="s">
        <v>67</v>
      </c>
      <c r="C28" s="175"/>
      <c r="D28" s="176"/>
      <c r="E28" s="201" t="s">
        <v>94</v>
      </c>
      <c r="F28" s="199"/>
      <c r="G28" s="155">
        <f>E14</f>
        <v>11000</v>
      </c>
      <c r="H28" s="150" t="s">
        <v>40</v>
      </c>
      <c r="I28" s="247">
        <v>80</v>
      </c>
      <c r="J28" s="10">
        <f t="shared" si="0"/>
        <v>880000</v>
      </c>
    </row>
    <row r="29" spans="2:10" s="3" customFormat="1" ht="19.5">
      <c r="B29" s="161" t="s">
        <v>138</v>
      </c>
      <c r="C29" s="175"/>
      <c r="D29" s="176"/>
      <c r="E29" s="201" t="s">
        <v>105</v>
      </c>
      <c r="F29" s="199"/>
      <c r="G29" s="155">
        <f>E14</f>
        <v>11000</v>
      </c>
      <c r="H29" s="150" t="s">
        <v>40</v>
      </c>
      <c r="I29" s="247">
        <v>25</v>
      </c>
      <c r="J29" s="10">
        <f t="shared" si="0"/>
        <v>275000</v>
      </c>
    </row>
    <row r="30" spans="2:10" s="3" customFormat="1" ht="17.25">
      <c r="B30" s="161" t="s">
        <v>68</v>
      </c>
      <c r="C30" s="162"/>
      <c r="D30" s="195"/>
      <c r="E30" s="201" t="s">
        <v>99</v>
      </c>
      <c r="F30" s="199"/>
      <c r="G30" s="155">
        <v>500</v>
      </c>
      <c r="H30" s="150" t="s">
        <v>72</v>
      </c>
      <c r="I30" s="247">
        <v>1000</v>
      </c>
      <c r="J30" s="10">
        <f t="shared" si="0"/>
        <v>500000</v>
      </c>
    </row>
    <row r="31" spans="2:11" ht="17.25">
      <c r="B31" s="254" t="s">
        <v>8</v>
      </c>
      <c r="C31" s="211"/>
      <c r="D31" s="211"/>
      <c r="E31" s="211"/>
      <c r="F31" s="211"/>
      <c r="G31" s="211"/>
      <c r="H31" s="211"/>
      <c r="I31" s="211"/>
      <c r="J31" s="104">
        <f>SUM(J23:J30)</f>
        <v>2830000</v>
      </c>
      <c r="K31" s="3"/>
    </row>
    <row r="32" spans="2:10" s="3" customFormat="1" ht="17.25">
      <c r="B32" s="84"/>
      <c r="C32" s="84"/>
      <c r="D32" s="84"/>
      <c r="E32" s="84"/>
      <c r="F32" s="84"/>
      <c r="G32" s="25"/>
      <c r="H32" s="84"/>
      <c r="I32" s="84"/>
      <c r="J32" s="27"/>
    </row>
    <row r="33" spans="2:11" s="28" customFormat="1" ht="18" customHeight="1">
      <c r="B33" s="252" t="s">
        <v>139</v>
      </c>
      <c r="C33" s="207"/>
      <c r="D33" s="207"/>
      <c r="E33" s="220" t="s">
        <v>35</v>
      </c>
      <c r="F33" s="220"/>
      <c r="G33" s="143" t="s">
        <v>5</v>
      </c>
      <c r="H33" s="144" t="s">
        <v>6</v>
      </c>
      <c r="I33" s="145" t="s">
        <v>43</v>
      </c>
      <c r="J33" s="146" t="s">
        <v>1</v>
      </c>
      <c r="K33" s="3"/>
    </row>
    <row r="34" spans="2:10" s="3" customFormat="1" ht="17.25">
      <c r="B34" s="255" t="s">
        <v>73</v>
      </c>
      <c r="C34" s="202"/>
      <c r="D34" s="203"/>
      <c r="E34" s="201" t="s">
        <v>71</v>
      </c>
      <c r="F34" s="198"/>
      <c r="G34" s="157">
        <v>2</v>
      </c>
      <c r="H34" s="147" t="s">
        <v>39</v>
      </c>
      <c r="I34" s="248">
        <v>30000</v>
      </c>
      <c r="J34" s="127">
        <f>I34*G34</f>
        <v>60000</v>
      </c>
    </row>
    <row r="35" spans="2:10" s="3" customFormat="1" ht="17.25">
      <c r="B35" s="244" t="s">
        <v>74</v>
      </c>
      <c r="C35" s="162"/>
      <c r="D35" s="195"/>
      <c r="E35" s="201" t="s">
        <v>71</v>
      </c>
      <c r="F35" s="199"/>
      <c r="G35" s="158">
        <v>5</v>
      </c>
      <c r="H35" s="149" t="s">
        <v>39</v>
      </c>
      <c r="I35" s="249">
        <v>30000</v>
      </c>
      <c r="J35" s="128">
        <f>I35*G35</f>
        <v>150000</v>
      </c>
    </row>
    <row r="36" spans="2:10" s="3" customFormat="1" ht="17.25">
      <c r="B36" s="244" t="s">
        <v>111</v>
      </c>
      <c r="C36" s="162"/>
      <c r="D36" s="195"/>
      <c r="E36" s="201" t="s">
        <v>71</v>
      </c>
      <c r="F36" s="199"/>
      <c r="G36" s="158">
        <v>2</v>
      </c>
      <c r="H36" s="149" t="s">
        <v>39</v>
      </c>
      <c r="I36" s="249">
        <v>40000</v>
      </c>
      <c r="J36" s="128">
        <f>I36*G36</f>
        <v>80000</v>
      </c>
    </row>
    <row r="37" spans="2:10" s="3" customFormat="1" ht="17.25">
      <c r="B37" s="244" t="s">
        <v>66</v>
      </c>
      <c r="C37" s="175"/>
      <c r="D37" s="176"/>
      <c r="E37" s="201" t="s">
        <v>112</v>
      </c>
      <c r="F37" s="199"/>
      <c r="G37" s="158">
        <f>E14</f>
        <v>11000</v>
      </c>
      <c r="H37" s="149" t="s">
        <v>40</v>
      </c>
      <c r="I37" s="249">
        <v>10</v>
      </c>
      <c r="J37" s="257">
        <f>I37*G37</f>
        <v>110000</v>
      </c>
    </row>
    <row r="38" spans="2:12" ht="15.75" customHeight="1">
      <c r="B38" s="254" t="s">
        <v>10</v>
      </c>
      <c r="C38" s="211"/>
      <c r="D38" s="211"/>
      <c r="E38" s="211"/>
      <c r="F38" s="211"/>
      <c r="G38" s="211"/>
      <c r="H38" s="211"/>
      <c r="I38" s="211"/>
      <c r="J38" s="124">
        <f>SUM(J34:J37)</f>
        <v>400000</v>
      </c>
      <c r="K38" s="3"/>
      <c r="L38" s="16"/>
    </row>
    <row r="39" spans="2:12" s="3" customFormat="1" ht="17.25">
      <c r="B39" s="84"/>
      <c r="C39" s="84"/>
      <c r="D39" s="84"/>
      <c r="E39" s="84"/>
      <c r="F39" s="84"/>
      <c r="G39" s="25"/>
      <c r="H39" s="84"/>
      <c r="I39" s="84"/>
      <c r="J39" s="27"/>
      <c r="L39" s="19"/>
    </row>
    <row r="40" spans="2:12" s="3" customFormat="1" ht="18" customHeight="1">
      <c r="B40" s="206" t="s">
        <v>140</v>
      </c>
      <c r="C40" s="207"/>
      <c r="D40" s="207"/>
      <c r="E40" s="220" t="s">
        <v>35</v>
      </c>
      <c r="F40" s="220"/>
      <c r="G40" s="143" t="s">
        <v>5</v>
      </c>
      <c r="H40" s="144" t="s">
        <v>6</v>
      </c>
      <c r="I40" s="145" t="s">
        <v>43</v>
      </c>
      <c r="J40" s="146" t="s">
        <v>1</v>
      </c>
      <c r="L40" s="24"/>
    </row>
    <row r="41" spans="2:12" s="3" customFormat="1" ht="17.25">
      <c r="B41" s="235" t="s">
        <v>24</v>
      </c>
      <c r="C41" s="167"/>
      <c r="D41" s="167"/>
      <c r="E41" s="221"/>
      <c r="F41" s="222"/>
      <c r="G41" s="173"/>
      <c r="H41" s="152"/>
      <c r="I41" s="127"/>
      <c r="J41" s="127"/>
      <c r="L41" s="24"/>
    </row>
    <row r="42" spans="2:12" s="3" customFormat="1" ht="17.25">
      <c r="B42" s="236" t="s">
        <v>115</v>
      </c>
      <c r="C42" s="166"/>
      <c r="D42" s="166"/>
      <c r="E42" s="223" t="s">
        <v>76</v>
      </c>
      <c r="F42" s="224"/>
      <c r="G42" s="168">
        <v>30</v>
      </c>
      <c r="H42" s="153" t="s">
        <v>40</v>
      </c>
      <c r="I42" s="250">
        <v>700</v>
      </c>
      <c r="J42" s="128">
        <f aca="true" t="shared" si="1" ref="J42:J74">G42*I42</f>
        <v>21000</v>
      </c>
      <c r="L42" s="24"/>
    </row>
    <row r="43" spans="2:12" s="3" customFormat="1" ht="17.25">
      <c r="B43" s="236" t="s">
        <v>116</v>
      </c>
      <c r="C43" s="164"/>
      <c r="D43" s="164"/>
      <c r="E43" s="223" t="s">
        <v>76</v>
      </c>
      <c r="F43" s="224"/>
      <c r="G43" s="156">
        <v>50</v>
      </c>
      <c r="H43" s="151" t="s">
        <v>40</v>
      </c>
      <c r="I43" s="250">
        <v>1327</v>
      </c>
      <c r="J43" s="128">
        <f t="shared" si="1"/>
        <v>66350</v>
      </c>
      <c r="L43" s="24"/>
    </row>
    <row r="44" spans="2:12" s="3" customFormat="1" ht="17.25">
      <c r="B44" s="236" t="s">
        <v>117</v>
      </c>
      <c r="C44" s="136"/>
      <c r="D44" s="136"/>
      <c r="E44" s="223" t="s">
        <v>76</v>
      </c>
      <c r="F44" s="224"/>
      <c r="G44" s="156">
        <v>150</v>
      </c>
      <c r="H44" s="151" t="s">
        <v>40</v>
      </c>
      <c r="I44" s="250">
        <v>350</v>
      </c>
      <c r="J44" s="128">
        <f t="shared" si="1"/>
        <v>52500</v>
      </c>
      <c r="L44" s="24"/>
    </row>
    <row r="45" spans="2:12" s="3" customFormat="1" ht="17.25">
      <c r="B45" s="236" t="s">
        <v>118</v>
      </c>
      <c r="C45" s="136"/>
      <c r="D45" s="136"/>
      <c r="E45" s="223" t="s">
        <v>76</v>
      </c>
      <c r="F45" s="224"/>
      <c r="G45" s="156">
        <v>130</v>
      </c>
      <c r="H45" s="151" t="s">
        <v>40</v>
      </c>
      <c r="I45" s="250">
        <v>320</v>
      </c>
      <c r="J45" s="128">
        <f>G45*I45</f>
        <v>41600</v>
      </c>
      <c r="L45" s="24"/>
    </row>
    <row r="46" spans="2:12" s="3" customFormat="1" ht="17.25">
      <c r="B46" s="236" t="s">
        <v>119</v>
      </c>
      <c r="C46" s="136"/>
      <c r="D46" s="136"/>
      <c r="E46" s="223" t="s">
        <v>76</v>
      </c>
      <c r="F46" s="224"/>
      <c r="G46" s="156">
        <v>240</v>
      </c>
      <c r="H46" s="151" t="s">
        <v>40</v>
      </c>
      <c r="I46" s="250">
        <v>1350</v>
      </c>
      <c r="J46" s="128">
        <f>G46*I46</f>
        <v>324000</v>
      </c>
      <c r="L46" s="24"/>
    </row>
    <row r="47" spans="2:12" s="3" customFormat="1" ht="17.25">
      <c r="B47" s="236" t="s">
        <v>120</v>
      </c>
      <c r="C47" s="136"/>
      <c r="D47" s="136"/>
      <c r="E47" s="223" t="s">
        <v>76</v>
      </c>
      <c r="F47" s="224"/>
      <c r="G47" s="156">
        <v>500</v>
      </c>
      <c r="H47" s="151" t="s">
        <v>40</v>
      </c>
      <c r="I47" s="250">
        <v>300</v>
      </c>
      <c r="J47" s="128">
        <f>G47*I47</f>
        <v>150000</v>
      </c>
      <c r="L47" s="24"/>
    </row>
    <row r="48" spans="2:12" s="3" customFormat="1" ht="17.25">
      <c r="B48" s="236" t="s">
        <v>121</v>
      </c>
      <c r="C48" s="136"/>
      <c r="D48" s="136"/>
      <c r="E48" s="223" t="s">
        <v>76</v>
      </c>
      <c r="F48" s="224"/>
      <c r="G48" s="156">
        <v>56</v>
      </c>
      <c r="H48" s="151" t="s">
        <v>40</v>
      </c>
      <c r="I48" s="250">
        <v>1300</v>
      </c>
      <c r="J48" s="128">
        <f>G48*I48</f>
        <v>72800</v>
      </c>
      <c r="L48" s="24"/>
    </row>
    <row r="49" spans="2:12" s="3" customFormat="1" ht="17.25">
      <c r="B49" s="161" t="s">
        <v>122</v>
      </c>
      <c r="C49" s="165"/>
      <c r="D49" s="165"/>
      <c r="E49" s="223" t="s">
        <v>76</v>
      </c>
      <c r="F49" s="224"/>
      <c r="G49" s="156">
        <v>200</v>
      </c>
      <c r="H49" s="151" t="s">
        <v>40</v>
      </c>
      <c r="I49" s="250">
        <v>600</v>
      </c>
      <c r="J49" s="128">
        <f t="shared" si="1"/>
        <v>120000</v>
      </c>
      <c r="L49" s="24"/>
    </row>
    <row r="50" spans="2:12" s="3" customFormat="1" ht="17.25">
      <c r="B50" s="161" t="s">
        <v>123</v>
      </c>
      <c r="C50" s="165"/>
      <c r="D50" s="165"/>
      <c r="E50" s="223" t="s">
        <v>76</v>
      </c>
      <c r="F50" s="224"/>
      <c r="G50" s="156">
        <v>80</v>
      </c>
      <c r="H50" s="151" t="s">
        <v>40</v>
      </c>
      <c r="I50" s="250">
        <v>1500</v>
      </c>
      <c r="J50" s="128">
        <f>G50*I50</f>
        <v>120000</v>
      </c>
      <c r="L50" s="24"/>
    </row>
    <row r="51" spans="2:12" s="3" customFormat="1" ht="17.25">
      <c r="B51" s="161" t="s">
        <v>124</v>
      </c>
      <c r="C51" s="26"/>
      <c r="D51" s="160"/>
      <c r="E51" s="223" t="s">
        <v>76</v>
      </c>
      <c r="F51" s="224"/>
      <c r="G51" s="156">
        <v>130</v>
      </c>
      <c r="H51" s="151" t="s">
        <v>40</v>
      </c>
      <c r="I51" s="250">
        <v>800</v>
      </c>
      <c r="J51" s="128">
        <f t="shared" si="1"/>
        <v>104000</v>
      </c>
      <c r="L51" s="24"/>
    </row>
    <row r="52" spans="2:12" s="3" customFormat="1" ht="17.25">
      <c r="B52" s="236" t="s">
        <v>125</v>
      </c>
      <c r="C52" s="26"/>
      <c r="D52" s="242"/>
      <c r="E52" s="223" t="s">
        <v>76</v>
      </c>
      <c r="F52" s="224"/>
      <c r="G52" s="156">
        <v>10</v>
      </c>
      <c r="H52" s="151" t="s">
        <v>113</v>
      </c>
      <c r="I52" s="250">
        <v>40000</v>
      </c>
      <c r="J52" s="128">
        <f t="shared" si="1"/>
        <v>400000</v>
      </c>
      <c r="L52" s="24"/>
    </row>
    <row r="53" spans="2:12" s="3" customFormat="1" ht="17.25">
      <c r="B53" s="236"/>
      <c r="C53" s="26"/>
      <c r="D53" s="243"/>
      <c r="E53" s="223"/>
      <c r="F53" s="224"/>
      <c r="G53" s="156"/>
      <c r="H53" s="151"/>
      <c r="I53" s="250"/>
      <c r="J53" s="128"/>
      <c r="L53" s="24"/>
    </row>
    <row r="54" spans="2:12" s="3" customFormat="1" ht="17.25">
      <c r="B54" s="159" t="s">
        <v>53</v>
      </c>
      <c r="C54" s="26"/>
      <c r="D54" s="172"/>
      <c r="E54" s="223"/>
      <c r="F54" s="224"/>
      <c r="G54" s="156"/>
      <c r="H54" s="151"/>
      <c r="I54" s="250"/>
      <c r="J54" s="128"/>
      <c r="L54" s="24"/>
    </row>
    <row r="55" spans="2:12" s="3" customFormat="1" ht="17.25">
      <c r="B55" s="244" t="s">
        <v>126</v>
      </c>
      <c r="C55" s="165"/>
      <c r="D55" s="165"/>
      <c r="E55" s="223" t="s">
        <v>97</v>
      </c>
      <c r="F55" s="224"/>
      <c r="G55" s="156">
        <v>5</v>
      </c>
      <c r="H55" s="151" t="s">
        <v>41</v>
      </c>
      <c r="I55" s="250">
        <v>6800</v>
      </c>
      <c r="J55" s="128">
        <f t="shared" si="1"/>
        <v>34000</v>
      </c>
      <c r="L55" s="24"/>
    </row>
    <row r="56" spans="2:12" s="3" customFormat="1" ht="17.25">
      <c r="B56" s="244"/>
      <c r="C56" s="165"/>
      <c r="D56" s="165"/>
      <c r="E56" s="223"/>
      <c r="F56" s="224"/>
      <c r="G56" s="156"/>
      <c r="H56" s="151"/>
      <c r="I56" s="250"/>
      <c r="J56" s="128"/>
      <c r="L56" s="24"/>
    </row>
    <row r="57" spans="2:12" s="3" customFormat="1" ht="17.25">
      <c r="B57" s="245" t="s">
        <v>54</v>
      </c>
      <c r="C57" s="162"/>
      <c r="D57" s="162"/>
      <c r="E57" s="223"/>
      <c r="F57" s="224"/>
      <c r="G57" s="168"/>
      <c r="H57" s="153"/>
      <c r="I57" s="250"/>
      <c r="J57" s="128"/>
      <c r="L57" s="24"/>
    </row>
    <row r="58" spans="2:12" s="3" customFormat="1" ht="17.25">
      <c r="B58" s="237" t="s">
        <v>127</v>
      </c>
      <c r="C58" s="160"/>
      <c r="D58" s="169"/>
      <c r="E58" s="223" t="s">
        <v>77</v>
      </c>
      <c r="F58" s="224"/>
      <c r="G58" s="168">
        <v>8</v>
      </c>
      <c r="H58" s="153" t="s">
        <v>41</v>
      </c>
      <c r="I58" s="250">
        <v>3421</v>
      </c>
      <c r="J58" s="128">
        <f t="shared" si="1"/>
        <v>27368</v>
      </c>
      <c r="L58" s="24"/>
    </row>
    <row r="59" spans="2:12" s="3" customFormat="1" ht="17.25">
      <c r="B59" s="237" t="s">
        <v>128</v>
      </c>
      <c r="C59" s="233"/>
      <c r="D59" s="233"/>
      <c r="E59" s="223" t="s">
        <v>78</v>
      </c>
      <c r="F59" s="224"/>
      <c r="G59" s="168">
        <v>1</v>
      </c>
      <c r="H59" s="153" t="s">
        <v>41</v>
      </c>
      <c r="I59" s="250">
        <v>30400</v>
      </c>
      <c r="J59" s="128">
        <f t="shared" si="1"/>
        <v>30400</v>
      </c>
      <c r="L59" s="24"/>
    </row>
    <row r="60" spans="2:12" s="3" customFormat="1" ht="17.25">
      <c r="B60" s="237" t="s">
        <v>129</v>
      </c>
      <c r="C60" s="233"/>
      <c r="D60" s="233"/>
      <c r="E60" s="223" t="s">
        <v>96</v>
      </c>
      <c r="F60" s="224"/>
      <c r="G60" s="168">
        <v>5</v>
      </c>
      <c r="H60" s="153" t="s">
        <v>41</v>
      </c>
      <c r="I60" s="250">
        <v>12210</v>
      </c>
      <c r="J60" s="128">
        <f t="shared" si="1"/>
        <v>61050</v>
      </c>
      <c r="L60" s="24"/>
    </row>
    <row r="61" spans="2:12" s="3" customFormat="1" ht="17.25">
      <c r="B61" s="237"/>
      <c r="C61" s="243"/>
      <c r="D61" s="243"/>
      <c r="E61" s="223"/>
      <c r="F61" s="224"/>
      <c r="G61" s="168"/>
      <c r="H61" s="153"/>
      <c r="I61" s="250"/>
      <c r="J61" s="128"/>
      <c r="L61" s="24"/>
    </row>
    <row r="62" spans="2:12" s="3" customFormat="1" ht="17.25">
      <c r="B62" s="159" t="s">
        <v>25</v>
      </c>
      <c r="C62" s="233"/>
      <c r="D62" s="233"/>
      <c r="E62" s="223"/>
      <c r="F62" s="224"/>
      <c r="G62" s="168"/>
      <c r="H62" s="153"/>
      <c r="I62" s="250"/>
      <c r="J62" s="128"/>
      <c r="L62" s="24"/>
    </row>
    <row r="63" spans="2:12" s="3" customFormat="1" ht="17.25">
      <c r="B63" s="236" t="s">
        <v>130</v>
      </c>
      <c r="C63" s="233"/>
      <c r="D63" s="233"/>
      <c r="E63" s="223" t="s">
        <v>79</v>
      </c>
      <c r="F63" s="224"/>
      <c r="G63" s="168">
        <v>40</v>
      </c>
      <c r="H63" s="153" t="s">
        <v>41</v>
      </c>
      <c r="I63" s="250">
        <v>1440</v>
      </c>
      <c r="J63" s="128">
        <f t="shared" si="1"/>
        <v>57600</v>
      </c>
      <c r="L63" s="24"/>
    </row>
    <row r="64" spans="2:12" s="3" customFormat="1" ht="17.25">
      <c r="B64" s="236" t="s">
        <v>131</v>
      </c>
      <c r="C64" s="233"/>
      <c r="D64" s="233"/>
      <c r="E64" s="223" t="s">
        <v>95</v>
      </c>
      <c r="F64" s="224"/>
      <c r="G64" s="168">
        <v>3</v>
      </c>
      <c r="H64" s="153" t="s">
        <v>41</v>
      </c>
      <c r="I64" s="250">
        <v>13480</v>
      </c>
      <c r="J64" s="128">
        <f t="shared" si="1"/>
        <v>40440</v>
      </c>
      <c r="L64" s="24"/>
    </row>
    <row r="65" spans="2:12" s="3" customFormat="1" ht="17.25">
      <c r="B65" s="237"/>
      <c r="C65" s="238"/>
      <c r="D65" s="238"/>
      <c r="E65" s="223"/>
      <c r="F65" s="224"/>
      <c r="G65" s="168"/>
      <c r="H65" s="153"/>
      <c r="I65" s="250"/>
      <c r="J65" s="128"/>
      <c r="L65" s="24"/>
    </row>
    <row r="66" spans="2:12" s="3" customFormat="1" ht="17.25">
      <c r="B66" s="159" t="s">
        <v>98</v>
      </c>
      <c r="C66" s="131"/>
      <c r="D66" s="238"/>
      <c r="E66" s="223"/>
      <c r="F66" s="224"/>
      <c r="G66" s="168"/>
      <c r="H66" s="153"/>
      <c r="I66" s="250"/>
      <c r="J66" s="128"/>
      <c r="L66" s="24"/>
    </row>
    <row r="67" spans="2:12" s="3" customFormat="1" ht="17.25">
      <c r="B67" s="237" t="s">
        <v>132</v>
      </c>
      <c r="C67" s="242"/>
      <c r="D67" s="242"/>
      <c r="E67" s="223" t="s">
        <v>56</v>
      </c>
      <c r="F67" s="224"/>
      <c r="G67" s="168">
        <v>2</v>
      </c>
      <c r="H67" s="153" t="s">
        <v>41</v>
      </c>
      <c r="I67" s="250">
        <v>127300</v>
      </c>
      <c r="J67" s="128">
        <f>G67*I67</f>
        <v>254600</v>
      </c>
      <c r="L67" s="24"/>
    </row>
    <row r="68" spans="2:12" s="3" customFormat="1" ht="17.25">
      <c r="B68" s="237"/>
      <c r="C68" s="238"/>
      <c r="D68" s="238"/>
      <c r="E68" s="223"/>
      <c r="F68" s="224"/>
      <c r="G68" s="168"/>
      <c r="H68" s="153"/>
      <c r="I68" s="250"/>
      <c r="J68" s="128"/>
      <c r="L68" s="24"/>
    </row>
    <row r="69" spans="2:12" s="3" customFormat="1" ht="17.25">
      <c r="B69" s="159" t="s">
        <v>75</v>
      </c>
      <c r="C69" s="233"/>
      <c r="D69" s="233"/>
      <c r="E69" s="223"/>
      <c r="F69" s="224"/>
      <c r="G69" s="168"/>
      <c r="H69" s="153"/>
      <c r="I69" s="250"/>
      <c r="J69" s="128"/>
      <c r="L69" s="24"/>
    </row>
    <row r="70" spans="2:12" s="3" customFormat="1" ht="17.25">
      <c r="B70" s="237" t="s">
        <v>133</v>
      </c>
      <c r="C70" s="233"/>
      <c r="D70" s="233"/>
      <c r="E70" s="223" t="s">
        <v>69</v>
      </c>
      <c r="F70" s="224"/>
      <c r="G70" s="168">
        <v>1</v>
      </c>
      <c r="H70" s="153" t="s">
        <v>39</v>
      </c>
      <c r="I70" s="250">
        <v>550000</v>
      </c>
      <c r="J70" s="128">
        <f t="shared" si="1"/>
        <v>550000</v>
      </c>
      <c r="L70" s="24"/>
    </row>
    <row r="71" spans="2:12" s="3" customFormat="1" ht="17.25">
      <c r="B71" s="237" t="s">
        <v>134</v>
      </c>
      <c r="C71" s="233"/>
      <c r="D71" s="233"/>
      <c r="E71" s="223" t="s">
        <v>69</v>
      </c>
      <c r="F71" s="224"/>
      <c r="G71" s="168">
        <v>8</v>
      </c>
      <c r="H71" s="153" t="s">
        <v>38</v>
      </c>
      <c r="I71" s="250">
        <v>80000</v>
      </c>
      <c r="J71" s="128">
        <f t="shared" si="1"/>
        <v>640000</v>
      </c>
      <c r="L71" s="24"/>
    </row>
    <row r="72" spans="2:12" s="3" customFormat="1" ht="19.5">
      <c r="B72" s="237" t="s">
        <v>141</v>
      </c>
      <c r="C72" s="233"/>
      <c r="D72" s="233"/>
      <c r="E72" s="223" t="s">
        <v>80</v>
      </c>
      <c r="F72" s="224"/>
      <c r="G72" s="168">
        <v>1</v>
      </c>
      <c r="H72" s="153" t="s">
        <v>38</v>
      </c>
      <c r="I72" s="250">
        <v>30000</v>
      </c>
      <c r="J72" s="128">
        <f t="shared" si="1"/>
        <v>30000</v>
      </c>
      <c r="L72" s="24"/>
    </row>
    <row r="73" spans="2:12" s="3" customFormat="1" ht="17.25">
      <c r="B73" s="237" t="s">
        <v>135</v>
      </c>
      <c r="C73" s="233"/>
      <c r="D73" s="233"/>
      <c r="E73" s="223" t="s">
        <v>70</v>
      </c>
      <c r="F73" s="224"/>
      <c r="G73" s="168">
        <v>3</v>
      </c>
      <c r="H73" s="153" t="s">
        <v>41</v>
      </c>
      <c r="I73" s="250">
        <v>21200</v>
      </c>
      <c r="J73" s="128">
        <f t="shared" si="1"/>
        <v>63600</v>
      </c>
      <c r="L73" s="24"/>
    </row>
    <row r="74" spans="2:12" s="3" customFormat="1" ht="17.25">
      <c r="B74" s="237" t="s">
        <v>136</v>
      </c>
      <c r="C74" s="233"/>
      <c r="D74" s="233"/>
      <c r="E74" s="223" t="s">
        <v>56</v>
      </c>
      <c r="F74" s="224"/>
      <c r="G74" s="168">
        <v>12</v>
      </c>
      <c r="H74" s="153" t="s">
        <v>38</v>
      </c>
      <c r="I74" s="250">
        <v>18000</v>
      </c>
      <c r="J74" s="128">
        <f t="shared" si="1"/>
        <v>216000</v>
      </c>
      <c r="L74" s="24"/>
    </row>
    <row r="75" spans="2:14" ht="17.25">
      <c r="B75" s="204" t="s">
        <v>11</v>
      </c>
      <c r="C75" s="205"/>
      <c r="D75" s="205"/>
      <c r="E75" s="205"/>
      <c r="F75" s="205"/>
      <c r="G75" s="205"/>
      <c r="H75" s="205"/>
      <c r="I75" s="205"/>
      <c r="J75" s="125">
        <f>SUM(J41:J74)</f>
        <v>3477308</v>
      </c>
      <c r="K75" s="16"/>
      <c r="M75" s="16"/>
      <c r="N75" s="16"/>
    </row>
    <row r="76" spans="2:14" s="3" customFormat="1" ht="17.25">
      <c r="B76" s="29"/>
      <c r="C76" s="29"/>
      <c r="D76" s="29"/>
      <c r="E76" s="29"/>
      <c r="F76" s="29"/>
      <c r="G76" s="30"/>
      <c r="H76" s="29"/>
      <c r="I76" s="29"/>
      <c r="J76" s="31"/>
      <c r="K76" s="16"/>
      <c r="M76" s="16"/>
      <c r="N76" s="16"/>
    </row>
    <row r="77" spans="2:16" ht="18" customHeight="1">
      <c r="B77" s="206" t="s">
        <v>44</v>
      </c>
      <c r="C77" s="207"/>
      <c r="D77" s="207"/>
      <c r="E77" s="218"/>
      <c r="F77" s="218"/>
      <c r="G77" s="143" t="s">
        <v>5</v>
      </c>
      <c r="H77" s="144" t="s">
        <v>6</v>
      </c>
      <c r="I77" s="145"/>
      <c r="J77" s="146" t="s">
        <v>1</v>
      </c>
      <c r="K77" s="16"/>
      <c r="M77" s="16"/>
      <c r="N77" s="16"/>
      <c r="O77" s="9"/>
      <c r="P77" s="9"/>
    </row>
    <row r="78" spans="2:14" s="3" customFormat="1" ht="17.25">
      <c r="B78" s="228" t="s">
        <v>52</v>
      </c>
      <c r="C78" s="229"/>
      <c r="D78" s="230"/>
      <c r="E78" s="306" t="s">
        <v>95</v>
      </c>
      <c r="F78" s="307"/>
      <c r="G78" s="234">
        <v>0.05</v>
      </c>
      <c r="H78" s="231" t="s">
        <v>36</v>
      </c>
      <c r="I78" s="232"/>
      <c r="J78" s="232">
        <f>(J31+J38+J75)*G78</f>
        <v>335365.4</v>
      </c>
      <c r="K78" s="16"/>
      <c r="M78" s="16"/>
      <c r="N78" s="16"/>
    </row>
    <row r="79" spans="11:14" s="3" customFormat="1" ht="17.25">
      <c r="K79" s="16"/>
      <c r="M79" s="16"/>
      <c r="N79" s="16"/>
    </row>
    <row r="80" spans="2:14" s="3" customFormat="1" ht="17.25">
      <c r="B80" s="208" t="s">
        <v>45</v>
      </c>
      <c r="C80" s="209"/>
      <c r="D80" s="209"/>
      <c r="E80" s="209"/>
      <c r="F80" s="209"/>
      <c r="G80" s="209"/>
      <c r="H80" s="209"/>
      <c r="I80" s="209"/>
      <c r="J80" s="104">
        <f>J31+J38+J75+J78</f>
        <v>7042673.4</v>
      </c>
      <c r="K80" s="16"/>
      <c r="M80" s="16"/>
      <c r="N80" s="16"/>
    </row>
    <row r="81" spans="2:14" s="3" customFormat="1" ht="17.25">
      <c r="B81" s="131"/>
      <c r="C81" s="131"/>
      <c r="D81" s="131"/>
      <c r="E81" s="131"/>
      <c r="F81" s="131"/>
      <c r="G81" s="32"/>
      <c r="H81" s="131"/>
      <c r="I81" s="131"/>
      <c r="J81" s="27"/>
      <c r="K81" s="16"/>
      <c r="M81" s="16"/>
      <c r="N81" s="16"/>
    </row>
    <row r="82" spans="2:14" s="3" customFormat="1" ht="21">
      <c r="B82" s="120" t="s">
        <v>47</v>
      </c>
      <c r="C82" s="119"/>
      <c r="D82" s="119"/>
      <c r="E82" s="20"/>
      <c r="F82" s="20"/>
      <c r="G82" s="21"/>
      <c r="H82" s="22"/>
      <c r="I82" s="23"/>
      <c r="J82" s="23"/>
      <c r="K82" s="16"/>
      <c r="M82" s="16"/>
      <c r="N82" s="16"/>
    </row>
    <row r="83" spans="2:14" s="3" customFormat="1" ht="18" customHeight="1">
      <c r="B83" s="225" t="s">
        <v>31</v>
      </c>
      <c r="C83" s="218"/>
      <c r="D83" s="218"/>
      <c r="E83" s="218"/>
      <c r="F83" s="218"/>
      <c r="G83" s="143" t="s">
        <v>5</v>
      </c>
      <c r="H83" s="144" t="s">
        <v>6</v>
      </c>
      <c r="I83" s="145"/>
      <c r="J83" s="146" t="s">
        <v>1</v>
      </c>
      <c r="K83" s="16"/>
      <c r="M83" s="16"/>
      <c r="N83" s="16"/>
    </row>
    <row r="84" spans="2:15" s="3" customFormat="1" ht="18" customHeight="1">
      <c r="B84" s="256" t="s">
        <v>142</v>
      </c>
      <c r="C84" s="188"/>
      <c r="D84" s="188"/>
      <c r="E84" s="308" t="s">
        <v>95</v>
      </c>
      <c r="F84" s="309"/>
      <c r="G84" s="170">
        <f>E17</f>
        <v>0.015</v>
      </c>
      <c r="H84" s="171" t="s">
        <v>36</v>
      </c>
      <c r="I84" s="190"/>
      <c r="J84" s="11">
        <f>J80*E17*E18*0.5</f>
        <v>633840.6059999999</v>
      </c>
      <c r="K84" s="16"/>
      <c r="L84" s="284"/>
      <c r="M84" s="284"/>
      <c r="N84" s="284"/>
      <c r="O84" s="284"/>
    </row>
    <row r="85" spans="2:18" ht="18" customHeight="1" outlineLevel="1">
      <c r="B85" s="161" t="s">
        <v>57</v>
      </c>
      <c r="C85" s="162"/>
      <c r="D85" s="162"/>
      <c r="E85" s="186"/>
      <c r="F85" s="180"/>
      <c r="G85" s="181"/>
      <c r="H85" s="188"/>
      <c r="I85" s="191"/>
      <c r="J85" s="182"/>
      <c r="L85"/>
      <c r="M85"/>
      <c r="N85"/>
      <c r="O85"/>
      <c r="P85"/>
      <c r="Q85"/>
      <c r="R85"/>
    </row>
    <row r="86" spans="2:18" ht="18" customHeight="1" outlineLevel="1">
      <c r="B86" s="161" t="s">
        <v>58</v>
      </c>
      <c r="C86" s="162"/>
      <c r="D86" s="162"/>
      <c r="E86" s="186"/>
      <c r="F86" s="180"/>
      <c r="G86" s="181"/>
      <c r="H86" s="188"/>
      <c r="I86" s="191"/>
      <c r="J86" s="182"/>
      <c r="L86"/>
      <c r="M86"/>
      <c r="N86"/>
      <c r="O86"/>
      <c r="P86"/>
      <c r="Q86"/>
      <c r="R86"/>
    </row>
    <row r="87" spans="2:18" ht="18" customHeight="1" outlineLevel="1">
      <c r="B87" s="82" t="s">
        <v>59</v>
      </c>
      <c r="C87" s="129"/>
      <c r="D87" s="129"/>
      <c r="E87" s="187"/>
      <c r="F87" s="183"/>
      <c r="G87" s="184"/>
      <c r="H87" s="189"/>
      <c r="I87" s="192"/>
      <c r="J87" s="185"/>
      <c r="L87"/>
      <c r="M87"/>
      <c r="N87"/>
      <c r="O87"/>
      <c r="P87"/>
      <c r="Q87"/>
      <c r="R87"/>
    </row>
    <row r="88" spans="2:14" ht="17.25">
      <c r="B88" s="210" t="s">
        <v>28</v>
      </c>
      <c r="C88" s="211"/>
      <c r="D88" s="211"/>
      <c r="E88" s="211"/>
      <c r="F88" s="211"/>
      <c r="G88" s="211"/>
      <c r="H88" s="211"/>
      <c r="I88" s="211"/>
      <c r="J88" s="104">
        <f>SUM(J84:J87)</f>
        <v>633840.6059999999</v>
      </c>
      <c r="K88" s="16"/>
      <c r="M88" s="16"/>
      <c r="N88" s="16"/>
    </row>
    <row r="89" spans="2:12" s="3" customFormat="1" ht="17.25">
      <c r="B89" s="84"/>
      <c r="C89" s="84"/>
      <c r="D89" s="84"/>
      <c r="E89" s="84"/>
      <c r="F89" s="84"/>
      <c r="G89" s="25"/>
      <c r="H89" s="84"/>
      <c r="I89" s="84"/>
      <c r="J89" s="27"/>
      <c r="K89" s="16"/>
      <c r="L89" s="16"/>
    </row>
    <row r="90" spans="2:12" ht="17.25">
      <c r="B90" s="212" t="s">
        <v>13</v>
      </c>
      <c r="C90" s="213"/>
      <c r="D90" s="213"/>
      <c r="E90" s="213"/>
      <c r="F90" s="213"/>
      <c r="G90" s="213"/>
      <c r="H90" s="213"/>
      <c r="I90" s="213"/>
      <c r="J90" s="216">
        <f>J80+J88</f>
        <v>7676514.006</v>
      </c>
      <c r="K90" s="16"/>
      <c r="L90" s="16"/>
    </row>
    <row r="91" spans="2:12" s="3" customFormat="1" ht="17.25">
      <c r="B91" s="214"/>
      <c r="C91" s="215"/>
      <c r="D91" s="215"/>
      <c r="E91" s="215"/>
      <c r="F91" s="215"/>
      <c r="G91" s="215"/>
      <c r="H91" s="215"/>
      <c r="I91" s="215"/>
      <c r="J91" s="217"/>
      <c r="K91" s="16"/>
      <c r="L91" s="16"/>
    </row>
    <row r="92" spans="2:12" s="3" customFormat="1" ht="18" customHeight="1">
      <c r="B92" s="134"/>
      <c r="C92" s="134"/>
      <c r="D92" s="134"/>
      <c r="E92" s="134"/>
      <c r="F92" s="134"/>
      <c r="G92" s="134"/>
      <c r="H92" s="134"/>
      <c r="I92" s="134"/>
      <c r="J92" s="135"/>
      <c r="K92" s="16"/>
      <c r="L92" s="16"/>
    </row>
    <row r="93" spans="2:12" s="3" customFormat="1" ht="18" customHeight="1">
      <c r="B93" s="134"/>
      <c r="C93" s="134"/>
      <c r="D93" s="134"/>
      <c r="E93" s="134"/>
      <c r="F93" s="134"/>
      <c r="G93" s="134"/>
      <c r="H93" s="134"/>
      <c r="I93" s="134"/>
      <c r="J93" s="135"/>
      <c r="K93" s="16"/>
      <c r="L93" s="16"/>
    </row>
    <row r="94" spans="2:12" s="3" customFormat="1" ht="18" customHeight="1">
      <c r="B94" s="134"/>
      <c r="C94" s="134"/>
      <c r="D94" s="134"/>
      <c r="E94" s="134"/>
      <c r="F94" s="134"/>
      <c r="G94" s="134"/>
      <c r="H94" s="134"/>
      <c r="I94" s="134"/>
      <c r="J94" s="135"/>
      <c r="K94" s="16"/>
      <c r="L94" s="16"/>
    </row>
    <row r="95" spans="2:12" ht="18" customHeight="1">
      <c r="B95" s="295" t="s">
        <v>143</v>
      </c>
      <c r="C95" s="296"/>
      <c r="D95" s="296"/>
      <c r="E95" s="296"/>
      <c r="F95" s="296"/>
      <c r="G95" s="296"/>
      <c r="H95" s="296"/>
      <c r="I95" s="296"/>
      <c r="J95" s="297"/>
      <c r="K95" s="16"/>
      <c r="L95" s="24"/>
    </row>
    <row r="96" spans="2:12" ht="18" customHeight="1">
      <c r="B96" s="264" t="s">
        <v>42</v>
      </c>
      <c r="C96" s="265"/>
      <c r="D96" s="265"/>
      <c r="E96" s="265"/>
      <c r="F96" s="265"/>
      <c r="G96" s="265"/>
      <c r="H96" s="265"/>
      <c r="I96" s="265"/>
      <c r="J96" s="266"/>
      <c r="K96" s="16"/>
      <c r="L96" s="24"/>
    </row>
    <row r="97" spans="2:12" s="3" customFormat="1" ht="18" customHeight="1">
      <c r="B97" s="316" t="s">
        <v>81</v>
      </c>
      <c r="C97" s="317"/>
      <c r="D97" s="318"/>
      <c r="E97" s="269" t="s">
        <v>84</v>
      </c>
      <c r="F97" s="270"/>
      <c r="G97" s="270"/>
      <c r="H97" s="270"/>
      <c r="I97" s="270"/>
      <c r="J97" s="271"/>
      <c r="K97" s="16"/>
      <c r="L97" s="24"/>
    </row>
    <row r="98" spans="2:12" s="3" customFormat="1" ht="18" customHeight="1">
      <c r="B98" s="319"/>
      <c r="C98" s="320"/>
      <c r="D98" s="321"/>
      <c r="E98" s="298">
        <f>G98*0.9</f>
        <v>945</v>
      </c>
      <c r="F98" s="299"/>
      <c r="G98" s="300">
        <f>E15</f>
        <v>1050</v>
      </c>
      <c r="H98" s="301"/>
      <c r="I98" s="298">
        <f>G98*1.1</f>
        <v>1155</v>
      </c>
      <c r="J98" s="299"/>
      <c r="K98" s="16"/>
      <c r="L98" s="24"/>
    </row>
    <row r="99" spans="2:12" s="3" customFormat="1" ht="18" customHeight="1">
      <c r="B99" s="298">
        <f>+B100*0.9</f>
        <v>9900</v>
      </c>
      <c r="C99" s="322"/>
      <c r="D99" s="299"/>
      <c r="E99" s="267">
        <f>E$98*$B$99-$J$90</f>
        <v>1678985.994</v>
      </c>
      <c r="F99" s="268"/>
      <c r="G99" s="267">
        <f>G$98*$B$99-$J$90</f>
        <v>2718485.994</v>
      </c>
      <c r="H99" s="268"/>
      <c r="I99" s="267">
        <f>I$98*$B$99-$J$90</f>
        <v>3757985.994</v>
      </c>
      <c r="J99" s="268"/>
      <c r="K99" s="16"/>
      <c r="L99" s="24"/>
    </row>
    <row r="100" spans="2:12" s="3" customFormat="1" ht="18" customHeight="1">
      <c r="B100" s="298">
        <f>+E14</f>
        <v>11000</v>
      </c>
      <c r="C100" s="322"/>
      <c r="D100" s="299"/>
      <c r="E100" s="267">
        <f>E$98*$B$100-$J$90</f>
        <v>2718485.994</v>
      </c>
      <c r="F100" s="268"/>
      <c r="G100" s="267">
        <f>G$98*$B$100-$J$90</f>
        <v>3873485.994</v>
      </c>
      <c r="H100" s="268"/>
      <c r="I100" s="267">
        <f>I$98*$B$100-$J$90</f>
        <v>5028485.994</v>
      </c>
      <c r="J100" s="268"/>
      <c r="K100" s="16"/>
      <c r="L100" s="24"/>
    </row>
    <row r="101" spans="2:12" s="3" customFormat="1" ht="18" customHeight="1">
      <c r="B101" s="298">
        <f>+B100*1.1</f>
        <v>12100.000000000002</v>
      </c>
      <c r="C101" s="322"/>
      <c r="D101" s="299"/>
      <c r="E101" s="267">
        <f>E$98*$B$101-$J$90</f>
        <v>3757985.994000002</v>
      </c>
      <c r="F101" s="268"/>
      <c r="G101" s="267">
        <f>G$98*$B$101-$J$90</f>
        <v>5028485.994000002</v>
      </c>
      <c r="H101" s="268"/>
      <c r="I101" s="267">
        <f>I$98*$B$101-$J$90</f>
        <v>6298985.994000002</v>
      </c>
      <c r="J101" s="268"/>
      <c r="K101" s="16"/>
      <c r="L101" s="24"/>
    </row>
    <row r="102" spans="2:12" s="3" customFormat="1" ht="18" customHeight="1">
      <c r="B102" s="34"/>
      <c r="C102" s="34"/>
      <c r="D102" s="35"/>
      <c r="E102" s="35"/>
      <c r="F102" s="35"/>
      <c r="G102" s="36"/>
      <c r="H102" s="12"/>
      <c r="I102" s="15"/>
      <c r="J102" s="15"/>
      <c r="K102" s="16"/>
      <c r="L102" s="24"/>
    </row>
    <row r="103" spans="2:12" s="3" customFormat="1" ht="18" customHeight="1">
      <c r="B103" s="323" t="s">
        <v>144</v>
      </c>
      <c r="C103" s="324"/>
      <c r="D103" s="324"/>
      <c r="E103" s="324"/>
      <c r="F103" s="324"/>
      <c r="G103" s="324"/>
      <c r="H103" s="324"/>
      <c r="I103" s="324"/>
      <c r="J103" s="325"/>
      <c r="K103" s="16"/>
      <c r="L103" s="24"/>
    </row>
    <row r="104" spans="2:12" s="3" customFormat="1" ht="18" customHeight="1">
      <c r="B104" s="326"/>
      <c r="C104" s="327"/>
      <c r="D104" s="327"/>
      <c r="E104" s="327"/>
      <c r="F104" s="327"/>
      <c r="G104" s="327"/>
      <c r="H104" s="327"/>
      <c r="I104" s="327"/>
      <c r="J104" s="328"/>
      <c r="K104" s="16"/>
      <c r="L104" s="24"/>
    </row>
    <row r="105" spans="2:12" s="3" customFormat="1" ht="18" customHeight="1">
      <c r="B105" s="314" t="s">
        <v>81</v>
      </c>
      <c r="C105" s="304"/>
      <c r="D105" s="304"/>
      <c r="E105" s="304">
        <f>B99</f>
        <v>9900</v>
      </c>
      <c r="F105" s="304"/>
      <c r="G105" s="304">
        <f>E14</f>
        <v>11000</v>
      </c>
      <c r="H105" s="304"/>
      <c r="I105" s="304">
        <f>B101</f>
        <v>12100.000000000002</v>
      </c>
      <c r="J105" s="331"/>
      <c r="K105" s="16"/>
      <c r="L105" s="24"/>
    </row>
    <row r="106" spans="2:12" ht="18" customHeight="1">
      <c r="B106" s="315"/>
      <c r="C106" s="305"/>
      <c r="D106" s="305"/>
      <c r="E106" s="305"/>
      <c r="F106" s="305"/>
      <c r="G106" s="305"/>
      <c r="H106" s="305"/>
      <c r="I106" s="305"/>
      <c r="J106" s="332"/>
      <c r="K106" s="16"/>
      <c r="L106" s="24"/>
    </row>
    <row r="107" spans="2:12" ht="18" customHeight="1">
      <c r="B107" s="310" t="s">
        <v>82</v>
      </c>
      <c r="C107" s="311"/>
      <c r="D107" s="311"/>
      <c r="E107" s="302">
        <f>$J$90/E105</f>
        <v>775.4054551515152</v>
      </c>
      <c r="F107" s="302"/>
      <c r="G107" s="302">
        <f>$J$90/G105</f>
        <v>697.8649096363637</v>
      </c>
      <c r="H107" s="302"/>
      <c r="I107" s="302">
        <f>$J$90/I105</f>
        <v>634.4226451239668</v>
      </c>
      <c r="J107" s="329"/>
      <c r="K107" s="16"/>
      <c r="L107" s="24"/>
    </row>
    <row r="108" spans="2:12" ht="18" customHeight="1">
      <c r="B108" s="312"/>
      <c r="C108" s="313"/>
      <c r="D108" s="313"/>
      <c r="E108" s="303"/>
      <c r="F108" s="303"/>
      <c r="G108" s="303"/>
      <c r="H108" s="303"/>
      <c r="I108" s="303"/>
      <c r="J108" s="330"/>
      <c r="K108" s="16"/>
      <c r="L108" s="24"/>
    </row>
    <row r="109" spans="2:12" ht="18" customHeight="1">
      <c r="B109" s="46"/>
      <c r="C109" s="1"/>
      <c r="D109" s="3"/>
      <c r="E109" s="3"/>
      <c r="F109" s="105"/>
      <c r="G109" s="105"/>
      <c r="H109" s="105"/>
      <c r="I109" s="15"/>
      <c r="J109" s="15"/>
      <c r="K109" s="16"/>
      <c r="L109" s="24"/>
    </row>
    <row r="110" spans="2:11" s="3" customFormat="1" ht="18" customHeight="1">
      <c r="B110" s="285" t="s">
        <v>15</v>
      </c>
      <c r="C110" s="286"/>
      <c r="D110" s="286"/>
      <c r="E110" s="286"/>
      <c r="F110" s="286"/>
      <c r="G110" s="286"/>
      <c r="H110" s="286"/>
      <c r="I110" s="286"/>
      <c r="J110" s="287"/>
      <c r="K110" s="80"/>
    </row>
    <row r="111" spans="2:11" s="3" customFormat="1" ht="18" customHeight="1">
      <c r="B111" s="241" t="s">
        <v>85</v>
      </c>
      <c r="C111" s="239"/>
      <c r="D111" s="239"/>
      <c r="E111" s="239"/>
      <c r="F111" s="239"/>
      <c r="G111" s="239"/>
      <c r="H111" s="239"/>
      <c r="I111" s="239"/>
      <c r="J111" s="240"/>
      <c r="K111" s="80"/>
    </row>
    <row r="112" spans="2:14" s="3" customFormat="1" ht="17.25">
      <c r="B112" s="261" t="s">
        <v>100</v>
      </c>
      <c r="C112" s="262"/>
      <c r="D112" s="262"/>
      <c r="E112" s="262"/>
      <c r="F112" s="262"/>
      <c r="G112" s="262"/>
      <c r="H112" s="262"/>
      <c r="I112" s="262"/>
      <c r="J112" s="263"/>
      <c r="K112" s="80"/>
      <c r="N112" s="106"/>
    </row>
    <row r="113" spans="2:11" s="3" customFormat="1" ht="15.75" customHeight="1">
      <c r="B113" s="261" t="s">
        <v>86</v>
      </c>
      <c r="C113" s="262"/>
      <c r="D113" s="262"/>
      <c r="E113" s="262"/>
      <c r="F113" s="262"/>
      <c r="G113" s="262"/>
      <c r="H113" s="262"/>
      <c r="I113" s="262"/>
      <c r="J113" s="263"/>
      <c r="K113" s="81"/>
    </row>
    <row r="114" spans="2:11" s="3" customFormat="1" ht="15.75" customHeight="1">
      <c r="B114" s="261" t="s">
        <v>87</v>
      </c>
      <c r="C114" s="262"/>
      <c r="D114" s="262"/>
      <c r="E114" s="262"/>
      <c r="F114" s="262"/>
      <c r="G114" s="262"/>
      <c r="H114" s="262"/>
      <c r="I114" s="262"/>
      <c r="J114" s="263"/>
      <c r="K114" s="81"/>
    </row>
    <row r="115" spans="2:11" s="3" customFormat="1" ht="30.75" customHeight="1">
      <c r="B115" s="289" t="s">
        <v>88</v>
      </c>
      <c r="C115" s="290"/>
      <c r="D115" s="290"/>
      <c r="E115" s="290"/>
      <c r="F115" s="290"/>
      <c r="G115" s="290"/>
      <c r="H115" s="290"/>
      <c r="I115" s="290"/>
      <c r="J115" s="291"/>
      <c r="K115" s="80"/>
    </row>
    <row r="116" spans="2:11" s="3" customFormat="1" ht="17.25">
      <c r="B116" s="261" t="s">
        <v>89</v>
      </c>
      <c r="C116" s="262"/>
      <c r="D116" s="262"/>
      <c r="E116" s="262"/>
      <c r="F116" s="262"/>
      <c r="G116" s="262"/>
      <c r="H116" s="262"/>
      <c r="I116" s="262"/>
      <c r="J116" s="263"/>
      <c r="K116" s="80"/>
    </row>
    <row r="117" spans="2:11" s="3" customFormat="1" ht="18" customHeight="1">
      <c r="B117" s="261" t="s">
        <v>90</v>
      </c>
      <c r="C117" s="262"/>
      <c r="D117" s="262"/>
      <c r="E117" s="262"/>
      <c r="F117" s="262"/>
      <c r="G117" s="262"/>
      <c r="H117" s="262"/>
      <c r="I117" s="262"/>
      <c r="J117" s="263"/>
      <c r="K117" s="80"/>
    </row>
    <row r="118" spans="2:11" s="3" customFormat="1" ht="17.25">
      <c r="B118" s="292" t="s">
        <v>91</v>
      </c>
      <c r="C118" s="293"/>
      <c r="D118" s="293"/>
      <c r="E118" s="293"/>
      <c r="F118" s="293"/>
      <c r="G118" s="293"/>
      <c r="H118" s="293"/>
      <c r="I118" s="293"/>
      <c r="J118" s="294"/>
      <c r="K118" s="80"/>
    </row>
    <row r="119" spans="2:11" s="3" customFormat="1" ht="18.75" customHeight="1">
      <c r="B119" s="258" t="s">
        <v>92</v>
      </c>
      <c r="C119" s="259"/>
      <c r="D119" s="259"/>
      <c r="E119" s="259"/>
      <c r="F119" s="259"/>
      <c r="G119" s="259"/>
      <c r="H119" s="259"/>
      <c r="I119" s="259"/>
      <c r="J119" s="260"/>
      <c r="K119" s="80"/>
    </row>
    <row r="120" spans="2:11" s="3" customFormat="1" ht="18" customHeight="1">
      <c r="B120" s="137"/>
      <c r="C120" s="137"/>
      <c r="D120" s="137"/>
      <c r="E120" s="137"/>
      <c r="F120" s="137"/>
      <c r="G120" s="137"/>
      <c r="H120" s="137"/>
      <c r="I120" s="137"/>
      <c r="J120" s="137"/>
      <c r="K120" s="81"/>
    </row>
    <row r="121" spans="2:11" s="3" customFormat="1" ht="18" customHeight="1">
      <c r="B121" s="37"/>
      <c r="C121" s="38"/>
      <c r="D121" s="38"/>
      <c r="E121" s="38"/>
      <c r="F121" s="38"/>
      <c r="G121" s="38"/>
      <c r="H121" s="38"/>
      <c r="I121" s="38"/>
      <c r="J121" s="38"/>
      <c r="K121" s="33"/>
    </row>
    <row r="122" spans="2:11" s="3" customFormat="1" ht="16.5" customHeight="1">
      <c r="B122" s="39"/>
      <c r="C122" s="39"/>
      <c r="D122" s="39"/>
      <c r="E122" s="39"/>
      <c r="F122" s="39"/>
      <c r="G122" s="40"/>
      <c r="H122" s="39"/>
      <c r="I122" s="39"/>
      <c r="J122" s="39"/>
      <c r="K122" s="9"/>
    </row>
    <row r="123" spans="2:11" s="3" customFormat="1" ht="14.25">
      <c r="B123" s="4"/>
      <c r="C123" s="4"/>
      <c r="D123" s="4"/>
      <c r="E123" s="4"/>
      <c r="F123" s="4"/>
      <c r="G123" s="5"/>
      <c r="H123" s="4"/>
      <c r="I123" s="4"/>
      <c r="J123" s="4"/>
      <c r="K123" s="9"/>
    </row>
    <row r="124" spans="2:11" s="3" customFormat="1" ht="14.25">
      <c r="B124" s="6"/>
      <c r="C124" s="6"/>
      <c r="D124" s="6"/>
      <c r="E124" s="6"/>
      <c r="F124" s="6"/>
      <c r="G124" s="7"/>
      <c r="H124" s="6"/>
      <c r="I124" s="6"/>
      <c r="J124" s="6"/>
      <c r="K124" s="9"/>
    </row>
    <row r="125" spans="2:11" s="3" customFormat="1" ht="14.25">
      <c r="B125" s="6"/>
      <c r="C125" s="6"/>
      <c r="D125" s="6"/>
      <c r="E125" s="6"/>
      <c r="F125" s="6"/>
      <c r="G125" s="7"/>
      <c r="H125" s="6"/>
      <c r="I125" s="6"/>
      <c r="J125" s="6"/>
      <c r="K125" s="9"/>
    </row>
    <row r="126" spans="2:11" s="3" customFormat="1" ht="14.25">
      <c r="B126" s="6"/>
      <c r="C126" s="6"/>
      <c r="D126" s="6"/>
      <c r="E126" s="6"/>
      <c r="F126" s="6"/>
      <c r="G126" s="7"/>
      <c r="H126" s="6"/>
      <c r="I126" s="6"/>
      <c r="J126" s="6"/>
      <c r="K126" s="9"/>
    </row>
    <row r="127" spans="2:12" s="3" customFormat="1" ht="14.25">
      <c r="B127" s="67"/>
      <c r="C127" s="67"/>
      <c r="D127" s="67"/>
      <c r="E127" s="67"/>
      <c r="F127" s="67"/>
      <c r="G127" s="68"/>
      <c r="H127" s="67"/>
      <c r="I127" s="67"/>
      <c r="J127" s="67"/>
      <c r="K127" s="69"/>
      <c r="L127" s="67"/>
    </row>
    <row r="128" spans="2:12" s="3" customFormat="1" ht="14.25">
      <c r="B128" s="67"/>
      <c r="C128" s="67"/>
      <c r="D128" s="67"/>
      <c r="E128" s="67"/>
      <c r="F128" s="67"/>
      <c r="G128" s="68"/>
      <c r="H128" s="67"/>
      <c r="I128" s="67"/>
      <c r="J128" s="67"/>
      <c r="K128" s="69"/>
      <c r="L128" s="67"/>
    </row>
    <row r="129" spans="2:12" s="3" customFormat="1" ht="14.25">
      <c r="B129" s="67"/>
      <c r="C129" s="67"/>
      <c r="D129" s="67"/>
      <c r="E129" s="67"/>
      <c r="F129" s="67"/>
      <c r="G129" s="68"/>
      <c r="H129" s="67"/>
      <c r="I129" s="67"/>
      <c r="J129" s="67"/>
      <c r="K129" s="69"/>
      <c r="L129" s="67"/>
    </row>
    <row r="130" spans="2:12" s="3" customFormat="1" ht="14.25">
      <c r="B130" s="67"/>
      <c r="C130" s="67"/>
      <c r="D130" s="67"/>
      <c r="E130" s="67"/>
      <c r="F130" s="67"/>
      <c r="G130" s="68"/>
      <c r="H130" s="67"/>
      <c r="I130" s="67"/>
      <c r="J130" s="67"/>
      <c r="K130" s="69"/>
      <c r="L130" s="67"/>
    </row>
    <row r="131" spans="2:12" ht="17.25">
      <c r="B131" s="56"/>
      <c r="C131" s="56"/>
      <c r="D131" s="57"/>
      <c r="E131" s="57"/>
      <c r="F131" s="58"/>
      <c r="G131" s="58"/>
      <c r="H131" s="58"/>
      <c r="I131" s="67"/>
      <c r="J131" s="67"/>
      <c r="K131" s="69"/>
      <c r="L131" s="67"/>
    </row>
    <row r="132" spans="2:12" ht="17.25">
      <c r="B132" s="56"/>
      <c r="C132" s="59"/>
      <c r="D132" s="59"/>
      <c r="E132" s="60"/>
      <c r="F132" s="59"/>
      <c r="G132" s="61"/>
      <c r="H132" s="62"/>
      <c r="I132" s="67"/>
      <c r="J132" s="67"/>
      <c r="K132" s="69"/>
      <c r="L132" s="67"/>
    </row>
    <row r="133" spans="2:12" ht="17.25">
      <c r="B133" s="57"/>
      <c r="C133" s="57"/>
      <c r="D133" s="57"/>
      <c r="E133" s="57"/>
      <c r="F133" s="57"/>
      <c r="G133" s="57"/>
      <c r="H133" s="57"/>
      <c r="I133" s="67"/>
      <c r="J133" s="67"/>
      <c r="K133" s="69"/>
      <c r="L133" s="67"/>
    </row>
    <row r="134" spans="2:12" ht="17.25">
      <c r="B134" s="56"/>
      <c r="C134" s="57"/>
      <c r="D134" s="57"/>
      <c r="E134" s="57"/>
      <c r="F134" s="57"/>
      <c r="G134" s="57"/>
      <c r="H134" s="57"/>
      <c r="I134" s="67"/>
      <c r="J134" s="67"/>
      <c r="K134" s="69"/>
      <c r="L134" s="67"/>
    </row>
    <row r="135" spans="2:12" ht="17.25">
      <c r="B135" s="70"/>
      <c r="C135" s="71"/>
      <c r="D135" s="71"/>
      <c r="E135" s="63"/>
      <c r="F135" s="63"/>
      <c r="G135" s="63"/>
      <c r="H135" s="63"/>
      <c r="I135" s="67"/>
      <c r="J135" s="69"/>
      <c r="K135" s="69"/>
      <c r="L135" s="67"/>
    </row>
    <row r="136" spans="2:12" ht="17.25">
      <c r="B136" s="70"/>
      <c r="C136" s="71"/>
      <c r="D136" s="71"/>
      <c r="E136" s="63"/>
      <c r="F136" s="63"/>
      <c r="G136" s="63"/>
      <c r="H136" s="63"/>
      <c r="I136" s="67"/>
      <c r="J136" s="69"/>
      <c r="K136" s="69"/>
      <c r="L136" s="67"/>
    </row>
    <row r="137" spans="2:12" ht="17.25">
      <c r="B137" s="64"/>
      <c r="C137" s="65"/>
      <c r="D137" s="65"/>
      <c r="E137" s="64"/>
      <c r="F137" s="64"/>
      <c r="G137" s="64"/>
      <c r="H137" s="66"/>
      <c r="I137" s="67"/>
      <c r="J137" s="67"/>
      <c r="K137" s="69"/>
      <c r="L137" s="67"/>
    </row>
    <row r="138" spans="2:12" ht="17.25">
      <c r="B138" s="57"/>
      <c r="C138" s="57"/>
      <c r="D138" s="57"/>
      <c r="E138" s="57"/>
      <c r="F138" s="57"/>
      <c r="G138" s="57"/>
      <c r="H138" s="57"/>
      <c r="I138" s="67"/>
      <c r="J138" s="67"/>
      <c r="K138" s="69"/>
      <c r="L138" s="67"/>
    </row>
    <row r="139" spans="2:12" ht="17.25">
      <c r="B139" s="56"/>
      <c r="C139" s="57"/>
      <c r="D139" s="57"/>
      <c r="E139" s="57"/>
      <c r="F139" s="57"/>
      <c r="G139" s="57"/>
      <c r="H139" s="57"/>
      <c r="I139" s="67"/>
      <c r="J139" s="67"/>
      <c r="K139" s="69"/>
      <c r="L139" s="67"/>
    </row>
    <row r="140" spans="2:12" ht="17.25">
      <c r="B140" s="72"/>
      <c r="C140" s="73"/>
      <c r="D140" s="74"/>
      <c r="E140" s="75"/>
      <c r="F140" s="74"/>
      <c r="G140" s="76"/>
      <c r="H140" s="76"/>
      <c r="I140" s="67"/>
      <c r="J140" s="67"/>
      <c r="K140" s="69"/>
      <c r="L140" s="67"/>
    </row>
    <row r="141" spans="2:12" ht="17.25">
      <c r="B141" s="72"/>
      <c r="C141" s="73"/>
      <c r="D141" s="74"/>
      <c r="E141" s="75"/>
      <c r="F141" s="74"/>
      <c r="G141" s="76"/>
      <c r="H141" s="76"/>
      <c r="I141" s="67"/>
      <c r="J141" s="67"/>
      <c r="K141" s="69"/>
      <c r="L141" s="67"/>
    </row>
    <row r="142" spans="2:12" ht="17.25">
      <c r="B142" s="288"/>
      <c r="C142" s="288"/>
      <c r="D142" s="74"/>
      <c r="E142" s="75"/>
      <c r="F142" s="74"/>
      <c r="G142" s="76"/>
      <c r="H142" s="76"/>
      <c r="I142" s="67"/>
      <c r="J142" s="67"/>
      <c r="K142" s="69"/>
      <c r="L142" s="67"/>
    </row>
    <row r="143" spans="2:12" ht="17.25">
      <c r="B143" s="72"/>
      <c r="C143" s="73"/>
      <c r="D143" s="74"/>
      <c r="E143" s="75"/>
      <c r="F143" s="74"/>
      <c r="G143" s="76"/>
      <c r="H143" s="76"/>
      <c r="I143" s="67"/>
      <c r="J143" s="67"/>
      <c r="K143" s="69"/>
      <c r="L143" s="67"/>
    </row>
    <row r="144" spans="2:12" ht="17.25">
      <c r="B144" s="72"/>
      <c r="C144" s="73"/>
      <c r="D144" s="74"/>
      <c r="E144" s="75"/>
      <c r="F144" s="74"/>
      <c r="G144" s="76"/>
      <c r="H144" s="76"/>
      <c r="I144" s="67"/>
      <c r="J144" s="67"/>
      <c r="K144" s="69"/>
      <c r="L144" s="67"/>
    </row>
    <row r="145" spans="2:12" ht="17.25">
      <c r="B145" s="72"/>
      <c r="C145" s="73"/>
      <c r="D145" s="74"/>
      <c r="E145" s="75"/>
      <c r="F145" s="74"/>
      <c r="G145" s="76"/>
      <c r="H145" s="76"/>
      <c r="I145" s="67"/>
      <c r="J145" s="67"/>
      <c r="K145" s="69"/>
      <c r="L145" s="67"/>
    </row>
    <row r="146" spans="2:12" ht="17.25">
      <c r="B146" s="72"/>
      <c r="C146" s="73"/>
      <c r="D146" s="74"/>
      <c r="E146" s="75"/>
      <c r="F146" s="74"/>
      <c r="G146" s="76"/>
      <c r="H146" s="76"/>
      <c r="I146" s="67"/>
      <c r="J146" s="67"/>
      <c r="K146" s="69"/>
      <c r="L146" s="67"/>
    </row>
    <row r="147" spans="2:12" ht="17.25">
      <c r="B147" s="72"/>
      <c r="C147" s="73"/>
      <c r="D147" s="74"/>
      <c r="E147" s="75"/>
      <c r="F147" s="74"/>
      <c r="G147" s="76"/>
      <c r="H147" s="76"/>
      <c r="I147" s="67"/>
      <c r="J147" s="67"/>
      <c r="K147" s="69"/>
      <c r="L147" s="67"/>
    </row>
    <row r="148" spans="2:12" ht="17.25">
      <c r="B148" s="72"/>
      <c r="C148" s="73"/>
      <c r="D148" s="74"/>
      <c r="E148" s="75"/>
      <c r="F148" s="74"/>
      <c r="G148" s="76"/>
      <c r="H148" s="76"/>
      <c r="I148" s="67"/>
      <c r="J148" s="67"/>
      <c r="K148" s="69"/>
      <c r="L148" s="67"/>
    </row>
    <row r="149" spans="2:12" ht="17.25">
      <c r="B149" s="72"/>
      <c r="C149" s="73"/>
      <c r="D149" s="74"/>
      <c r="E149" s="75"/>
      <c r="F149" s="74"/>
      <c r="G149" s="76"/>
      <c r="H149" s="76"/>
      <c r="I149" s="67"/>
      <c r="J149" s="67"/>
      <c r="K149" s="69"/>
      <c r="L149" s="67"/>
    </row>
    <row r="150" spans="2:12" ht="17.25">
      <c r="B150" s="72"/>
      <c r="C150" s="73"/>
      <c r="D150" s="74"/>
      <c r="E150" s="75"/>
      <c r="F150" s="74"/>
      <c r="G150" s="76"/>
      <c r="H150" s="76"/>
      <c r="I150" s="67"/>
      <c r="J150" s="67"/>
      <c r="K150" s="69"/>
      <c r="L150" s="67"/>
    </row>
    <row r="151" spans="2:12" ht="17.25">
      <c r="B151" s="72"/>
      <c r="C151" s="73"/>
      <c r="D151" s="74"/>
      <c r="E151" s="75"/>
      <c r="F151" s="74"/>
      <c r="G151" s="76"/>
      <c r="H151" s="76"/>
      <c r="I151" s="67"/>
      <c r="J151" s="67"/>
      <c r="K151" s="69"/>
      <c r="L151" s="67"/>
    </row>
    <row r="152" spans="2:12" ht="17.25">
      <c r="B152" s="72"/>
      <c r="C152" s="73"/>
      <c r="D152" s="74"/>
      <c r="E152" s="75"/>
      <c r="F152" s="74"/>
      <c r="G152" s="76"/>
      <c r="H152" s="76"/>
      <c r="I152" s="67"/>
      <c r="J152" s="67"/>
      <c r="K152" s="69"/>
      <c r="L152" s="67"/>
    </row>
    <row r="153" spans="2:12" ht="17.25">
      <c r="B153" s="64"/>
      <c r="C153" s="65"/>
      <c r="D153" s="65"/>
      <c r="E153" s="64"/>
      <c r="F153" s="64"/>
      <c r="G153" s="64"/>
      <c r="H153" s="66"/>
      <c r="I153" s="67"/>
      <c r="J153" s="67"/>
      <c r="K153" s="69"/>
      <c r="L153" s="67"/>
    </row>
    <row r="154" spans="2:12" ht="17.25">
      <c r="B154" s="57"/>
      <c r="C154" s="57"/>
      <c r="D154" s="57"/>
      <c r="E154" s="57"/>
      <c r="F154" s="57"/>
      <c r="G154" s="57"/>
      <c r="H154" s="57"/>
      <c r="I154" s="67"/>
      <c r="J154" s="67"/>
      <c r="K154" s="69"/>
      <c r="L154" s="67"/>
    </row>
    <row r="155" spans="2:12" ht="17.25">
      <c r="B155" s="64"/>
      <c r="C155" s="65"/>
      <c r="D155" s="65"/>
      <c r="E155" s="64"/>
      <c r="F155" s="64"/>
      <c r="G155" s="64"/>
      <c r="H155" s="66"/>
      <c r="I155" s="67"/>
      <c r="J155" s="67"/>
      <c r="K155" s="69"/>
      <c r="L155" s="67"/>
    </row>
    <row r="156" spans="2:12" s="3" customFormat="1" ht="14.2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4.2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4.2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4.2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4.2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4.2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4.2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4.2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4.2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4.2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4.25">
      <c r="B166" s="77"/>
      <c r="C166" s="77"/>
      <c r="D166" s="77"/>
      <c r="E166" s="77"/>
      <c r="F166" s="77"/>
      <c r="G166" s="68"/>
      <c r="H166" s="67"/>
      <c r="I166" s="67"/>
      <c r="J166" s="67"/>
      <c r="K166" s="69"/>
      <c r="L166" s="67"/>
    </row>
    <row r="167" spans="2:12" s="3" customFormat="1" ht="14.2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4.2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4.25">
      <c r="B169" s="67"/>
      <c r="C169" s="69"/>
      <c r="D169" s="69"/>
      <c r="E169" s="69"/>
      <c r="F169" s="69"/>
      <c r="G169" s="68"/>
      <c r="H169" s="67"/>
      <c r="I169" s="67"/>
      <c r="J169" s="67"/>
      <c r="K169" s="69"/>
      <c r="L169" s="67"/>
    </row>
    <row r="170" spans="2:12" s="3" customFormat="1" ht="14.2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4.2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4.2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4.2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4.2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4.25">
      <c r="B175" s="67"/>
      <c r="C175" s="67"/>
      <c r="D175" s="69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4.25">
      <c r="B176" s="67"/>
      <c r="C176" s="69"/>
      <c r="D176" s="69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4.2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4.2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4.2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4.25">
      <c r="B180" s="67"/>
      <c r="C180" s="67"/>
      <c r="D180" s="67"/>
      <c r="E180" s="67"/>
      <c r="F180" s="67"/>
      <c r="G180" s="68"/>
      <c r="H180" s="67"/>
      <c r="I180" s="68"/>
      <c r="J180" s="67"/>
      <c r="K180" s="69"/>
      <c r="L180" s="67"/>
    </row>
    <row r="181" spans="2:12" s="3" customFormat="1" ht="14.2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4.2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4.2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4.2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4.2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4.2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4.2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4.2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4.25">
      <c r="B189" s="69"/>
      <c r="C189" s="69"/>
      <c r="D189" s="69"/>
      <c r="E189" s="69"/>
      <c r="F189" s="69"/>
      <c r="G189" s="69"/>
      <c r="H189" s="69"/>
      <c r="I189" s="69"/>
      <c r="J189" s="67"/>
      <c r="K189" s="69"/>
      <c r="L189" s="67"/>
    </row>
    <row r="190" spans="2:12" s="3" customFormat="1" ht="14.25">
      <c r="B190" s="69"/>
      <c r="C190" s="69"/>
      <c r="D190" s="69"/>
      <c r="E190" s="69"/>
      <c r="F190" s="69"/>
      <c r="G190" s="78"/>
      <c r="H190" s="69"/>
      <c r="I190" s="69"/>
      <c r="J190" s="67"/>
      <c r="K190" s="69"/>
      <c r="L190" s="78"/>
    </row>
    <row r="191" spans="2:12" s="3" customFormat="1" ht="14.25">
      <c r="B191" s="69"/>
      <c r="C191" s="69"/>
      <c r="D191" s="69"/>
      <c r="E191" s="69"/>
      <c r="F191" s="69"/>
      <c r="G191" s="69"/>
      <c r="H191" s="69"/>
      <c r="I191" s="79"/>
      <c r="J191" s="67"/>
      <c r="K191" s="69"/>
      <c r="L191" s="67"/>
    </row>
    <row r="192" spans="2:12" s="3" customFormat="1" ht="14.2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4.2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4.2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4.2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4.2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4.2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4.25">
      <c r="B198" s="67"/>
      <c r="C198" s="67"/>
      <c r="D198" s="67"/>
      <c r="E198" s="67"/>
      <c r="F198" s="67"/>
      <c r="G198" s="68"/>
      <c r="H198" s="69"/>
      <c r="I198" s="69"/>
      <c r="J198" s="67"/>
      <c r="K198" s="69"/>
      <c r="L198" s="67"/>
    </row>
    <row r="199" spans="2:12" s="3" customFormat="1" ht="14.25">
      <c r="B199" s="67"/>
      <c r="C199" s="67"/>
      <c r="D199" s="67"/>
      <c r="E199" s="67"/>
      <c r="F199" s="67"/>
      <c r="G199" s="68"/>
      <c r="H199" s="69"/>
      <c r="I199" s="69"/>
      <c r="J199" s="67"/>
      <c r="K199" s="69"/>
      <c r="L199" s="67"/>
    </row>
    <row r="200" spans="2:12" s="3" customFormat="1" ht="14.25">
      <c r="B200" s="67"/>
      <c r="C200" s="67"/>
      <c r="D200" s="67"/>
      <c r="E200" s="67"/>
      <c r="F200" s="67"/>
      <c r="G200" s="68"/>
      <c r="H200" s="69"/>
      <c r="I200" s="69"/>
      <c r="J200" s="67"/>
      <c r="K200" s="69"/>
      <c r="L200" s="67"/>
    </row>
    <row r="201" spans="2:12" s="3" customFormat="1" ht="14.2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4.2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4.2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4.2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4.2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4.2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4.25">
      <c r="B207" s="67"/>
      <c r="C207" s="67"/>
      <c r="D207" s="67"/>
      <c r="E207" s="67"/>
      <c r="F207" s="67"/>
      <c r="G207" s="68"/>
      <c r="H207" s="69"/>
      <c r="I207" s="69"/>
      <c r="J207" s="67"/>
      <c r="K207" s="69"/>
      <c r="L207" s="67"/>
    </row>
    <row r="208" spans="2:12" s="3" customFormat="1" ht="14.25">
      <c r="B208" s="67"/>
      <c r="C208" s="67"/>
      <c r="D208" s="67"/>
      <c r="E208" s="67"/>
      <c r="F208" s="67"/>
      <c r="G208" s="68"/>
      <c r="H208" s="69"/>
      <c r="I208" s="69"/>
      <c r="J208" s="67"/>
      <c r="K208" s="69"/>
      <c r="L208" s="67"/>
    </row>
    <row r="209" spans="2:12" s="3" customFormat="1" ht="14.25">
      <c r="B209" s="67"/>
      <c r="C209" s="67"/>
      <c r="D209" s="67"/>
      <c r="E209" s="67"/>
      <c r="F209" s="67"/>
      <c r="G209" s="68"/>
      <c r="H209" s="69"/>
      <c r="I209" s="69"/>
      <c r="J209" s="67"/>
      <c r="K209" s="69"/>
      <c r="L209" s="67"/>
    </row>
    <row r="210" spans="2:12" s="3" customFormat="1" ht="14.2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4.2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4.2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4.2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4.2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4.2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4.2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4.2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4.2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4.2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4.2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4.2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4.2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4.2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4.2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4.2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4.2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4.2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4.2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4.2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4.2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4.2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4.2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4.2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4.2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4.2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4.2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4.2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4.2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4.2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4.2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4.2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4.2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4.2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4.2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4.2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4.2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4.2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4.2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4.2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4.2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4.2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4.2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4.2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4.2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4.2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4.2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4.2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4.2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4.2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4.2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4.2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4.2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4.2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4.2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4.2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4.2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4.2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4.2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4.2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4.2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4.2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4.2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4.2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4.2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4.2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4.2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4.2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4.2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4.2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4.2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4.2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4.2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4.2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4.2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4.2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4.2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4.2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4.2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4.2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4.2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4.2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4.2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4.2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4.2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4.2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4.2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4.2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4.2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4.2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4.2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4.2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4.2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4.2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4.2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4.2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4.2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4.2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s="3" customFormat="1" ht="14.2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s="3" customFormat="1" ht="14.2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s="3" customFormat="1" ht="14.2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s="3" customFormat="1" ht="14.2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s="3" customFormat="1" ht="14.2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s="3" customFormat="1" ht="14.2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s="3" customFormat="1" ht="14.2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s="3" customFormat="1" ht="14.2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s="3" customFormat="1" ht="14.2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s="3" customFormat="1" ht="14.2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s="3" customFormat="1" ht="14.2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s="3" customFormat="1" ht="14.2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ht="14.2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ht="14.2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ht="14.2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  <row r="323" spans="2:12" ht="14.25">
      <c r="B323" s="67"/>
      <c r="C323" s="67"/>
      <c r="D323" s="67"/>
      <c r="E323" s="67"/>
      <c r="F323" s="67"/>
      <c r="G323" s="68"/>
      <c r="H323" s="67"/>
      <c r="I323" s="67"/>
      <c r="J323" s="67"/>
      <c r="K323" s="69"/>
      <c r="L323" s="67"/>
    </row>
    <row r="324" spans="2:12" ht="14.25">
      <c r="B324" s="67"/>
      <c r="C324" s="67"/>
      <c r="D324" s="67"/>
      <c r="E324" s="67"/>
      <c r="F324" s="67"/>
      <c r="G324" s="68"/>
      <c r="H324" s="67"/>
      <c r="I324" s="67"/>
      <c r="J324" s="67"/>
      <c r="K324" s="69"/>
      <c r="L324" s="67"/>
    </row>
    <row r="325" spans="2:12" ht="14.25">
      <c r="B325" s="67"/>
      <c r="C325" s="67"/>
      <c r="D325" s="67"/>
      <c r="E325" s="67"/>
      <c r="F325" s="67"/>
      <c r="G325" s="68"/>
      <c r="H325" s="67"/>
      <c r="I325" s="67"/>
      <c r="J325" s="67"/>
      <c r="K325" s="69"/>
      <c r="L325" s="67"/>
    </row>
    <row r="326" spans="2:12" ht="14.25">
      <c r="B326" s="67"/>
      <c r="C326" s="67"/>
      <c r="D326" s="67"/>
      <c r="E326" s="67"/>
      <c r="F326" s="67"/>
      <c r="G326" s="68"/>
      <c r="H326" s="67"/>
      <c r="I326" s="67"/>
      <c r="J326" s="67"/>
      <c r="K326" s="69"/>
      <c r="L326" s="67"/>
    </row>
    <row r="327" spans="2:12" ht="14.25">
      <c r="B327" s="67"/>
      <c r="C327" s="67"/>
      <c r="D327" s="67"/>
      <c r="E327" s="67"/>
      <c r="F327" s="67"/>
      <c r="G327" s="68"/>
      <c r="H327" s="67"/>
      <c r="I327" s="67"/>
      <c r="J327" s="67"/>
      <c r="K327" s="69"/>
      <c r="L327" s="67"/>
    </row>
    <row r="328" spans="2:12" ht="14.25">
      <c r="B328" s="67"/>
      <c r="C328" s="67"/>
      <c r="D328" s="67"/>
      <c r="E328" s="67"/>
      <c r="F328" s="67"/>
      <c r="G328" s="68"/>
      <c r="H328" s="67"/>
      <c r="I328" s="67"/>
      <c r="J328" s="67"/>
      <c r="K328" s="69"/>
      <c r="L328" s="67"/>
    </row>
    <row r="329" spans="2:12" ht="14.25">
      <c r="B329" s="67"/>
      <c r="C329" s="67"/>
      <c r="D329" s="67"/>
      <c r="E329" s="67"/>
      <c r="F329" s="67"/>
      <c r="G329" s="68"/>
      <c r="H329" s="67"/>
      <c r="I329" s="67"/>
      <c r="J329" s="67"/>
      <c r="K329" s="69"/>
      <c r="L329" s="67"/>
    </row>
    <row r="330" spans="2:12" ht="14.25">
      <c r="B330" s="67"/>
      <c r="C330" s="67"/>
      <c r="D330" s="67"/>
      <c r="E330" s="67"/>
      <c r="F330" s="67"/>
      <c r="G330" s="68"/>
      <c r="H330" s="67"/>
      <c r="I330" s="67"/>
      <c r="J330" s="67"/>
      <c r="K330" s="69"/>
      <c r="L330" s="67"/>
    </row>
    <row r="331" spans="2:12" ht="14.25">
      <c r="B331" s="67"/>
      <c r="C331" s="67"/>
      <c r="D331" s="67"/>
      <c r="E331" s="67"/>
      <c r="F331" s="67"/>
      <c r="G331" s="68"/>
      <c r="H331" s="67"/>
      <c r="I331" s="67"/>
      <c r="J331" s="67"/>
      <c r="K331" s="69"/>
      <c r="L331" s="67"/>
    </row>
    <row r="332" spans="2:12" ht="14.25">
      <c r="B332" s="67"/>
      <c r="C332" s="67"/>
      <c r="D332" s="67"/>
      <c r="E332" s="67"/>
      <c r="F332" s="67"/>
      <c r="G332" s="68"/>
      <c r="H332" s="67"/>
      <c r="I332" s="67"/>
      <c r="J332" s="67"/>
      <c r="K332" s="69"/>
      <c r="L332" s="67"/>
    </row>
    <row r="333" spans="2:12" ht="14.25">
      <c r="B333" s="67"/>
      <c r="C333" s="67"/>
      <c r="D333" s="67"/>
      <c r="E333" s="67"/>
      <c r="F333" s="67"/>
      <c r="G333" s="68"/>
      <c r="H333" s="67"/>
      <c r="I333" s="67"/>
      <c r="J333" s="67"/>
      <c r="K333" s="69"/>
      <c r="L333" s="67"/>
    </row>
    <row r="334" spans="2:12" ht="14.25">
      <c r="B334" s="67"/>
      <c r="C334" s="67"/>
      <c r="D334" s="67"/>
      <c r="E334" s="67"/>
      <c r="F334" s="67"/>
      <c r="G334" s="68"/>
      <c r="H334" s="67"/>
      <c r="I334" s="67"/>
      <c r="J334" s="67"/>
      <c r="K334" s="69"/>
      <c r="L334" s="67"/>
    </row>
  </sheetData>
  <sheetProtection/>
  <mergeCells count="48">
    <mergeCell ref="B99:D99"/>
    <mergeCell ref="B103:J104"/>
    <mergeCell ref="I107:J108"/>
    <mergeCell ref="I105:J106"/>
    <mergeCell ref="E107:F108"/>
    <mergeCell ref="E78:F78"/>
    <mergeCell ref="E84:F84"/>
    <mergeCell ref="G101:H101"/>
    <mergeCell ref="E105:F106"/>
    <mergeCell ref="B107:D108"/>
    <mergeCell ref="B105:D106"/>
    <mergeCell ref="B97:D98"/>
    <mergeCell ref="B101:D101"/>
    <mergeCell ref="B100:D100"/>
    <mergeCell ref="I100:J100"/>
    <mergeCell ref="I101:J101"/>
    <mergeCell ref="I98:J98"/>
    <mergeCell ref="G98:H98"/>
    <mergeCell ref="G99:H99"/>
    <mergeCell ref="G107:H108"/>
    <mergeCell ref="G105:H106"/>
    <mergeCell ref="L84:O84"/>
    <mergeCell ref="B110:J110"/>
    <mergeCell ref="B142:C142"/>
    <mergeCell ref="B112:J112"/>
    <mergeCell ref="B115:J115"/>
    <mergeCell ref="B118:J118"/>
    <mergeCell ref="B95:J95"/>
    <mergeCell ref="B117:J117"/>
    <mergeCell ref="E98:F98"/>
    <mergeCell ref="E99:F99"/>
    <mergeCell ref="D2:J2"/>
    <mergeCell ref="D3:J3"/>
    <mergeCell ref="D4:J4"/>
    <mergeCell ref="B13:E13"/>
    <mergeCell ref="G13:J13"/>
    <mergeCell ref="E21:F21"/>
    <mergeCell ref="D6:J6"/>
    <mergeCell ref="B119:J119"/>
    <mergeCell ref="B114:J114"/>
    <mergeCell ref="B113:J113"/>
    <mergeCell ref="B116:J116"/>
    <mergeCell ref="B96:J96"/>
    <mergeCell ref="E100:F100"/>
    <mergeCell ref="E101:F101"/>
    <mergeCell ref="E97:J97"/>
    <mergeCell ref="G100:H100"/>
    <mergeCell ref="I99:J9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8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4.25">
      <c r="B2" s="47" t="s">
        <v>17</v>
      </c>
      <c r="C2" s="50">
        <f>(('palta_hass_planoValparaíso-2021'!E14-45000)/45000)+1</f>
        <v>0.24444444444444446</v>
      </c>
    </row>
    <row r="3" ht="17.25">
      <c r="B3" s="13"/>
    </row>
    <row r="4" spans="2:3" ht="17.25">
      <c r="B4" s="333" t="s">
        <v>18</v>
      </c>
      <c r="C4" s="333"/>
    </row>
    <row r="5" spans="2:5" ht="17.25">
      <c r="B5" s="82" t="s">
        <v>32</v>
      </c>
      <c r="C5" s="129"/>
      <c r="D5" s="83"/>
      <c r="E5" s="3">
        <v>45000</v>
      </c>
    </row>
    <row r="6" spans="2:4" ht="14.25">
      <c r="B6" s="26"/>
      <c r="C6" s="26"/>
      <c r="D6" s="26"/>
    </row>
    <row r="14" spans="2:4" ht="14.25">
      <c r="B14" s="334" t="s">
        <v>14</v>
      </c>
      <c r="C14" s="334"/>
      <c r="D14" s="334"/>
    </row>
    <row r="16" spans="2:4" ht="17.25">
      <c r="B16" s="49" t="s">
        <v>16</v>
      </c>
      <c r="C16" s="48" t="e">
        <f>'palta_hass_planoValparaíso-2021'!#REF!</f>
        <v>#REF!</v>
      </c>
      <c r="D16" s="48" t="e">
        <f>'palta_hass_planoValparaíso-2021'!#REF!</f>
        <v>#REF!</v>
      </c>
    </row>
    <row r="17" ht="14.25">
      <c r="B17" s="24"/>
    </row>
    <row r="18" spans="2:4" ht="14.25">
      <c r="B18" s="47" t="s">
        <v>17</v>
      </c>
      <c r="C18" s="50" t="e">
        <f>((C16-'palta_hass_planoValparaíso-2021'!E14)/'palta_hass_planoValparaíso-2021'!E14)+1</f>
        <v>#REF!</v>
      </c>
      <c r="D18" s="50" t="e">
        <f>((D16-'palta_hass_planoValparaíso-2021'!E14)/'palta_hass_planoValparaíso-2021'!E14)+1</f>
        <v>#REF!</v>
      </c>
    </row>
    <row r="19" spans="2:4" ht="17.25">
      <c r="B19" s="17"/>
      <c r="C19" s="48"/>
      <c r="D19" s="48"/>
    </row>
    <row r="20" spans="2:4" ht="17.25">
      <c r="B20" s="49" t="s">
        <v>7</v>
      </c>
      <c r="C20" s="48"/>
      <c r="D20" s="48"/>
    </row>
    <row r="21" spans="2:4" ht="17.25">
      <c r="B21" s="17" t="s">
        <v>19</v>
      </c>
      <c r="C21" s="9">
        <f>SUM('palta_hass_planoValparaíso-2021'!J23:J30)</f>
        <v>2830000</v>
      </c>
      <c r="D21" s="9">
        <f>SUM('palta_hass_planoValparaíso-2021'!J23:J30)</f>
        <v>2830000</v>
      </c>
    </row>
    <row r="22" spans="2:4" ht="17.25">
      <c r="B22" s="51" t="s">
        <v>20</v>
      </c>
      <c r="C22" s="52" t="e">
        <f>C18*'palta_hass_planoValparaíso-2021'!#REF!*'palta_hass_planoValparaíso-2021'!#REF!</f>
        <v>#REF!</v>
      </c>
      <c r="D22" s="52" t="e">
        <f>D18*'palta_hass_planoValparaíso-2021'!#REF!*'palta_hass_planoValparaíso-2021'!#REF!</f>
        <v>#REF!</v>
      </c>
    </row>
    <row r="23" spans="2:4" ht="17.25">
      <c r="B23" s="17" t="s">
        <v>21</v>
      </c>
      <c r="C23" s="9" t="e">
        <f>SUM(C21:C22)</f>
        <v>#REF!</v>
      </c>
      <c r="D23" s="9" t="e">
        <f>SUM(D21:D22)</f>
        <v>#REF!</v>
      </c>
    </row>
    <row r="24" ht="17.25">
      <c r="B24" s="17"/>
    </row>
    <row r="25" ht="17.25">
      <c r="B25" s="49" t="s">
        <v>9</v>
      </c>
    </row>
    <row r="26" spans="2:4" ht="17.25">
      <c r="B26" s="17" t="s">
        <v>19</v>
      </c>
      <c r="C26" s="9">
        <f>SUM('palta_hass_planoValparaíso-2021'!J34:J37)</f>
        <v>400000</v>
      </c>
      <c r="D26" s="9">
        <f>SUM('palta_hass_planoValparaíso-2021'!J34:J37)</f>
        <v>400000</v>
      </c>
    </row>
    <row r="27" spans="2:4" ht="17.25">
      <c r="B27" s="51" t="s">
        <v>20</v>
      </c>
      <c r="C27" s="52">
        <v>0</v>
      </c>
      <c r="D27" s="52">
        <v>0</v>
      </c>
    </row>
    <row r="28" spans="2:4" ht="17.25">
      <c r="B28" s="17" t="s">
        <v>21</v>
      </c>
      <c r="C28" s="9">
        <f>SUM(C26:C27)</f>
        <v>400000</v>
      </c>
      <c r="D28" s="9">
        <f>SUM(D26:D27)</f>
        <v>400000</v>
      </c>
    </row>
    <row r="30" ht="17.25">
      <c r="B30" s="49" t="s">
        <v>22</v>
      </c>
    </row>
    <row r="31" spans="2:4" ht="17.25">
      <c r="B31" s="17" t="s">
        <v>19</v>
      </c>
      <c r="C31" s="9">
        <f>SUM('palta_hass_planoValparaíso-2021'!J41:J74)</f>
        <v>3477308</v>
      </c>
      <c r="D31" s="9">
        <f>SUM('palta_hass_planoValparaíso-2021'!J41:J74)</f>
        <v>3477308</v>
      </c>
    </row>
    <row r="32" spans="2:4" ht="17.25">
      <c r="B32" s="51" t="s">
        <v>20</v>
      </c>
      <c r="C32" s="52">
        <v>0</v>
      </c>
      <c r="D32" s="52">
        <v>0</v>
      </c>
    </row>
    <row r="33" spans="2:4" ht="17.25">
      <c r="B33" s="17" t="s">
        <v>21</v>
      </c>
      <c r="C33" s="9">
        <f>SUM(C31:C32)</f>
        <v>3477308</v>
      </c>
      <c r="D33" s="9">
        <f>SUM(D31:D32)</f>
        <v>3477308</v>
      </c>
    </row>
    <row r="34" spans="2:4" ht="14.25">
      <c r="B34" s="24"/>
      <c r="C34" s="28"/>
      <c r="D34" s="28"/>
    </row>
    <row r="35" spans="2:4" ht="17.25">
      <c r="B35" s="54" t="s">
        <v>23</v>
      </c>
      <c r="C35" s="55" t="e">
        <f>C23+C28+C33</f>
        <v>#REF!</v>
      </c>
      <c r="D35" s="55" t="e">
        <f>D23+D28+D33</f>
        <v>#REF!</v>
      </c>
    </row>
    <row r="36" ht="14.25">
      <c r="B36" s="24"/>
    </row>
    <row r="37" spans="2:4" ht="17.25">
      <c r="B37" s="53" t="s">
        <v>0</v>
      </c>
      <c r="C37" s="9" t="e">
        <f>C35*'palta_hass_planoValparaíso-2021'!G78</f>
        <v>#REF!</v>
      </c>
      <c r="D37" s="9" t="e">
        <f>D35*D18*'palta_hass_planoValparaíso-2021'!G78</f>
        <v>#REF!</v>
      </c>
    </row>
    <row r="38" spans="2:4" ht="17.25">
      <c r="B38" s="53" t="s">
        <v>12</v>
      </c>
      <c r="C38" s="9" t="e">
        <f>C35*'palta_hass_planoValparaíso-2021'!E17*'palta_hass_planoValparaíso-2021'!E18*0.5</f>
        <v>#REF!</v>
      </c>
      <c r="D38" s="9" t="e">
        <f>D35*'palta_hass_planoValparaíso-2021'!E17*'palta_hass_planoValparaíso-2021'!E18*0.5</f>
        <v>#REF!</v>
      </c>
    </row>
    <row r="39" ht="14.25">
      <c r="B39" s="24"/>
    </row>
    <row r="40" spans="2:4" ht="17.25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2019-08-28T21:35:24Z</cp:lastPrinted>
  <dcterms:created xsi:type="dcterms:W3CDTF">2012-07-09T18:51:50Z</dcterms:created>
  <dcterms:modified xsi:type="dcterms:W3CDTF">2022-09-26T18:07:37Z</dcterms:modified>
  <cp:category/>
  <cp:version/>
  <cp:contentType/>
  <cp:contentStatus/>
</cp:coreProperties>
</file>