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8" activeTab="0"/>
  </bookViews>
  <sheets>
    <sheet name="papa -riego_Coquimbo-2021" sheetId="1" r:id="rId1"/>
    <sheet name="rdto_variable" sheetId="2" state="hidden" r:id="rId2"/>
  </sheets>
  <definedNames>
    <definedName name="_xlfn.IFERROR" hidden="1">#NAME?</definedName>
    <definedName name="_xlnm.Print_Area" localSheetId="0">'papa -riego_Coquimbo-2021'!$A$1:$K$121</definedName>
    <definedName name="costo_financiero">'papa -riego_Coquimbo-2021'!$J$84</definedName>
    <definedName name="imprevistos">'papa -riego_Coquimbo-2021'!#REF!</definedName>
    <definedName name="meses_financiamiento">'papa -riego_Coquimbo-2021'!$E$17</definedName>
    <definedName name="precio_de_venta">'papa -riego_Coquimbo-2021'!$E$14</definedName>
    <definedName name="rendimiento">'papa -riego_Coquimbo-2021'!$E$13</definedName>
    <definedName name="tasa_interes_mensual">'papa -riego_Coquimbo-2021'!$E$16</definedName>
    <definedName name="total_costos">'papa -riego_Coquimbo-2021'!$J$90</definedName>
    <definedName name="total_costos_directos">'papa -riego_Coquimbo-2021'!$J$79</definedName>
    <definedName name="total_costos_indirectos">'papa -riego_Coquimbo-2021'!$J$88</definedName>
    <definedName name="total_insumos">'papa -riego_Coquimbo-2021'!$J$74</definedName>
    <definedName name="total_mano_obra">'papa -riego_Coquimbo-2021'!$J$30</definedName>
    <definedName name="total_maquinaria">'papa -riego_Coquimbo-2021'!$J$43</definedName>
  </definedNames>
  <calcPr fullCalcOnLoad="1"/>
</workbook>
</file>

<file path=xl/sharedStrings.xml><?xml version="1.0" encoding="utf-8"?>
<sst xmlns="http://schemas.openxmlformats.org/spreadsheetml/2006/main" count="236" uniqueCount="152">
  <si>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</si>
  <si>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</si>
  <si>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</si>
  <si>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</si>
  <si>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</si>
  <si>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</si>
  <si>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</si>
  <si>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</si>
  <si>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</si>
  <si>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</si>
  <si>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</si>
  <si>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</si>
  <si>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</si>
  <si>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</si>
  <si>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</si>
  <si>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</si>
  <si>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</si>
  <si>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</si>
  <si>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</si>
  <si>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</si>
  <si>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</si>
  <si>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</si>
  <si>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</si>
  <si>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</si>
  <si>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</si>
  <si>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</si>
  <si>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</si>
  <si>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</si>
  <si>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</si>
  <si>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</si>
  <si>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</si>
  <si>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</si>
  <si>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</si>
  <si>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</si>
  <si>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</si>
  <si>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</si>
  <si>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</si>
  <si>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</si>
  <si>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</si>
  <si>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</si>
  <si>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</si>
  <si>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</si>
  <si>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</si>
  <si>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</si>
  <si>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</si>
  <si>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</si>
  <si>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</si>
  <si>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</si>
  <si>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</si>
  <si>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</si>
  <si>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</si>
  <si>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</si>
  <si>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</si>
  <si>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</si>
  <si>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</si>
  <si>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</si>
  <si>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</si>
  <si>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</si>
  <si>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</si>
  <si>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</si>
  <si>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</si>
  <si>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</si>
  <si>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</si>
  <si>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</si>
  <si>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</si>
  <si>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Aradura cincel o disco</t>
  </si>
  <si>
    <t>Destino de producción: consumo fresco</t>
  </si>
  <si>
    <t>Ficha Técnico Económica</t>
  </si>
  <si>
    <t>Densidad (plantas/hectárea): 75 cm entre hileras</t>
  </si>
  <si>
    <t>Período</t>
  </si>
  <si>
    <t>Precio ($/unidad)</t>
  </si>
  <si>
    <t>julio - octubre</t>
  </si>
  <si>
    <t>Costo jornada hombre ($/jornada hombre)</t>
  </si>
  <si>
    <t>jornada hombre</t>
  </si>
  <si>
    <t>kilo</t>
  </si>
  <si>
    <t>hectárea</t>
  </si>
  <si>
    <t>agosto - octubre</t>
  </si>
  <si>
    <t>litro</t>
  </si>
  <si>
    <t>unidad</t>
  </si>
  <si>
    <t>análisis</t>
  </si>
  <si>
    <t>porcentaje</t>
  </si>
  <si>
    <t>Margen neto ($/hectárea)</t>
  </si>
  <si>
    <t>Precio ($/kilo)</t>
  </si>
  <si>
    <t>Rendimiento (kilos/hectárea)</t>
  </si>
  <si>
    <t>Costo unitario ($/kilo)</t>
  </si>
  <si>
    <t xml:space="preserve">Rendimiento (kilos/hectárea): </t>
  </si>
  <si>
    <t xml:space="preserve">Cosecha con maquina </t>
  </si>
  <si>
    <t>Imprevistos (d)</t>
  </si>
  <si>
    <t xml:space="preserve">Imprevistos 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</si>
  <si>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</si>
  <si>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</si>
  <si>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</si>
  <si>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</si>
  <si>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</si>
  <si>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</si>
  <si>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Costos indirectos (e)</t>
  </si>
  <si>
    <t>Costo oportunidad (arriendo)</t>
  </si>
  <si>
    <t xml:space="preserve">Administración </t>
  </si>
  <si>
    <t>Impuestos y contribuciones</t>
  </si>
  <si>
    <r>
      <t xml:space="preserve">Precio de venta a productor ($/kilos): </t>
    </r>
    <r>
      <rPr>
        <b/>
        <vertAlign val="superscript"/>
        <sz val="14"/>
        <rFont val="Arial"/>
        <family val="2"/>
      </rPr>
      <t xml:space="preserve">(2) </t>
    </r>
  </si>
  <si>
    <r>
      <t>Recoger la Cosecha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</si>
  <si>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</si>
  <si>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</si>
  <si>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</si>
  <si>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</si>
  <si>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</si>
  <si>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papa.</t>
  </si>
  <si>
    <t>Región de Coquimbo</t>
  </si>
  <si>
    <r>
      <t>Papa consumo (Solanum tuberosum L.)</t>
    </r>
    <r>
      <rPr>
        <b/>
        <vertAlign val="superscript"/>
        <sz val="15"/>
        <rFont val="Arial"/>
        <family val="2"/>
      </rPr>
      <t>(1)</t>
    </r>
  </si>
  <si>
    <t>Variedad: Cardinal, Asterik.</t>
  </si>
  <si>
    <t>Tecnología de riego: por surco.</t>
  </si>
  <si>
    <t>tonelada</t>
  </si>
  <si>
    <t>Riego</t>
  </si>
  <si>
    <t>(4) Representa el valor del servivio del 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</si>
  <si>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</si>
  <si>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</si>
  <si>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</si>
  <si>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</si>
  <si>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</si>
  <si>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Siembra:junio-julio</t>
  </si>
  <si>
    <t>Cosecha: octubre-noviembre</t>
  </si>
  <si>
    <t>(2) El precio del kilo de papa cosechada corresponde al promedio de la región durante el periodo de cosecha a nivel predial en la temporada 2021.</t>
  </si>
  <si>
    <t>junio-julio</t>
  </si>
  <si>
    <t>junio-octubre</t>
  </si>
  <si>
    <t>junio-octubr</t>
  </si>
  <si>
    <t>junio-agosto</t>
  </si>
  <si>
    <t>octubre-noviembre</t>
  </si>
  <si>
    <t>septiembre-octubre</t>
  </si>
  <si>
    <t>abril-mayo</t>
  </si>
  <si>
    <t>julio-agosto</t>
  </si>
  <si>
    <t>agosto</t>
  </si>
  <si>
    <t>julio-octubre</t>
  </si>
  <si>
    <t>mayo-junio</t>
  </si>
  <si>
    <t>1 hectárea diciembre 2021</t>
  </si>
  <si>
    <t>(3) Costo de la cosecha equivale por kilo de papa, seleccionado, depositado en sacos de 25 kilos y cargar camión, donde los 34.000 kilos de papas equivalen a 1.360 sacos. La cosecha consiste en recoger las papas y depositarlas en los sacos, una vez que la maquina los sacó   de la tierra y quedaron sobre la superficie de la hilera.</t>
  </si>
  <si>
    <t>anual</t>
  </si>
  <si>
    <t xml:space="preserve"> Semilla</t>
  </si>
  <si>
    <t xml:space="preserve"> Mezcla papera NPK  11 30 20 </t>
  </si>
  <si>
    <t xml:space="preserve"> Mezcla NPK aporca 20 0 20</t>
  </si>
  <si>
    <t xml:space="preserve"> Urea</t>
  </si>
  <si>
    <t xml:space="preserve"> Acrobat MZ 690 WP</t>
  </si>
  <si>
    <t xml:space="preserve"> Curzate M8</t>
  </si>
  <si>
    <t xml:space="preserve"> Topaz</t>
  </si>
  <si>
    <t xml:space="preserve"> Engeo 247 ZC</t>
  </si>
  <si>
    <t xml:space="preserve"> Karate con Tecnologpia  Zeon 050 CS</t>
  </si>
  <si>
    <t xml:space="preserve"> Sencor 480 SC</t>
  </si>
  <si>
    <t xml:space="preserve"> Terrasorb foliar</t>
  </si>
  <si>
    <t xml:space="preserve"> Compost</t>
  </si>
  <si>
    <t xml:space="preserve"> Costo riego</t>
  </si>
  <si>
    <t xml:space="preserve"> Sacos plásticos de 25 kilos(envase)</t>
  </si>
  <si>
    <t xml:space="preserve"> Hilo plástico</t>
  </si>
  <si>
    <r>
      <t xml:space="preserve"> Análisis de suelo </t>
    </r>
    <r>
      <rPr>
        <vertAlign val="superscript"/>
        <sz val="14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</si>
</sst>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</cellStyleXfs>
  <cellXfs count="337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70" fillId="34" borderId="17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70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81" fontId="68" fillId="23" borderId="22" xfId="58" applyNumberFormat="1" applyFont="1" applyFill="1" applyBorder="1" applyAlignment="1" applyProtection="1">
      <alignment horizontal="center" vertical="center" wrapText="1"/>
      <protection/>
    </xf>
    <xf numFmtId="0" fontId="68" fillId="23" borderId="22" xfId="58" applyFont="1" applyFill="1" applyBorder="1" applyAlignment="1" applyProtection="1">
      <alignment horizontal="center" vertical="center" wrapText="1"/>
      <protection/>
    </xf>
    <xf numFmtId="3" fontId="68" fillId="23" borderId="22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66" fillId="0" borderId="14" xfId="0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6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68" fillId="23" borderId="21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/>
      <protection/>
    </xf>
    <xf numFmtId="0" fontId="68" fillId="23" borderId="22" xfId="58" applyFont="1" applyFill="1" applyBorder="1" applyAlignment="1" applyProtection="1">
      <alignment vertical="center"/>
      <protection/>
    </xf>
    <xf numFmtId="0" fontId="68" fillId="23" borderId="22" xfId="58" applyFont="1" applyFill="1" applyBorder="1" applyAlignment="1" applyProtection="1">
      <alignment horizontal="left" vertical="center" indent="3"/>
      <protection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1" fillId="0" borderId="22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70" fillId="34" borderId="25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10" fillId="34" borderId="24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5" xfId="58" applyFont="1" applyFill="1" applyBorder="1" applyAlignment="1">
      <alignment/>
      <protection/>
    </xf>
    <xf numFmtId="0" fontId="10" fillId="34" borderId="16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9" fontId="10" fillId="0" borderId="12" xfId="69" applyNumberFormat="1" applyFont="1" applyFill="1" applyBorder="1" applyAlignment="1" applyProtection="1">
      <alignment horizontal="center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20" xfId="58" applyNumberFormat="1" applyFont="1" applyFill="1" applyBorder="1" applyAlignment="1" applyProtection="1">
      <alignment horizontal="righ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  <xf numFmtId="3" fontId="13" fillId="34" borderId="24" xfId="58" applyNumberFormat="1" applyFont="1" applyFill="1" applyBorder="1" applyAlignment="1">
      <alignment horizontal="left"/>
      <protection/>
    </xf>
    <xf numFmtId="3" fontId="13" fillId="34" borderId="0" xfId="58" applyNumberFormat="1" applyFont="1" applyFill="1" applyBorder="1" applyAlignment="1">
      <alignment horizontal="left"/>
      <protection/>
    </xf>
    <xf numFmtId="0" fontId="10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68" fillId="40" borderId="25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6" xfId="0" applyFont="1" applyFill="1" applyBorder="1" applyAlignment="1">
      <alignment horizontal="center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1" fontId="8" fillId="38" borderId="12" xfId="0" applyNumberFormat="1" applyFont="1" applyFill="1" applyBorder="1" applyAlignment="1">
      <alignment horizontal="center" vertical="center"/>
    </xf>
    <xf numFmtId="17" fontId="68" fillId="41" borderId="21" xfId="69" applyNumberFormat="1" applyFont="1" applyFill="1" applyBorder="1" applyAlignment="1" applyProtection="1">
      <alignment horizontal="center"/>
      <protection/>
    </xf>
    <xf numFmtId="17" fontId="68" fillId="41" borderId="22" xfId="69" applyNumberFormat="1" applyFont="1" applyFill="1" applyBorder="1" applyAlignment="1" applyProtection="1">
      <alignment horizontal="center"/>
      <protection/>
    </xf>
    <xf numFmtId="17" fontId="68" fillId="41" borderId="15" xfId="69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23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68" fillId="41" borderId="23" xfId="57" applyFont="1" applyFill="1" applyBorder="1" applyAlignment="1">
      <alignment horizontal="center"/>
      <protection/>
    </xf>
    <xf numFmtId="0" fontId="68" fillId="41" borderId="14" xfId="57" applyFont="1" applyFill="1" applyBorder="1" applyAlignment="1">
      <alignment horizontal="center"/>
      <protection/>
    </xf>
    <xf numFmtId="0" fontId="68" fillId="41" borderId="17" xfId="57" applyFont="1" applyFill="1" applyBorder="1" applyAlignment="1">
      <alignment horizontal="center"/>
      <protection/>
    </xf>
    <xf numFmtId="0" fontId="68" fillId="40" borderId="23" xfId="0" applyFont="1" applyFill="1" applyBorder="1" applyAlignment="1" applyProtection="1">
      <alignment horizontal="center" vertical="center"/>
      <protection locked="0"/>
    </xf>
    <xf numFmtId="0" fontId="68" fillId="40" borderId="14" xfId="0" applyFont="1" applyFill="1" applyBorder="1" applyAlignment="1" applyProtection="1">
      <alignment horizontal="center" vertical="center"/>
      <protection locked="0"/>
    </xf>
    <xf numFmtId="0" fontId="68" fillId="40" borderId="17" xfId="0" applyFont="1" applyFill="1" applyBorder="1" applyAlignment="1" applyProtection="1">
      <alignment horizontal="center" vertical="center"/>
      <protection locked="0"/>
    </xf>
    <xf numFmtId="0" fontId="10" fillId="0" borderId="21" xfId="58" applyFont="1" applyFill="1" applyBorder="1" applyAlignment="1">
      <alignment horizontal="center"/>
      <protection/>
    </xf>
    <xf numFmtId="0" fontId="10" fillId="0" borderId="15" xfId="58" applyFont="1" applyFill="1" applyBorder="1" applyAlignment="1">
      <alignment horizontal="center"/>
      <protection/>
    </xf>
    <xf numFmtId="0" fontId="68" fillId="41" borderId="21" xfId="57" applyFont="1" applyFill="1" applyBorder="1" applyAlignment="1">
      <alignment horizontal="center"/>
      <protection/>
    </xf>
    <xf numFmtId="0" fontId="68" fillId="41" borderId="22" xfId="57" applyFont="1" applyFill="1" applyBorder="1" applyAlignment="1">
      <alignment horizontal="center"/>
      <protection/>
    </xf>
    <xf numFmtId="0" fontId="68" fillId="41" borderId="15" xfId="57" applyFont="1" applyFill="1" applyBorder="1" applyAlignment="1">
      <alignment horizontal="center"/>
      <protection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3" fontId="13" fillId="34" borderId="2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left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8" fillId="40" borderId="23" xfId="0" applyFont="1" applyFill="1" applyBorder="1" applyAlignment="1" applyProtection="1">
      <alignment horizontal="center"/>
      <protection locked="0"/>
    </xf>
    <xf numFmtId="0" fontId="68" fillId="40" borderId="14" xfId="0" applyFont="1" applyFill="1" applyBorder="1" applyAlignment="1" applyProtection="1">
      <alignment horizontal="center"/>
      <protection locked="0"/>
    </xf>
    <xf numFmtId="0" fontId="68" fillId="40" borderId="17" xfId="0" applyFont="1" applyFill="1" applyBorder="1" applyAlignment="1" applyProtection="1">
      <alignment horizontal="center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>
      <alignment horizontal="center"/>
    </xf>
    <xf numFmtId="0" fontId="68" fillId="40" borderId="25" xfId="0" applyFont="1" applyFill="1" applyBorder="1" applyAlignment="1" applyProtection="1">
      <alignment horizontal="center" vertical="center"/>
      <protection locked="0"/>
    </xf>
    <xf numFmtId="0" fontId="68" fillId="40" borderId="13" xfId="0" applyFont="1" applyFill="1" applyBorder="1" applyAlignment="1" applyProtection="1">
      <alignment horizontal="center" vertical="center"/>
      <protection locked="0"/>
    </xf>
    <xf numFmtId="0" fontId="68" fillId="40" borderId="16" xfId="0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119</xdr:row>
      <xdr:rowOff>28575</xdr:rowOff>
    </xdr:from>
    <xdr:to>
      <xdr:col>2</xdr:col>
      <xdr:colOff>600075</xdr:colOff>
      <xdr:row>119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19125" y="27031950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3"/>
  <sheetViews>
    <sheetView showGridLines="0" tabSelected="1" view="pageBreakPreview" zoomScale="55" zoomScaleNormal="85" zoomScaleSheetLayoutView="55" zoomScalePageLayoutView="80" workbookViewId="0" topLeftCell="A51">
      <selection activeCell="A1" sqref="A1"/>
    </sheetView>
  </sheetViews>
  <sheetFormatPr defaultColWidth="11.421875" defaultRowHeight="15"/>
  <cols>
    <col min="1" max="1" width="9.28125" style="3" customWidth="1"/>
    <col min="2" max="3" width="18.7109375" style="0" customWidth="1"/>
    <col min="4" max="4" width="32.140625" style="0" customWidth="1"/>
    <col min="5" max="5" width="28.8515625" style="0" bestFit="1" customWidth="1"/>
    <col min="6" max="6" width="10.28125" style="0" customWidth="1"/>
    <col min="7" max="7" width="18.7109375" style="2" customWidth="1"/>
    <col min="8" max="9" width="25.57421875" style="0" customWidth="1"/>
    <col min="10" max="10" width="17.1406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71"/>
      <c r="C2" s="171"/>
      <c r="D2" s="323" t="s">
        <v>67</v>
      </c>
      <c r="E2" s="323"/>
      <c r="F2" s="323"/>
      <c r="G2" s="323"/>
      <c r="H2" s="323"/>
      <c r="I2" s="323"/>
      <c r="J2" s="323"/>
    </row>
    <row r="3" spans="2:11" s="3" customFormat="1" ht="18" customHeight="1">
      <c r="B3" s="82"/>
      <c r="C3" s="88"/>
      <c r="D3" s="324" t="s">
        <v>108</v>
      </c>
      <c r="E3" s="324"/>
      <c r="F3" s="324"/>
      <c r="G3" s="324"/>
      <c r="H3" s="324"/>
      <c r="I3" s="324"/>
      <c r="J3" s="324"/>
      <c r="K3" s="13"/>
    </row>
    <row r="4" spans="2:11" s="3" customFormat="1" ht="18" customHeight="1">
      <c r="B4" s="82"/>
      <c r="C4" s="88"/>
      <c r="D4" s="324" t="s">
        <v>107</v>
      </c>
      <c r="E4" s="324"/>
      <c r="F4" s="324"/>
      <c r="G4" s="324"/>
      <c r="H4" s="324"/>
      <c r="I4" s="324"/>
      <c r="J4" s="324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72" t="s">
        <v>30</v>
      </c>
      <c r="E6" s="273"/>
      <c r="F6" s="273"/>
      <c r="G6" s="273"/>
      <c r="H6" s="273"/>
      <c r="I6" s="273"/>
      <c r="J6" s="274"/>
      <c r="K6" s="15"/>
    </row>
    <row r="7" spans="2:11" s="3" customFormat="1" ht="18" customHeight="1">
      <c r="B7" s="41"/>
      <c r="C7" s="41"/>
      <c r="D7" s="134" t="s">
        <v>133</v>
      </c>
      <c r="E7" s="126"/>
      <c r="F7" s="80"/>
      <c r="G7" s="131" t="s">
        <v>109</v>
      </c>
      <c r="H7" s="157"/>
      <c r="I7" s="158"/>
      <c r="J7" s="97"/>
      <c r="K7" s="15"/>
    </row>
    <row r="8" spans="2:11" s="3" customFormat="1" ht="18" customHeight="1">
      <c r="B8" s="41"/>
      <c r="C8" s="41"/>
      <c r="D8" s="135" t="s">
        <v>110</v>
      </c>
      <c r="E8" s="81"/>
      <c r="F8" s="81"/>
      <c r="G8" s="132" t="s">
        <v>66</v>
      </c>
      <c r="H8" s="159"/>
      <c r="I8" s="83"/>
      <c r="J8" s="98"/>
      <c r="K8" s="15"/>
    </row>
    <row r="9" spans="2:11" s="3" customFormat="1" ht="18" customHeight="1">
      <c r="B9" s="41"/>
      <c r="C9" s="41"/>
      <c r="D9" s="135" t="s">
        <v>68</v>
      </c>
      <c r="E9" s="81"/>
      <c r="F9" s="81"/>
      <c r="G9" s="132" t="s">
        <v>61</v>
      </c>
      <c r="H9" s="159"/>
      <c r="I9" s="83"/>
      <c r="J9" s="98"/>
      <c r="K9" s="17"/>
    </row>
    <row r="10" spans="2:11" s="3" customFormat="1" ht="18" customHeight="1">
      <c r="B10" s="41"/>
      <c r="C10" s="41"/>
      <c r="D10" s="136" t="s">
        <v>119</v>
      </c>
      <c r="E10" s="99"/>
      <c r="F10" s="99"/>
      <c r="G10" s="133" t="s">
        <v>120</v>
      </c>
      <c r="H10" s="160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7.25">
      <c r="B12" s="299" t="s">
        <v>31</v>
      </c>
      <c r="C12" s="300"/>
      <c r="D12" s="300"/>
      <c r="E12" s="301"/>
      <c r="F12" s="40"/>
      <c r="G12" s="307" t="s">
        <v>4</v>
      </c>
      <c r="H12" s="308"/>
      <c r="I12" s="308"/>
      <c r="J12" s="309"/>
      <c r="K12" s="15"/>
    </row>
    <row r="13" spans="2:11" ht="17.25">
      <c r="B13" s="165" t="s">
        <v>85</v>
      </c>
      <c r="C13" s="161"/>
      <c r="D13" s="195"/>
      <c r="E13" s="166">
        <v>34000</v>
      </c>
      <c r="F13" s="41"/>
      <c r="G13" s="238" t="s">
        <v>90</v>
      </c>
      <c r="H13" s="126"/>
      <c r="I13" s="126"/>
      <c r="J13" s="188">
        <f>rendimiento*precio_de_venta</f>
        <v>11900000</v>
      </c>
      <c r="K13" s="15"/>
    </row>
    <row r="14" spans="2:11" ht="18" customHeight="1">
      <c r="B14" s="167" t="s">
        <v>99</v>
      </c>
      <c r="C14" s="162"/>
      <c r="D14" s="162"/>
      <c r="E14" s="187">
        <v>350</v>
      </c>
      <c r="F14" s="41"/>
      <c r="G14" s="239" t="s">
        <v>91</v>
      </c>
      <c r="H14" s="127"/>
      <c r="I14" s="127"/>
      <c r="J14" s="189">
        <f>total_mano_obra+total_maquinaria+total_insumos+J77</f>
        <v>7216513.5</v>
      </c>
      <c r="K14" s="15"/>
    </row>
    <row r="15" spans="2:11" ht="17.25">
      <c r="B15" s="168" t="s">
        <v>72</v>
      </c>
      <c r="C15" s="163"/>
      <c r="D15" s="127"/>
      <c r="E15" s="187">
        <v>20000</v>
      </c>
      <c r="F15" s="41"/>
      <c r="G15" s="239" t="s">
        <v>92</v>
      </c>
      <c r="H15" s="128"/>
      <c r="I15" s="127"/>
      <c r="J15" s="189">
        <f>total_mano_obra+total_maquinaria+total_insumos+total_costos_indirectos+J77</f>
        <v>7541256.6075</v>
      </c>
      <c r="K15" s="15"/>
    </row>
    <row r="16" spans="2:11" ht="17.25">
      <c r="B16" s="168" t="s">
        <v>2</v>
      </c>
      <c r="C16" s="164"/>
      <c r="D16" s="127"/>
      <c r="E16" s="169">
        <v>0.015</v>
      </c>
      <c r="F16" s="41"/>
      <c r="G16" s="239" t="s">
        <v>93</v>
      </c>
      <c r="H16" s="127"/>
      <c r="I16" s="127"/>
      <c r="J16" s="189">
        <f>J13-J14</f>
        <v>4683486.5</v>
      </c>
      <c r="K16" s="15"/>
    </row>
    <row r="17" spans="2:11" ht="17.25">
      <c r="B17" s="168" t="s">
        <v>3</v>
      </c>
      <c r="C17" s="164"/>
      <c r="D17" s="127"/>
      <c r="E17" s="205">
        <v>6</v>
      </c>
      <c r="F17" s="41"/>
      <c r="G17" s="239" t="s">
        <v>94</v>
      </c>
      <c r="H17" s="127"/>
      <c r="I17" s="127"/>
      <c r="J17" s="189">
        <f>J13-J15</f>
        <v>4358743.3925</v>
      </c>
      <c r="K17" s="15"/>
    </row>
    <row r="18" spans="2:11" ht="17.25">
      <c r="B18" s="201"/>
      <c r="C18" s="202"/>
      <c r="D18" s="203"/>
      <c r="E18" s="204"/>
      <c r="F18" s="41"/>
      <c r="G18" s="240" t="s">
        <v>27</v>
      </c>
      <c r="H18" s="129"/>
      <c r="I18" s="130"/>
      <c r="J18" s="190">
        <f>total_costos/rendimiento</f>
        <v>221.80166492647058</v>
      </c>
      <c r="K18" s="15"/>
    </row>
    <row r="19" spans="2:11" s="3" customFormat="1" ht="17.25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1">
      <c r="B20" s="92" t="s">
        <v>28</v>
      </c>
      <c r="C20" s="91"/>
      <c r="D20" s="91"/>
      <c r="E20" s="325"/>
      <c r="F20" s="325"/>
      <c r="G20" s="102"/>
      <c r="H20" s="103"/>
      <c r="I20" s="104"/>
      <c r="J20" s="105"/>
      <c r="K20" s="15"/>
    </row>
    <row r="21" spans="2:11" s="3" customFormat="1" ht="18" customHeight="1">
      <c r="B21" s="208" t="s">
        <v>7</v>
      </c>
      <c r="C21" s="209"/>
      <c r="D21" s="209"/>
      <c r="E21" s="211" t="s">
        <v>69</v>
      </c>
      <c r="F21" s="211"/>
      <c r="G21" s="172" t="s">
        <v>5</v>
      </c>
      <c r="H21" s="173" t="s">
        <v>6</v>
      </c>
      <c r="I21" s="174" t="s">
        <v>70</v>
      </c>
      <c r="J21" s="175" t="s">
        <v>1</v>
      </c>
      <c r="K21" s="15"/>
    </row>
    <row r="22" spans="2:11" s="3" customFormat="1" ht="17.25">
      <c r="B22" s="144" t="s">
        <v>53</v>
      </c>
      <c r="C22" s="140"/>
      <c r="D22" s="141"/>
      <c r="E22" s="212" t="s">
        <v>122</v>
      </c>
      <c r="F22" s="213"/>
      <c r="G22" s="184">
        <v>2</v>
      </c>
      <c r="H22" s="177" t="s">
        <v>73</v>
      </c>
      <c r="I22" s="178">
        <f>$E$15</f>
        <v>20000</v>
      </c>
      <c r="J22" s="107">
        <f aca="true" t="shared" si="0" ref="J22:J29">G22*I22</f>
        <v>40000</v>
      </c>
      <c r="K22" s="15"/>
    </row>
    <row r="23" spans="2:11" s="3" customFormat="1" ht="17.25">
      <c r="B23" s="144" t="s">
        <v>112</v>
      </c>
      <c r="C23" s="140"/>
      <c r="D23" s="141"/>
      <c r="E23" s="212" t="s">
        <v>123</v>
      </c>
      <c r="F23" s="213"/>
      <c r="G23" s="184">
        <v>8</v>
      </c>
      <c r="H23" s="177" t="s">
        <v>73</v>
      </c>
      <c r="I23" s="178">
        <f>E15</f>
        <v>20000</v>
      </c>
      <c r="J23" s="107">
        <f>G23*I23</f>
        <v>160000</v>
      </c>
      <c r="K23" s="15"/>
    </row>
    <row r="24" spans="2:11" s="3" customFormat="1" ht="17.25">
      <c r="B24" s="144" t="s">
        <v>49</v>
      </c>
      <c r="C24" s="140"/>
      <c r="D24" s="141"/>
      <c r="E24" s="212" t="s">
        <v>124</v>
      </c>
      <c r="F24" s="213"/>
      <c r="G24" s="184">
        <v>2</v>
      </c>
      <c r="H24" s="177" t="s">
        <v>73</v>
      </c>
      <c r="I24" s="178">
        <f>$E$15</f>
        <v>20000</v>
      </c>
      <c r="J24" s="107">
        <f t="shared" si="0"/>
        <v>40000</v>
      </c>
      <c r="K24" s="15"/>
    </row>
    <row r="25" spans="2:11" s="3" customFormat="1" ht="17.25">
      <c r="B25" s="149" t="s">
        <v>54</v>
      </c>
      <c r="C25" s="150"/>
      <c r="D25" s="151"/>
      <c r="E25" s="212" t="s">
        <v>125</v>
      </c>
      <c r="F25" s="213"/>
      <c r="G25" s="184">
        <v>2</v>
      </c>
      <c r="H25" s="177" t="s">
        <v>73</v>
      </c>
      <c r="I25" s="178">
        <f>$E$15</f>
        <v>20000</v>
      </c>
      <c r="J25" s="107">
        <f t="shared" si="0"/>
        <v>40000</v>
      </c>
      <c r="K25" s="15"/>
    </row>
    <row r="26" spans="2:11" s="3" customFormat="1" ht="17.25">
      <c r="B26" s="149" t="s">
        <v>47</v>
      </c>
      <c r="C26" s="150"/>
      <c r="D26" s="151"/>
      <c r="E26" s="212" t="s">
        <v>125</v>
      </c>
      <c r="F26" s="213"/>
      <c r="G26" s="184">
        <v>2</v>
      </c>
      <c r="H26" s="177" t="s">
        <v>73</v>
      </c>
      <c r="I26" s="178">
        <f>$E$15</f>
        <v>20000</v>
      </c>
      <c r="J26" s="107">
        <f t="shared" si="0"/>
        <v>40000</v>
      </c>
      <c r="K26" s="15"/>
    </row>
    <row r="27" spans="2:11" s="3" customFormat="1" ht="17.25">
      <c r="B27" s="149" t="s">
        <v>50</v>
      </c>
      <c r="C27" s="150"/>
      <c r="D27" s="151"/>
      <c r="E27" s="212" t="s">
        <v>123</v>
      </c>
      <c r="F27" s="213"/>
      <c r="G27" s="184">
        <v>2</v>
      </c>
      <c r="H27" s="177" t="s">
        <v>73</v>
      </c>
      <c r="I27" s="178">
        <f>$E$15</f>
        <v>20000</v>
      </c>
      <c r="J27" s="107">
        <f t="shared" si="0"/>
        <v>40000</v>
      </c>
      <c r="K27" s="15"/>
    </row>
    <row r="28" spans="2:11" s="3" customFormat="1" ht="18" customHeight="1">
      <c r="B28" s="149" t="s">
        <v>100</v>
      </c>
      <c r="C28" s="196"/>
      <c r="D28" s="197"/>
      <c r="E28" s="212" t="s">
        <v>126</v>
      </c>
      <c r="F28" s="213"/>
      <c r="G28" s="184">
        <f>E13</f>
        <v>34000</v>
      </c>
      <c r="H28" s="177" t="s">
        <v>74</v>
      </c>
      <c r="I28" s="178">
        <v>22</v>
      </c>
      <c r="J28" s="107">
        <f t="shared" si="0"/>
        <v>748000</v>
      </c>
      <c r="K28" s="15"/>
    </row>
    <row r="29" spans="2:11" s="3" customFormat="1" ht="17.25">
      <c r="B29" s="154" t="s">
        <v>55</v>
      </c>
      <c r="C29" s="155"/>
      <c r="D29" s="156"/>
      <c r="E29" s="214" t="s">
        <v>126</v>
      </c>
      <c r="F29" s="215"/>
      <c r="G29" s="184">
        <f>E13</f>
        <v>34000</v>
      </c>
      <c r="H29" s="177" t="s">
        <v>74</v>
      </c>
      <c r="I29" s="178">
        <v>3</v>
      </c>
      <c r="J29" s="107">
        <f t="shared" si="0"/>
        <v>102000</v>
      </c>
      <c r="K29" s="15"/>
    </row>
    <row r="30" spans="2:11" ht="17.25">
      <c r="B30" s="206" t="s">
        <v>8</v>
      </c>
      <c r="C30" s="207"/>
      <c r="D30" s="207"/>
      <c r="E30" s="207"/>
      <c r="F30" s="207"/>
      <c r="G30" s="207"/>
      <c r="H30" s="207"/>
      <c r="I30" s="207"/>
      <c r="J30" s="84">
        <f>SUM(J22:J29)</f>
        <v>1210000</v>
      </c>
      <c r="K30" s="15"/>
    </row>
    <row r="31" spans="2:11" s="3" customFormat="1" ht="17.25">
      <c r="B31" s="19"/>
      <c r="C31" s="19"/>
      <c r="D31" s="19"/>
      <c r="E31" s="19"/>
      <c r="F31" s="19"/>
      <c r="G31" s="110"/>
      <c r="H31" s="19"/>
      <c r="I31" s="19"/>
      <c r="J31" s="111"/>
      <c r="K31" s="15"/>
    </row>
    <row r="32" spans="1:11" s="27" customFormat="1" ht="18.75">
      <c r="A32" s="3"/>
      <c r="B32" s="208" t="s">
        <v>101</v>
      </c>
      <c r="C32" s="209"/>
      <c r="D32" s="209"/>
      <c r="E32" s="211" t="s">
        <v>69</v>
      </c>
      <c r="F32" s="211"/>
      <c r="G32" s="172" t="s">
        <v>5</v>
      </c>
      <c r="H32" s="173" t="s">
        <v>6</v>
      </c>
      <c r="I32" s="174" t="s">
        <v>70</v>
      </c>
      <c r="J32" s="175" t="s">
        <v>1</v>
      </c>
      <c r="K32" s="15"/>
    </row>
    <row r="33" spans="1:11" s="3" customFormat="1" ht="17.25">
      <c r="A33" s="27"/>
      <c r="B33" s="152" t="s">
        <v>65</v>
      </c>
      <c r="C33" s="153"/>
      <c r="D33" s="153"/>
      <c r="E33" s="216" t="s">
        <v>122</v>
      </c>
      <c r="F33" s="217"/>
      <c r="G33" s="185">
        <v>2</v>
      </c>
      <c r="H33" s="179" t="s">
        <v>75</v>
      </c>
      <c r="I33" s="180">
        <v>30000</v>
      </c>
      <c r="J33" s="108">
        <f>G33*I33</f>
        <v>60000</v>
      </c>
      <c r="K33" s="15"/>
    </row>
    <row r="34" spans="2:11" s="3" customFormat="1" ht="17.25">
      <c r="B34" s="144" t="s">
        <v>48</v>
      </c>
      <c r="C34" s="140"/>
      <c r="D34" s="141"/>
      <c r="E34" s="218" t="s">
        <v>122</v>
      </c>
      <c r="F34" s="219"/>
      <c r="G34" s="186">
        <v>2</v>
      </c>
      <c r="H34" s="176" t="s">
        <v>75</v>
      </c>
      <c r="I34" s="181">
        <v>25000</v>
      </c>
      <c r="J34" s="106">
        <f aca="true" t="shared" si="1" ref="J34:J42">G34*I34</f>
        <v>50000</v>
      </c>
      <c r="K34" s="15"/>
    </row>
    <row r="35" spans="2:11" s="3" customFormat="1" ht="17.25">
      <c r="B35" s="144" t="s">
        <v>57</v>
      </c>
      <c r="C35" s="140"/>
      <c r="D35" s="141"/>
      <c r="E35" s="218" t="s">
        <v>122</v>
      </c>
      <c r="F35" s="219"/>
      <c r="G35" s="186">
        <v>1</v>
      </c>
      <c r="H35" s="176" t="s">
        <v>75</v>
      </c>
      <c r="I35" s="181">
        <v>100000</v>
      </c>
      <c r="J35" s="106">
        <f>G35*I35</f>
        <v>100000</v>
      </c>
      <c r="K35" s="15"/>
    </row>
    <row r="36" spans="2:11" s="3" customFormat="1" ht="17.25">
      <c r="B36" s="144" t="s">
        <v>51</v>
      </c>
      <c r="C36" s="140"/>
      <c r="D36" s="141"/>
      <c r="E36" s="218" t="s">
        <v>125</v>
      </c>
      <c r="F36" s="219"/>
      <c r="G36" s="186">
        <v>1</v>
      </c>
      <c r="H36" s="176" t="s">
        <v>75</v>
      </c>
      <c r="I36" s="181">
        <v>5000</v>
      </c>
      <c r="J36" s="106">
        <f t="shared" si="1"/>
        <v>5000</v>
      </c>
      <c r="K36" s="15"/>
    </row>
    <row r="37" spans="2:11" s="3" customFormat="1" ht="17.25">
      <c r="B37" s="149" t="s">
        <v>49</v>
      </c>
      <c r="C37" s="150"/>
      <c r="D37" s="151"/>
      <c r="E37" s="218" t="s">
        <v>71</v>
      </c>
      <c r="F37" s="219"/>
      <c r="G37" s="186">
        <v>1</v>
      </c>
      <c r="H37" s="176" t="s">
        <v>75</v>
      </c>
      <c r="I37" s="181">
        <v>30000</v>
      </c>
      <c r="J37" s="106">
        <f t="shared" si="1"/>
        <v>30000</v>
      </c>
      <c r="K37" s="15"/>
    </row>
    <row r="38" spans="2:11" s="3" customFormat="1" ht="17.25">
      <c r="B38" s="144" t="s">
        <v>58</v>
      </c>
      <c r="C38" s="140"/>
      <c r="D38" s="141"/>
      <c r="E38" s="218" t="s">
        <v>123</v>
      </c>
      <c r="F38" s="219"/>
      <c r="G38" s="186">
        <v>2</v>
      </c>
      <c r="H38" s="176" t="s">
        <v>75</v>
      </c>
      <c r="I38" s="181">
        <v>18000</v>
      </c>
      <c r="J38" s="106">
        <f t="shared" si="1"/>
        <v>36000</v>
      </c>
      <c r="K38" s="15"/>
    </row>
    <row r="39" spans="2:11" s="3" customFormat="1" ht="17.25">
      <c r="B39" s="149" t="s">
        <v>52</v>
      </c>
      <c r="C39" s="150"/>
      <c r="D39" s="151"/>
      <c r="E39" s="218" t="s">
        <v>76</v>
      </c>
      <c r="F39" s="219"/>
      <c r="G39" s="186">
        <v>2</v>
      </c>
      <c r="H39" s="176" t="s">
        <v>75</v>
      </c>
      <c r="I39" s="181">
        <v>30000</v>
      </c>
      <c r="J39" s="106">
        <f t="shared" si="1"/>
        <v>60000</v>
      </c>
      <c r="K39" s="15"/>
    </row>
    <row r="40" spans="2:11" s="3" customFormat="1" ht="17.25">
      <c r="B40" s="144" t="s">
        <v>60</v>
      </c>
      <c r="C40" s="140"/>
      <c r="D40" s="141"/>
      <c r="E40" s="218" t="s">
        <v>127</v>
      </c>
      <c r="F40" s="219"/>
      <c r="G40" s="186">
        <v>1</v>
      </c>
      <c r="H40" s="176" t="s">
        <v>75</v>
      </c>
      <c r="I40" s="181">
        <v>25000</v>
      </c>
      <c r="J40" s="106">
        <f t="shared" si="1"/>
        <v>25000</v>
      </c>
      <c r="K40" s="15"/>
    </row>
    <row r="41" spans="2:11" s="3" customFormat="1" ht="17.25">
      <c r="B41" s="144" t="s">
        <v>86</v>
      </c>
      <c r="C41" s="198"/>
      <c r="D41" s="199"/>
      <c r="E41" s="218" t="s">
        <v>126</v>
      </c>
      <c r="F41" s="219"/>
      <c r="G41" s="184">
        <f>E13</f>
        <v>34000</v>
      </c>
      <c r="H41" s="176" t="s">
        <v>74</v>
      </c>
      <c r="I41" s="181">
        <v>8</v>
      </c>
      <c r="J41" s="106">
        <f t="shared" si="1"/>
        <v>272000</v>
      </c>
      <c r="K41" s="15"/>
    </row>
    <row r="42" spans="2:11" s="3" customFormat="1" ht="17.25">
      <c r="B42" s="144" t="s">
        <v>62</v>
      </c>
      <c r="C42" s="140"/>
      <c r="D42" s="141"/>
      <c r="E42" s="218" t="s">
        <v>126</v>
      </c>
      <c r="F42" s="219"/>
      <c r="G42" s="184">
        <f>E13</f>
        <v>34000</v>
      </c>
      <c r="H42" s="176" t="s">
        <v>74</v>
      </c>
      <c r="I42" s="181">
        <v>2</v>
      </c>
      <c r="J42" s="109">
        <f t="shared" si="1"/>
        <v>68000</v>
      </c>
      <c r="K42" s="15"/>
    </row>
    <row r="43" spans="2:12" ht="17.25">
      <c r="B43" s="206" t="s">
        <v>10</v>
      </c>
      <c r="C43" s="207"/>
      <c r="D43" s="207"/>
      <c r="E43" s="207"/>
      <c r="F43" s="207"/>
      <c r="G43" s="207"/>
      <c r="H43" s="207"/>
      <c r="I43" s="207"/>
      <c r="J43" s="93">
        <f>SUM(J33:J42)</f>
        <v>706000</v>
      </c>
      <c r="K43" s="15"/>
      <c r="L43" s="15"/>
    </row>
    <row r="44" spans="2:12" s="3" customFormat="1" ht="17.25">
      <c r="B44" s="78"/>
      <c r="C44" s="78"/>
      <c r="D44" s="78"/>
      <c r="E44" s="78"/>
      <c r="F44" s="78"/>
      <c r="G44" s="24" t="s">
        <v>33</v>
      </c>
      <c r="H44" s="78"/>
      <c r="I44" s="78"/>
      <c r="J44" s="26"/>
      <c r="K44" s="15"/>
      <c r="L44" s="18"/>
    </row>
    <row r="45" spans="2:12" s="3" customFormat="1" ht="18.75">
      <c r="B45" s="208" t="s">
        <v>102</v>
      </c>
      <c r="C45" s="209"/>
      <c r="D45" s="209"/>
      <c r="E45" s="211" t="s">
        <v>69</v>
      </c>
      <c r="F45" s="211"/>
      <c r="G45" s="172" t="s">
        <v>5</v>
      </c>
      <c r="H45" s="173" t="s">
        <v>6</v>
      </c>
      <c r="I45" s="174" t="s">
        <v>70</v>
      </c>
      <c r="J45" s="175" t="s">
        <v>1</v>
      </c>
      <c r="K45" s="15"/>
      <c r="L45" s="23"/>
    </row>
    <row r="46" spans="2:12" s="3" customFormat="1" ht="17.25">
      <c r="B46" s="263" t="s">
        <v>136</v>
      </c>
      <c r="C46" s="137"/>
      <c r="D46" s="138"/>
      <c r="E46" s="216" t="s">
        <v>128</v>
      </c>
      <c r="F46" s="217"/>
      <c r="G46" s="191">
        <v>2800</v>
      </c>
      <c r="H46" s="192" t="s">
        <v>74</v>
      </c>
      <c r="I46" s="193">
        <v>1000</v>
      </c>
      <c r="J46" s="10">
        <f>G46*I46</f>
        <v>2800000</v>
      </c>
      <c r="K46" s="15"/>
      <c r="L46" s="23"/>
    </row>
    <row r="47" spans="2:12" s="3" customFormat="1" ht="17.25">
      <c r="B47" s="182"/>
      <c r="C47" s="137"/>
      <c r="D47" s="138"/>
      <c r="E47" s="218"/>
      <c r="F47" s="219"/>
      <c r="G47" s="191"/>
      <c r="H47" s="192"/>
      <c r="I47" s="193"/>
      <c r="J47" s="10"/>
      <c r="K47" s="15"/>
      <c r="L47" s="23"/>
    </row>
    <row r="48" spans="2:12" s="3" customFormat="1" ht="17.25">
      <c r="B48" s="139" t="s">
        <v>24</v>
      </c>
      <c r="C48" s="137"/>
      <c r="D48" s="138"/>
      <c r="E48" s="218"/>
      <c r="F48" s="219"/>
      <c r="G48" s="191"/>
      <c r="H48" s="192"/>
      <c r="I48" s="193"/>
      <c r="J48" s="10"/>
      <c r="K48" s="15"/>
      <c r="L48" s="23"/>
    </row>
    <row r="49" spans="2:12" s="3" customFormat="1" ht="17.25">
      <c r="B49" s="263" t="s">
        <v>137</v>
      </c>
      <c r="C49" s="142"/>
      <c r="D49" s="143"/>
      <c r="E49" s="218" t="s">
        <v>122</v>
      </c>
      <c r="F49" s="219"/>
      <c r="G49" s="194">
        <v>600</v>
      </c>
      <c r="H49" s="177" t="s">
        <v>74</v>
      </c>
      <c r="I49" s="193">
        <v>510</v>
      </c>
      <c r="J49" s="10">
        <f>G49*I49</f>
        <v>306000</v>
      </c>
      <c r="K49" s="15"/>
      <c r="L49" s="23"/>
    </row>
    <row r="50" spans="2:12" s="3" customFormat="1" ht="17.25">
      <c r="B50" s="263" t="s">
        <v>138</v>
      </c>
      <c r="C50" s="142"/>
      <c r="D50" s="143"/>
      <c r="E50" s="218" t="s">
        <v>129</v>
      </c>
      <c r="F50" s="219"/>
      <c r="G50" s="194">
        <v>600</v>
      </c>
      <c r="H50" s="177" t="s">
        <v>74</v>
      </c>
      <c r="I50" s="193">
        <v>550</v>
      </c>
      <c r="J50" s="10">
        <f>G50*I50</f>
        <v>330000</v>
      </c>
      <c r="K50" s="15"/>
      <c r="L50" s="23"/>
    </row>
    <row r="51" spans="2:12" s="3" customFormat="1" ht="17.25">
      <c r="B51" s="263" t="s">
        <v>139</v>
      </c>
      <c r="C51" s="142"/>
      <c r="D51" s="143"/>
      <c r="E51" s="218" t="s">
        <v>130</v>
      </c>
      <c r="F51" s="219"/>
      <c r="G51" s="194">
        <v>200</v>
      </c>
      <c r="H51" s="177" t="s">
        <v>74</v>
      </c>
      <c r="I51" s="193">
        <v>520</v>
      </c>
      <c r="J51" s="10">
        <f>G51*I51</f>
        <v>104000</v>
      </c>
      <c r="K51" s="15"/>
      <c r="L51" s="23"/>
    </row>
    <row r="52" spans="2:12" s="3" customFormat="1" ht="17.25">
      <c r="B52" s="182"/>
      <c r="C52" s="142"/>
      <c r="D52" s="143"/>
      <c r="E52" s="218"/>
      <c r="F52" s="219"/>
      <c r="G52" s="194"/>
      <c r="H52" s="177"/>
      <c r="I52" s="193"/>
      <c r="J52" s="10"/>
      <c r="K52" s="15"/>
      <c r="L52" s="23"/>
    </row>
    <row r="53" spans="2:12" s="3" customFormat="1" ht="17.25">
      <c r="B53" s="145" t="s">
        <v>25</v>
      </c>
      <c r="C53" s="146"/>
      <c r="D53" s="147"/>
      <c r="E53" s="218"/>
      <c r="F53" s="219"/>
      <c r="G53" s="194"/>
      <c r="H53" s="177"/>
      <c r="I53" s="193"/>
      <c r="J53" s="10"/>
      <c r="K53" s="15"/>
      <c r="L53" s="23"/>
    </row>
    <row r="54" spans="2:12" s="3" customFormat="1" ht="17.25">
      <c r="B54" s="144" t="s">
        <v>140</v>
      </c>
      <c r="C54" s="140"/>
      <c r="D54" s="141"/>
      <c r="E54" s="218" t="s">
        <v>131</v>
      </c>
      <c r="F54" s="219"/>
      <c r="G54" s="194">
        <v>2</v>
      </c>
      <c r="H54" s="177" t="s">
        <v>74</v>
      </c>
      <c r="I54" s="193">
        <v>28540</v>
      </c>
      <c r="J54" s="10">
        <f>G54*I54</f>
        <v>57080</v>
      </c>
      <c r="K54" s="15"/>
      <c r="L54" s="23"/>
    </row>
    <row r="55" spans="2:12" s="3" customFormat="1" ht="17.25">
      <c r="B55" s="144" t="s">
        <v>141</v>
      </c>
      <c r="C55" s="140"/>
      <c r="D55" s="141"/>
      <c r="E55" s="218" t="s">
        <v>131</v>
      </c>
      <c r="F55" s="219"/>
      <c r="G55" s="194">
        <v>1.5</v>
      </c>
      <c r="H55" s="177" t="s">
        <v>74</v>
      </c>
      <c r="I55" s="193">
        <v>30150</v>
      </c>
      <c r="J55" s="10">
        <f>G55*I55</f>
        <v>45225</v>
      </c>
      <c r="K55" s="15"/>
      <c r="L55" s="23"/>
    </row>
    <row r="56" spans="2:12" s="3" customFormat="1" ht="17.25">
      <c r="B56" s="144" t="s">
        <v>142</v>
      </c>
      <c r="C56" s="140"/>
      <c r="D56" s="141"/>
      <c r="E56" s="218" t="s">
        <v>131</v>
      </c>
      <c r="F56" s="219"/>
      <c r="G56" s="194">
        <v>0.4</v>
      </c>
      <c r="H56" s="177" t="s">
        <v>77</v>
      </c>
      <c r="I56" s="193">
        <v>88700</v>
      </c>
      <c r="J56" s="10">
        <f>G56*I56</f>
        <v>35480</v>
      </c>
      <c r="K56" s="15"/>
      <c r="L56" s="23"/>
    </row>
    <row r="57" spans="2:12" s="3" customFormat="1" ht="17.25">
      <c r="B57" s="183"/>
      <c r="C57" s="140"/>
      <c r="D57" s="141"/>
      <c r="E57" s="218"/>
      <c r="F57" s="219"/>
      <c r="G57" s="194"/>
      <c r="H57" s="177"/>
      <c r="I57" s="193"/>
      <c r="J57" s="10"/>
      <c r="K57" s="15"/>
      <c r="L57" s="23"/>
    </row>
    <row r="58" spans="2:13" s="3" customFormat="1" ht="17.25">
      <c r="B58" s="145" t="s">
        <v>26</v>
      </c>
      <c r="C58" s="146"/>
      <c r="D58" s="147"/>
      <c r="E58" s="218"/>
      <c r="F58" s="219"/>
      <c r="G58" s="194"/>
      <c r="H58" s="177"/>
      <c r="I58" s="193"/>
      <c r="J58" s="10"/>
      <c r="K58" s="15"/>
      <c r="L58" s="23"/>
      <c r="M58" s="3" t="s">
        <v>34</v>
      </c>
    </row>
    <row r="59" spans="2:12" s="3" customFormat="1" ht="17.25">
      <c r="B59" s="144" t="s">
        <v>143</v>
      </c>
      <c r="C59" s="140"/>
      <c r="D59" s="141"/>
      <c r="E59" s="218" t="s">
        <v>131</v>
      </c>
      <c r="F59" s="219"/>
      <c r="G59" s="191">
        <v>0.3</v>
      </c>
      <c r="H59" s="192" t="s">
        <v>77</v>
      </c>
      <c r="I59" s="193">
        <v>70100</v>
      </c>
      <c r="J59" s="10">
        <f>G59*I59</f>
        <v>21030</v>
      </c>
      <c r="K59" s="15"/>
      <c r="L59" s="23"/>
    </row>
    <row r="60" spans="2:12" s="3" customFormat="1" ht="17.25">
      <c r="B60" s="144" t="s">
        <v>144</v>
      </c>
      <c r="C60" s="140"/>
      <c r="D60" s="141"/>
      <c r="E60" s="218" t="s">
        <v>131</v>
      </c>
      <c r="F60" s="219"/>
      <c r="G60" s="191">
        <v>0.3</v>
      </c>
      <c r="H60" s="192" t="s">
        <v>77</v>
      </c>
      <c r="I60" s="193">
        <v>42350</v>
      </c>
      <c r="J60" s="10">
        <f>G60*I60</f>
        <v>12705</v>
      </c>
      <c r="K60" s="15"/>
      <c r="L60" s="23"/>
    </row>
    <row r="61" spans="2:12" s="3" customFormat="1" ht="17.25">
      <c r="B61" s="183"/>
      <c r="C61" s="140"/>
      <c r="D61" s="141"/>
      <c r="E61" s="218"/>
      <c r="F61" s="219"/>
      <c r="G61" s="191"/>
      <c r="H61" s="192"/>
      <c r="I61" s="193"/>
      <c r="J61" s="10"/>
      <c r="K61" s="15"/>
      <c r="L61" s="23"/>
    </row>
    <row r="62" spans="2:12" s="3" customFormat="1" ht="17.25">
      <c r="B62" s="145" t="s">
        <v>64</v>
      </c>
      <c r="C62" s="140"/>
      <c r="D62" s="141"/>
      <c r="E62" s="218"/>
      <c r="F62" s="219"/>
      <c r="G62" s="191"/>
      <c r="H62" s="192"/>
      <c r="I62" s="193"/>
      <c r="J62" s="10"/>
      <c r="K62" s="15"/>
      <c r="L62" s="23"/>
    </row>
    <row r="63" spans="2:12" s="3" customFormat="1" ht="17.25">
      <c r="B63" s="144" t="s">
        <v>145</v>
      </c>
      <c r="C63" s="140"/>
      <c r="D63" s="141"/>
      <c r="E63" s="218" t="s">
        <v>122</v>
      </c>
      <c r="F63" s="219"/>
      <c r="G63" s="191">
        <v>1</v>
      </c>
      <c r="H63" s="192" t="s">
        <v>77</v>
      </c>
      <c r="I63" s="193">
        <v>37000</v>
      </c>
      <c r="J63" s="10">
        <f>G63*I63</f>
        <v>37000</v>
      </c>
      <c r="K63" s="15"/>
      <c r="L63" s="23"/>
    </row>
    <row r="64" spans="2:12" s="3" customFormat="1" ht="17.25">
      <c r="B64" s="183"/>
      <c r="C64" s="140"/>
      <c r="D64" s="141"/>
      <c r="E64" s="218"/>
      <c r="F64" s="219"/>
      <c r="G64" s="191"/>
      <c r="H64" s="192"/>
      <c r="I64" s="193"/>
      <c r="J64" s="10"/>
      <c r="K64" s="15"/>
      <c r="L64" s="23"/>
    </row>
    <row r="65" spans="2:12" s="3" customFormat="1" ht="17.25">
      <c r="B65" s="145" t="s">
        <v>35</v>
      </c>
      <c r="C65" s="140"/>
      <c r="D65" s="141"/>
      <c r="E65" s="218"/>
      <c r="F65" s="219"/>
      <c r="G65" s="191"/>
      <c r="H65" s="192"/>
      <c r="I65" s="193"/>
      <c r="J65" s="10"/>
      <c r="K65" s="15"/>
      <c r="L65" s="23"/>
    </row>
    <row r="66" spans="2:12" s="3" customFormat="1" ht="17.25">
      <c r="B66" s="144" t="s">
        <v>146</v>
      </c>
      <c r="C66" s="140"/>
      <c r="D66" s="141"/>
      <c r="E66" s="218" t="s">
        <v>131</v>
      </c>
      <c r="F66" s="219"/>
      <c r="G66" s="191">
        <v>3</v>
      </c>
      <c r="H66" s="192" t="s">
        <v>77</v>
      </c>
      <c r="I66" s="193">
        <v>10450</v>
      </c>
      <c r="J66" s="10">
        <f>G66*I66</f>
        <v>31350</v>
      </c>
      <c r="K66" s="15"/>
      <c r="L66" s="23"/>
    </row>
    <row r="67" spans="2:12" s="3" customFormat="1" ht="17.25">
      <c r="B67" s="183"/>
      <c r="C67" s="140"/>
      <c r="D67" s="141"/>
      <c r="E67" s="218"/>
      <c r="F67" s="219"/>
      <c r="G67" s="191"/>
      <c r="H67" s="192"/>
      <c r="I67" s="193"/>
      <c r="J67" s="10"/>
      <c r="K67" s="15"/>
      <c r="L67" s="23"/>
    </row>
    <row r="68" spans="2:12" s="3" customFormat="1" ht="17.25">
      <c r="B68" s="139" t="s">
        <v>36</v>
      </c>
      <c r="C68" s="142"/>
      <c r="D68" s="143"/>
      <c r="E68" s="218"/>
      <c r="F68" s="219"/>
      <c r="G68" s="191"/>
      <c r="H68" s="192"/>
      <c r="I68" s="193"/>
      <c r="J68" s="10"/>
      <c r="K68" s="15"/>
      <c r="L68" s="23"/>
    </row>
    <row r="69" spans="2:12" s="3" customFormat="1" ht="17.25">
      <c r="B69" s="263" t="s">
        <v>147</v>
      </c>
      <c r="C69" s="142"/>
      <c r="D69" s="143"/>
      <c r="E69" s="218" t="s">
        <v>132</v>
      </c>
      <c r="F69" s="219"/>
      <c r="G69" s="191">
        <v>8</v>
      </c>
      <c r="H69" s="192" t="s">
        <v>111</v>
      </c>
      <c r="I69" s="193">
        <v>70000</v>
      </c>
      <c r="J69" s="10">
        <f>G69*I69</f>
        <v>560000</v>
      </c>
      <c r="K69" s="15"/>
      <c r="L69" s="23"/>
    </row>
    <row r="70" spans="2:12" s="3" customFormat="1" ht="17.25">
      <c r="B70" s="263" t="s">
        <v>148</v>
      </c>
      <c r="C70" s="142"/>
      <c r="D70" s="143"/>
      <c r="E70" s="218" t="s">
        <v>123</v>
      </c>
      <c r="F70" s="219"/>
      <c r="G70" s="191">
        <v>1</v>
      </c>
      <c r="H70" s="192" t="s">
        <v>75</v>
      </c>
      <c r="I70" s="193">
        <v>300000</v>
      </c>
      <c r="J70" s="10">
        <f>G70*I70</f>
        <v>300000</v>
      </c>
      <c r="K70" s="15"/>
      <c r="L70" s="23"/>
    </row>
    <row r="71" spans="2:12" s="3" customFormat="1" ht="17.25">
      <c r="B71" s="263" t="s">
        <v>149</v>
      </c>
      <c r="C71" s="148"/>
      <c r="D71" s="143"/>
      <c r="E71" s="218" t="s">
        <v>126</v>
      </c>
      <c r="F71" s="219"/>
      <c r="G71" s="191">
        <f>E13/25</f>
        <v>1360</v>
      </c>
      <c r="H71" s="192" t="s">
        <v>78</v>
      </c>
      <c r="I71" s="193">
        <v>200</v>
      </c>
      <c r="J71" s="10">
        <f>G71*I71</f>
        <v>272000</v>
      </c>
      <c r="K71" s="15"/>
      <c r="L71" s="23"/>
    </row>
    <row r="72" spans="2:12" s="3" customFormat="1" ht="17.25">
      <c r="B72" s="263" t="s">
        <v>150</v>
      </c>
      <c r="C72" s="148"/>
      <c r="D72" s="143"/>
      <c r="E72" s="218" t="s">
        <v>126</v>
      </c>
      <c r="F72" s="219"/>
      <c r="G72" s="191">
        <v>3</v>
      </c>
      <c r="H72" s="192" t="s">
        <v>78</v>
      </c>
      <c r="I72" s="193">
        <v>5000</v>
      </c>
      <c r="J72" s="10">
        <f>G72*I72</f>
        <v>15000</v>
      </c>
      <c r="K72" s="15"/>
      <c r="L72" s="23"/>
    </row>
    <row r="73" spans="2:12" s="3" customFormat="1" ht="18" customHeight="1">
      <c r="B73" s="263" t="s">
        <v>151</v>
      </c>
      <c r="C73" s="142"/>
      <c r="D73" s="143"/>
      <c r="E73" s="222" t="s">
        <v>128</v>
      </c>
      <c r="F73" s="223"/>
      <c r="G73" s="191">
        <v>1</v>
      </c>
      <c r="H73" s="192" t="s">
        <v>79</v>
      </c>
      <c r="I73" s="193">
        <v>30000</v>
      </c>
      <c r="J73" s="10">
        <f>G73*I73</f>
        <v>30000</v>
      </c>
      <c r="K73" s="15"/>
      <c r="L73" s="23"/>
    </row>
    <row r="74" spans="2:14" ht="17.25">
      <c r="B74" s="220" t="s">
        <v>11</v>
      </c>
      <c r="C74" s="221"/>
      <c r="D74" s="221"/>
      <c r="E74" s="221"/>
      <c r="F74" s="221"/>
      <c r="G74" s="221"/>
      <c r="H74" s="221"/>
      <c r="I74" s="221"/>
      <c r="J74" s="94">
        <f>SUM(J46:J73)</f>
        <v>4956870</v>
      </c>
      <c r="K74" s="15"/>
      <c r="M74" s="15"/>
      <c r="N74" s="15"/>
    </row>
    <row r="75" spans="2:14" s="3" customFormat="1" ht="17.25">
      <c r="B75" s="28"/>
      <c r="C75" s="28"/>
      <c r="D75" s="28"/>
      <c r="E75" s="28"/>
      <c r="F75" s="28"/>
      <c r="G75" s="29"/>
      <c r="H75" s="28"/>
      <c r="I75" s="28"/>
      <c r="J75" s="30"/>
      <c r="K75" s="15"/>
      <c r="M75" s="15"/>
      <c r="N75" s="15"/>
    </row>
    <row r="76" spans="2:16" ht="18" customHeight="1">
      <c r="B76" s="208" t="s">
        <v>87</v>
      </c>
      <c r="C76" s="209"/>
      <c r="D76" s="209"/>
      <c r="E76" s="210"/>
      <c r="F76" s="210"/>
      <c r="G76" s="172" t="s">
        <v>5</v>
      </c>
      <c r="H76" s="173" t="s">
        <v>6</v>
      </c>
      <c r="I76" s="174"/>
      <c r="J76" s="175" t="s">
        <v>1</v>
      </c>
      <c r="K76" s="15"/>
      <c r="M76" s="15"/>
      <c r="N76" s="15"/>
      <c r="O76" s="9"/>
      <c r="P76" s="9"/>
    </row>
    <row r="77" spans="2:14" s="3" customFormat="1" ht="17.25">
      <c r="B77" s="233" t="s">
        <v>88</v>
      </c>
      <c r="C77" s="234"/>
      <c r="D77" s="235"/>
      <c r="E77" s="305" t="s">
        <v>135</v>
      </c>
      <c r="F77" s="306"/>
      <c r="G77" s="255">
        <v>0.05</v>
      </c>
      <c r="H77" s="236" t="s">
        <v>80</v>
      </c>
      <c r="I77" s="237"/>
      <c r="J77" s="237">
        <f>(J30+J43+J74)*G77</f>
        <v>343643.5</v>
      </c>
      <c r="K77" s="15"/>
      <c r="M77" s="15"/>
      <c r="N77" s="15"/>
    </row>
    <row r="78" spans="2:14" s="3" customFormat="1" ht="17.25">
      <c r="B78" s="28"/>
      <c r="C78" s="28"/>
      <c r="D78" s="28"/>
      <c r="E78" s="28"/>
      <c r="F78" s="28"/>
      <c r="G78" s="29"/>
      <c r="H78" s="28"/>
      <c r="I78" s="28"/>
      <c r="J78" s="30"/>
      <c r="K78" s="15"/>
      <c r="M78" s="15"/>
      <c r="N78" s="15"/>
    </row>
    <row r="79" spans="2:16" ht="17.25">
      <c r="B79" s="224" t="s">
        <v>89</v>
      </c>
      <c r="C79" s="225"/>
      <c r="D79" s="225"/>
      <c r="E79" s="225"/>
      <c r="F79" s="225"/>
      <c r="G79" s="225"/>
      <c r="H79" s="225"/>
      <c r="I79" s="225"/>
      <c r="J79" s="84">
        <f>total_mano_obra+total_maquinaria+total_insumos+J77</f>
        <v>7216513.5</v>
      </c>
      <c r="K79" s="15"/>
      <c r="M79" s="15"/>
      <c r="N79" s="15"/>
      <c r="O79" s="9"/>
      <c r="P79" s="9"/>
    </row>
    <row r="80" spans="2:14" s="3" customFormat="1" ht="17.25">
      <c r="B80" s="79"/>
      <c r="C80" s="79"/>
      <c r="D80" s="79"/>
      <c r="E80" s="79"/>
      <c r="F80" s="79"/>
      <c r="G80" s="31"/>
      <c r="H80" s="79"/>
      <c r="I80" s="79"/>
      <c r="J80" s="26"/>
      <c r="K80" s="15"/>
      <c r="M80" s="15"/>
      <c r="N80" s="15"/>
    </row>
    <row r="81" spans="2:14" s="3" customFormat="1" ht="17.25">
      <c r="B81" s="96"/>
      <c r="C81" s="96"/>
      <c r="D81" s="96"/>
      <c r="E81" s="96"/>
      <c r="F81" s="96"/>
      <c r="G81" s="31"/>
      <c r="H81" s="96"/>
      <c r="I81" s="96"/>
      <c r="J81" s="26"/>
      <c r="K81" s="15"/>
      <c r="M81" s="15"/>
      <c r="N81" s="15"/>
    </row>
    <row r="82" spans="2:14" s="3" customFormat="1" ht="21">
      <c r="B82" s="92" t="s">
        <v>95</v>
      </c>
      <c r="C82" s="91"/>
      <c r="D82" s="91"/>
      <c r="E82" s="19"/>
      <c r="F82" s="19"/>
      <c r="G82" s="20"/>
      <c r="H82" s="21"/>
      <c r="I82" s="22"/>
      <c r="J82" s="22"/>
      <c r="K82" s="15"/>
      <c r="M82" s="15"/>
      <c r="N82" s="15"/>
    </row>
    <row r="83" spans="2:14" s="3" customFormat="1" ht="17.25">
      <c r="B83" s="226" t="s">
        <v>32</v>
      </c>
      <c r="C83" s="210"/>
      <c r="D83" s="210"/>
      <c r="E83" s="210"/>
      <c r="F83" s="210"/>
      <c r="G83" s="172" t="s">
        <v>5</v>
      </c>
      <c r="H83" s="173" t="s">
        <v>6</v>
      </c>
      <c r="I83" s="174"/>
      <c r="J83" s="175" t="s">
        <v>1</v>
      </c>
      <c r="K83" s="15"/>
      <c r="M83" s="15"/>
      <c r="N83" s="15"/>
    </row>
    <row r="84" spans="2:15" s="3" customFormat="1" ht="19.5">
      <c r="B84" s="152" t="s">
        <v>103</v>
      </c>
      <c r="C84" s="153"/>
      <c r="D84" s="153"/>
      <c r="E84" s="297" t="s">
        <v>135</v>
      </c>
      <c r="F84" s="298"/>
      <c r="G84" s="249">
        <f>E16</f>
        <v>0.015</v>
      </c>
      <c r="H84" s="252" t="s">
        <v>80</v>
      </c>
      <c r="I84" s="241"/>
      <c r="J84" s="256">
        <f>total_costos_directos*tasa_interes_mensual*meses_financiamiento*0.5</f>
        <v>324743.1075</v>
      </c>
      <c r="K84" s="15"/>
      <c r="L84" s="264"/>
      <c r="M84" s="264"/>
      <c r="N84" s="264"/>
      <c r="O84" s="264"/>
    </row>
    <row r="85" spans="2:15" s="3" customFormat="1" ht="17.25">
      <c r="B85" s="242" t="s">
        <v>96</v>
      </c>
      <c r="C85" s="140"/>
      <c r="D85" s="140"/>
      <c r="E85" s="245"/>
      <c r="F85" s="246"/>
      <c r="G85" s="250"/>
      <c r="H85" s="253"/>
      <c r="I85" s="25"/>
      <c r="J85" s="257"/>
      <c r="K85" s="15"/>
      <c r="L85" s="200"/>
      <c r="M85" s="200"/>
      <c r="N85" s="200"/>
      <c r="O85" s="200"/>
    </row>
    <row r="86" spans="2:15" s="3" customFormat="1" ht="17.25">
      <c r="B86" s="242" t="s">
        <v>97</v>
      </c>
      <c r="C86" s="140"/>
      <c r="D86" s="140"/>
      <c r="E86" s="245"/>
      <c r="F86" s="246"/>
      <c r="G86" s="250"/>
      <c r="H86" s="253"/>
      <c r="I86" s="25"/>
      <c r="J86" s="257"/>
      <c r="K86" s="15"/>
      <c r="L86" s="200"/>
      <c r="M86" s="200"/>
      <c r="N86" s="200"/>
      <c r="O86" s="200"/>
    </row>
    <row r="87" spans="2:15" s="3" customFormat="1" ht="17.25">
      <c r="B87" s="243" t="s">
        <v>98</v>
      </c>
      <c r="C87" s="155"/>
      <c r="D87" s="155"/>
      <c r="E87" s="247"/>
      <c r="F87" s="248"/>
      <c r="G87" s="251"/>
      <c r="H87" s="254"/>
      <c r="I87" s="244"/>
      <c r="J87" s="258"/>
      <c r="K87" s="15"/>
      <c r="L87" s="200"/>
      <c r="M87" s="200"/>
      <c r="N87" s="200"/>
      <c r="O87" s="200"/>
    </row>
    <row r="88" spans="2:14" ht="17.25">
      <c r="B88" s="206" t="s">
        <v>29</v>
      </c>
      <c r="C88" s="207"/>
      <c r="D88" s="207"/>
      <c r="E88" s="207"/>
      <c r="F88" s="207"/>
      <c r="G88" s="207"/>
      <c r="H88" s="207"/>
      <c r="I88" s="207"/>
      <c r="J88" s="84">
        <f>SUM(J84:J84)</f>
        <v>324743.1075</v>
      </c>
      <c r="K88" s="15"/>
      <c r="M88" s="15"/>
      <c r="N88" s="15"/>
    </row>
    <row r="89" spans="2:12" s="3" customFormat="1" ht="18" customHeight="1">
      <c r="B89" s="78"/>
      <c r="C89" s="78"/>
      <c r="D89" s="78"/>
      <c r="E89" s="78"/>
      <c r="F89" s="78"/>
      <c r="G89" s="24"/>
      <c r="H89" s="78"/>
      <c r="I89" s="78"/>
      <c r="J89" s="26"/>
      <c r="K89" s="15"/>
      <c r="L89" s="15"/>
    </row>
    <row r="90" spans="2:12" ht="18" customHeight="1">
      <c r="B90" s="227" t="s">
        <v>13</v>
      </c>
      <c r="C90" s="228"/>
      <c r="D90" s="228"/>
      <c r="E90" s="228"/>
      <c r="F90" s="228"/>
      <c r="G90" s="228"/>
      <c r="H90" s="228"/>
      <c r="I90" s="228"/>
      <c r="J90" s="231">
        <f>total_costos_directos+total_costos_indirectos</f>
        <v>7541256.6075</v>
      </c>
      <c r="K90" s="15"/>
      <c r="L90" s="15"/>
    </row>
    <row r="91" spans="2:12" s="3" customFormat="1" ht="18" customHeight="1">
      <c r="B91" s="229"/>
      <c r="C91" s="230"/>
      <c r="D91" s="230"/>
      <c r="E91" s="230"/>
      <c r="F91" s="230"/>
      <c r="G91" s="230"/>
      <c r="H91" s="230"/>
      <c r="I91" s="230"/>
      <c r="J91" s="232"/>
      <c r="K91" s="15"/>
      <c r="L91" s="15"/>
    </row>
    <row r="92" spans="2:12" s="3" customFormat="1" ht="18" customHeight="1">
      <c r="B92" s="28"/>
      <c r="C92" s="28"/>
      <c r="D92" s="28"/>
      <c r="E92" s="28"/>
      <c r="F92" s="28"/>
      <c r="G92" s="29"/>
      <c r="H92" s="28"/>
      <c r="I92" s="28"/>
      <c r="J92" s="30"/>
      <c r="K92" s="15"/>
      <c r="L92" s="15"/>
    </row>
    <row r="93" spans="2:12" ht="18" customHeight="1">
      <c r="B93" s="326" t="s">
        <v>104</v>
      </c>
      <c r="C93" s="327"/>
      <c r="D93" s="327"/>
      <c r="E93" s="327"/>
      <c r="F93" s="327"/>
      <c r="G93" s="327"/>
      <c r="H93" s="327"/>
      <c r="I93" s="327"/>
      <c r="J93" s="328"/>
      <c r="K93" s="15"/>
      <c r="L93" s="23"/>
    </row>
    <row r="94" spans="2:12" ht="18" customHeight="1">
      <c r="B94" s="267" t="s">
        <v>81</v>
      </c>
      <c r="C94" s="268"/>
      <c r="D94" s="268"/>
      <c r="E94" s="268"/>
      <c r="F94" s="268"/>
      <c r="G94" s="268"/>
      <c r="H94" s="268"/>
      <c r="I94" s="268"/>
      <c r="J94" s="269"/>
      <c r="K94" s="15"/>
      <c r="L94" s="23"/>
    </row>
    <row r="95" spans="2:12" s="3" customFormat="1" ht="18" customHeight="1">
      <c r="B95" s="270" t="s">
        <v>83</v>
      </c>
      <c r="C95" s="270"/>
      <c r="D95" s="270"/>
      <c r="E95" s="329" t="s">
        <v>82</v>
      </c>
      <c r="F95" s="330"/>
      <c r="G95" s="330"/>
      <c r="H95" s="330"/>
      <c r="I95" s="330"/>
      <c r="J95" s="331"/>
      <c r="K95" s="15"/>
      <c r="L95" s="23"/>
    </row>
    <row r="96" spans="2:12" s="3" customFormat="1" ht="18" customHeight="1">
      <c r="B96" s="270"/>
      <c r="C96" s="270"/>
      <c r="D96" s="270"/>
      <c r="E96" s="266">
        <f>G96*0.9</f>
        <v>315</v>
      </c>
      <c r="F96" s="266"/>
      <c r="G96" s="271">
        <f>precio_de_venta</f>
        <v>350</v>
      </c>
      <c r="H96" s="271"/>
      <c r="I96" s="266">
        <f>G96*1.1</f>
        <v>385.00000000000006</v>
      </c>
      <c r="J96" s="266"/>
      <c r="K96" s="15"/>
      <c r="L96" s="23"/>
    </row>
    <row r="97" spans="2:12" s="3" customFormat="1" ht="18" customHeight="1">
      <c r="B97" s="266">
        <f>rendimiento*0.9</f>
        <v>30600</v>
      </c>
      <c r="C97" s="266"/>
      <c r="D97" s="266"/>
      <c r="E97" s="265">
        <f>E$96*$B$97-total_costos</f>
        <v>2097743.3925</v>
      </c>
      <c r="F97" s="265"/>
      <c r="G97" s="265">
        <f>G$96*$B$97-total_costos</f>
        <v>3168743.3925</v>
      </c>
      <c r="H97" s="265"/>
      <c r="I97" s="265">
        <f>I$96*$B$97-total_costos</f>
        <v>4239743.392500002</v>
      </c>
      <c r="J97" s="265"/>
      <c r="K97" s="15"/>
      <c r="L97" s="23"/>
    </row>
    <row r="98" spans="2:12" s="3" customFormat="1" ht="18" customHeight="1">
      <c r="B98" s="266">
        <f>rendimiento</f>
        <v>34000</v>
      </c>
      <c r="C98" s="266"/>
      <c r="D98" s="266"/>
      <c r="E98" s="265">
        <f>E$96*$B$98-total_costos</f>
        <v>3168743.3925</v>
      </c>
      <c r="F98" s="265"/>
      <c r="G98" s="265">
        <f>G$96*$B$98-total_costos</f>
        <v>4358743.3925</v>
      </c>
      <c r="H98" s="265"/>
      <c r="I98" s="265">
        <f>I$96*$B$98-total_costos</f>
        <v>5548743.392500002</v>
      </c>
      <c r="J98" s="265"/>
      <c r="K98" s="15"/>
      <c r="L98" s="23"/>
    </row>
    <row r="99" spans="2:12" s="3" customFormat="1" ht="18" customHeight="1">
      <c r="B99" s="266">
        <f>rendimiento*1.1</f>
        <v>37400</v>
      </c>
      <c r="C99" s="266"/>
      <c r="D99" s="266"/>
      <c r="E99" s="265">
        <f>E$96*$B$99-total_costos</f>
        <v>4239743.3925</v>
      </c>
      <c r="F99" s="265"/>
      <c r="G99" s="265">
        <f>G$96*$B$99-total_costos</f>
        <v>5548743.3925</v>
      </c>
      <c r="H99" s="265"/>
      <c r="I99" s="265">
        <f>I$96*$B$99-total_costos</f>
        <v>6857743.392500002</v>
      </c>
      <c r="J99" s="265"/>
      <c r="K99" s="15"/>
      <c r="L99" s="23"/>
    </row>
    <row r="100" spans="2:12" s="3" customFormat="1" ht="18" customHeight="1">
      <c r="B100" s="33"/>
      <c r="C100" s="33"/>
      <c r="D100" s="34"/>
      <c r="E100" s="34"/>
      <c r="F100" s="34"/>
      <c r="G100" s="35"/>
      <c r="H100" s="11"/>
      <c r="I100" s="14"/>
      <c r="J100" s="14"/>
      <c r="K100" s="15"/>
      <c r="L100" s="23"/>
    </row>
    <row r="101" spans="2:12" s="3" customFormat="1" ht="18" customHeight="1">
      <c r="B101" s="302" t="s">
        <v>105</v>
      </c>
      <c r="C101" s="303"/>
      <c r="D101" s="303"/>
      <c r="E101" s="303"/>
      <c r="F101" s="303"/>
      <c r="G101" s="303"/>
      <c r="H101" s="303"/>
      <c r="I101" s="303"/>
      <c r="J101" s="304"/>
      <c r="K101" s="15"/>
      <c r="L101" s="23"/>
    </row>
    <row r="102" spans="2:12" s="3" customFormat="1" ht="18" customHeight="1">
      <c r="B102" s="334"/>
      <c r="C102" s="335"/>
      <c r="D102" s="335"/>
      <c r="E102" s="335"/>
      <c r="F102" s="335"/>
      <c r="G102" s="335"/>
      <c r="H102" s="335"/>
      <c r="I102" s="335"/>
      <c r="J102" s="336"/>
      <c r="K102" s="15"/>
      <c r="L102" s="23"/>
    </row>
    <row r="103" spans="2:12" s="3" customFormat="1" ht="18" customHeight="1">
      <c r="B103" s="282" t="s">
        <v>83</v>
      </c>
      <c r="C103" s="283"/>
      <c r="D103" s="283"/>
      <c r="E103" s="286">
        <f>B97</f>
        <v>30600</v>
      </c>
      <c r="F103" s="286"/>
      <c r="G103" s="286">
        <f>B98</f>
        <v>34000</v>
      </c>
      <c r="H103" s="286"/>
      <c r="I103" s="286">
        <f>B99</f>
        <v>37400</v>
      </c>
      <c r="J103" s="287"/>
      <c r="K103" s="15"/>
      <c r="L103" s="23"/>
    </row>
    <row r="104" spans="2:12" ht="18" customHeight="1">
      <c r="B104" s="284"/>
      <c r="C104" s="285"/>
      <c r="D104" s="285"/>
      <c r="E104" s="288"/>
      <c r="F104" s="288"/>
      <c r="G104" s="288"/>
      <c r="H104" s="288"/>
      <c r="I104" s="288"/>
      <c r="J104" s="289"/>
      <c r="K104" s="15"/>
      <c r="L104" s="23"/>
    </row>
    <row r="105" spans="2:12" ht="18" customHeight="1">
      <c r="B105" s="316" t="s">
        <v>84</v>
      </c>
      <c r="C105" s="317"/>
      <c r="D105" s="317"/>
      <c r="E105" s="290">
        <f>total_costos/$E$103</f>
        <v>246.4462943627451</v>
      </c>
      <c r="F105" s="290"/>
      <c r="G105" s="292">
        <f>total_costos/$G$103</f>
        <v>221.80166492647058</v>
      </c>
      <c r="H105" s="292"/>
      <c r="I105" s="290">
        <f>total_costos/$I$103</f>
        <v>201.63787720588235</v>
      </c>
      <c r="J105" s="291"/>
      <c r="K105" s="15"/>
      <c r="L105" s="23"/>
    </row>
    <row r="106" spans="2:12" ht="18" customHeight="1">
      <c r="B106" s="318"/>
      <c r="C106" s="319"/>
      <c r="D106" s="319"/>
      <c r="E106" s="292"/>
      <c r="F106" s="292"/>
      <c r="G106" s="292"/>
      <c r="H106" s="292"/>
      <c r="I106" s="292"/>
      <c r="J106" s="293"/>
      <c r="K106" s="15"/>
      <c r="L106" s="23"/>
    </row>
    <row r="107" spans="2:12" ht="18" customHeight="1">
      <c r="B107" s="43"/>
      <c r="C107" s="1"/>
      <c r="D107" s="3"/>
      <c r="E107" s="3"/>
      <c r="F107" s="86"/>
      <c r="G107" s="86"/>
      <c r="H107" s="86"/>
      <c r="I107" s="14"/>
      <c r="J107" s="14"/>
      <c r="K107" s="15"/>
      <c r="L107" s="23"/>
    </row>
    <row r="108" spans="2:11" s="3" customFormat="1" ht="18" customHeight="1">
      <c r="B108" s="279" t="s">
        <v>15</v>
      </c>
      <c r="C108" s="280"/>
      <c r="D108" s="280"/>
      <c r="E108" s="280"/>
      <c r="F108" s="280"/>
      <c r="G108" s="280"/>
      <c r="H108" s="280"/>
      <c r="I108" s="280"/>
      <c r="J108" s="281"/>
      <c r="K108" s="76"/>
    </row>
    <row r="109" spans="2:11" s="3" customFormat="1" ht="18" customHeight="1">
      <c r="B109" s="261" t="s">
        <v>106</v>
      </c>
      <c r="C109" s="262"/>
      <c r="D109" s="259"/>
      <c r="E109" s="259"/>
      <c r="F109" s="259"/>
      <c r="G109" s="259"/>
      <c r="H109" s="259"/>
      <c r="I109" s="259"/>
      <c r="J109" s="260"/>
      <c r="K109" s="76"/>
    </row>
    <row r="110" spans="2:14" s="3" customFormat="1" ht="24" customHeight="1">
      <c r="B110" s="313" t="s">
        <v>121</v>
      </c>
      <c r="C110" s="314"/>
      <c r="D110" s="314"/>
      <c r="E110" s="314"/>
      <c r="F110" s="314"/>
      <c r="G110" s="314"/>
      <c r="H110" s="314"/>
      <c r="I110" s="314"/>
      <c r="J110" s="315"/>
      <c r="K110" s="76"/>
      <c r="N110" s="87"/>
    </row>
    <row r="111" spans="2:11" s="3" customFormat="1" ht="28.5" customHeight="1">
      <c r="B111" s="320" t="s">
        <v>134</v>
      </c>
      <c r="C111" s="321"/>
      <c r="D111" s="321"/>
      <c r="E111" s="321"/>
      <c r="F111" s="321"/>
      <c r="G111" s="321"/>
      <c r="H111" s="321"/>
      <c r="I111" s="321"/>
      <c r="J111" s="322"/>
      <c r="K111" s="76"/>
    </row>
    <row r="112" spans="2:11" s="3" customFormat="1" ht="17.25">
      <c r="B112" s="294" t="s">
        <v>113</v>
      </c>
      <c r="C112" s="295"/>
      <c r="D112" s="295"/>
      <c r="E112" s="295"/>
      <c r="F112" s="295"/>
      <c r="G112" s="295"/>
      <c r="H112" s="295"/>
      <c r="I112" s="295"/>
      <c r="J112" s="296"/>
      <c r="K112" s="76"/>
    </row>
    <row r="113" spans="2:11" s="3" customFormat="1" ht="36.75" customHeight="1">
      <c r="B113" s="320" t="s">
        <v>114</v>
      </c>
      <c r="C113" s="321"/>
      <c r="D113" s="321"/>
      <c r="E113" s="321"/>
      <c r="F113" s="321"/>
      <c r="G113" s="321"/>
      <c r="H113" s="321"/>
      <c r="I113" s="321"/>
      <c r="J113" s="322"/>
      <c r="K113" s="76"/>
    </row>
    <row r="114" spans="2:11" s="3" customFormat="1" ht="17.25">
      <c r="B114" s="294" t="s">
        <v>115</v>
      </c>
      <c r="C114" s="295"/>
      <c r="D114" s="295"/>
      <c r="E114" s="295"/>
      <c r="F114" s="295"/>
      <c r="G114" s="295"/>
      <c r="H114" s="295"/>
      <c r="I114" s="295"/>
      <c r="J114" s="296"/>
      <c r="K114" s="76"/>
    </row>
    <row r="115" spans="2:11" s="3" customFormat="1" ht="14.25" customHeight="1">
      <c r="B115" s="310" t="s">
        <v>116</v>
      </c>
      <c r="C115" s="311"/>
      <c r="D115" s="311"/>
      <c r="E115" s="311"/>
      <c r="F115" s="311"/>
      <c r="G115" s="311"/>
      <c r="H115" s="311"/>
      <c r="I115" s="311"/>
      <c r="J115" s="312"/>
      <c r="K115" s="76"/>
    </row>
    <row r="116" spans="2:11" s="3" customFormat="1" ht="17.25">
      <c r="B116" s="310" t="s">
        <v>117</v>
      </c>
      <c r="C116" s="311"/>
      <c r="D116" s="311"/>
      <c r="E116" s="311"/>
      <c r="F116" s="311"/>
      <c r="G116" s="311"/>
      <c r="H116" s="311"/>
      <c r="I116" s="311"/>
      <c r="J116" s="312"/>
      <c r="K116" s="76"/>
    </row>
    <row r="117" spans="2:11" s="3" customFormat="1" ht="18">
      <c r="B117" s="276" t="s">
        <v>118</v>
      </c>
      <c r="C117" s="277"/>
      <c r="D117" s="277"/>
      <c r="E117" s="277"/>
      <c r="F117" s="277"/>
      <c r="G117" s="277"/>
      <c r="H117" s="277"/>
      <c r="I117" s="277"/>
      <c r="J117" s="278"/>
      <c r="K117" s="77"/>
    </row>
    <row r="118" spans="2:11" s="3" customFormat="1" ht="18">
      <c r="B118" s="170"/>
      <c r="C118" s="170"/>
      <c r="D118" s="170"/>
      <c r="E118" s="170"/>
      <c r="F118" s="170"/>
      <c r="G118" s="170"/>
      <c r="H118" s="170"/>
      <c r="I118" s="170"/>
      <c r="J118" s="170"/>
      <c r="K118" s="77"/>
    </row>
    <row r="119" spans="2:11" s="3" customFormat="1" ht="18">
      <c r="B119" s="170"/>
      <c r="C119" s="170"/>
      <c r="D119" s="170"/>
      <c r="E119" s="170"/>
      <c r="F119" s="170"/>
      <c r="G119" s="170"/>
      <c r="H119" s="170"/>
      <c r="I119" s="170"/>
      <c r="J119" s="170"/>
      <c r="K119" s="77"/>
    </row>
    <row r="120" spans="2:11" s="3" customFormat="1" ht="18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2"/>
    </row>
    <row r="121" spans="2:11" s="3" customFormat="1" ht="16.5" customHeight="1">
      <c r="B121" s="38"/>
      <c r="C121" s="38"/>
      <c r="D121" s="38"/>
      <c r="E121" s="38"/>
      <c r="F121" s="38"/>
      <c r="G121" s="39"/>
      <c r="H121" s="38"/>
      <c r="I121" s="38"/>
      <c r="J121" s="38"/>
      <c r="K121" s="9"/>
    </row>
    <row r="122" spans="2:11" s="3" customFormat="1" ht="14.2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4.2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4.25">
      <c r="B126" s="63"/>
      <c r="C126" s="63"/>
      <c r="D126" s="63"/>
      <c r="E126" s="63"/>
      <c r="F126" s="63"/>
      <c r="G126" s="64"/>
      <c r="H126" s="63"/>
      <c r="I126" s="63"/>
      <c r="J126" s="63"/>
      <c r="K126" s="65"/>
      <c r="L126" s="63"/>
    </row>
    <row r="127" spans="2:12" s="3" customFormat="1" ht="14.25">
      <c r="B127" s="63"/>
      <c r="C127" s="63"/>
      <c r="D127" s="63"/>
      <c r="E127" s="63"/>
      <c r="F127" s="63"/>
      <c r="G127" s="64"/>
      <c r="H127" s="63"/>
      <c r="I127" s="63"/>
      <c r="J127" s="63"/>
      <c r="K127" s="65"/>
      <c r="L127" s="63"/>
    </row>
    <row r="128" spans="2:12" s="3" customFormat="1" ht="14.25">
      <c r="B128" s="63"/>
      <c r="C128" s="63"/>
      <c r="D128" s="63"/>
      <c r="E128" s="63"/>
      <c r="F128" s="63"/>
      <c r="G128" s="64"/>
      <c r="H128" s="63"/>
      <c r="I128" s="63"/>
      <c r="J128" s="63"/>
      <c r="K128" s="65"/>
      <c r="L128" s="63"/>
    </row>
    <row r="129" spans="2:12" s="3" customFormat="1" ht="14.25">
      <c r="B129" s="63"/>
      <c r="C129" s="63"/>
      <c r="D129" s="63"/>
      <c r="E129" s="63"/>
      <c r="F129" s="63"/>
      <c r="G129" s="64"/>
      <c r="H129" s="63"/>
      <c r="I129" s="63"/>
      <c r="J129" s="63"/>
      <c r="K129" s="65"/>
      <c r="L129" s="63"/>
    </row>
    <row r="130" spans="2:12" ht="17.25">
      <c r="B130" s="52"/>
      <c r="C130" s="52"/>
      <c r="D130" s="53"/>
      <c r="E130" s="53"/>
      <c r="F130" s="54"/>
      <c r="G130" s="54"/>
      <c r="H130" s="54"/>
      <c r="I130" s="63"/>
      <c r="J130" s="63"/>
      <c r="K130" s="65"/>
      <c r="L130" s="63"/>
    </row>
    <row r="131" spans="2:12" ht="17.25">
      <c r="B131" s="52"/>
      <c r="C131" s="55"/>
      <c r="D131" s="55"/>
      <c r="E131" s="56"/>
      <c r="F131" s="55"/>
      <c r="G131" s="57"/>
      <c r="H131" s="58"/>
      <c r="I131" s="63"/>
      <c r="J131" s="63"/>
      <c r="K131" s="65"/>
      <c r="L131" s="63"/>
    </row>
    <row r="132" spans="2:12" ht="17.25">
      <c r="B132" s="53"/>
      <c r="C132" s="53"/>
      <c r="D132" s="53"/>
      <c r="E132" s="53"/>
      <c r="F132" s="53"/>
      <c r="G132" s="53"/>
      <c r="H132" s="53"/>
      <c r="I132" s="63"/>
      <c r="J132" s="63"/>
      <c r="K132" s="65"/>
      <c r="L132" s="63"/>
    </row>
    <row r="133" spans="2:12" ht="17.25">
      <c r="B133" s="52"/>
      <c r="C133" s="53"/>
      <c r="D133" s="53"/>
      <c r="E133" s="53"/>
      <c r="F133" s="53"/>
      <c r="G133" s="53"/>
      <c r="H133" s="53"/>
      <c r="I133" s="63"/>
      <c r="J133" s="63"/>
      <c r="K133" s="65"/>
      <c r="L133" s="63"/>
    </row>
    <row r="134" spans="2:12" ht="17.25">
      <c r="B134" s="66"/>
      <c r="C134" s="67"/>
      <c r="D134" s="67"/>
      <c r="E134" s="59"/>
      <c r="F134" s="59"/>
      <c r="G134" s="59"/>
      <c r="H134" s="59"/>
      <c r="I134" s="63"/>
      <c r="J134" s="65"/>
      <c r="K134" s="65"/>
      <c r="L134" s="63"/>
    </row>
    <row r="135" spans="2:12" ht="17.25">
      <c r="B135" s="66"/>
      <c r="C135" s="67"/>
      <c r="D135" s="67"/>
      <c r="E135" s="59"/>
      <c r="F135" s="59"/>
      <c r="G135" s="59"/>
      <c r="H135" s="59"/>
      <c r="I135" s="63"/>
      <c r="J135" s="65"/>
      <c r="K135" s="65"/>
      <c r="L135" s="63"/>
    </row>
    <row r="136" spans="2:12" ht="17.25">
      <c r="B136" s="60"/>
      <c r="C136" s="61"/>
      <c r="D136" s="61"/>
      <c r="E136" s="60"/>
      <c r="F136" s="60"/>
      <c r="G136" s="60"/>
      <c r="H136" s="62"/>
      <c r="I136" s="63"/>
      <c r="J136" s="63"/>
      <c r="K136" s="65"/>
      <c r="L136" s="63"/>
    </row>
    <row r="137" spans="2:12" ht="17.25">
      <c r="B137" s="53"/>
      <c r="C137" s="53"/>
      <c r="D137" s="53"/>
      <c r="E137" s="53"/>
      <c r="F137" s="53"/>
      <c r="G137" s="53"/>
      <c r="H137" s="53"/>
      <c r="I137" s="63"/>
      <c r="J137" s="63"/>
      <c r="K137" s="65"/>
      <c r="L137" s="63"/>
    </row>
    <row r="138" spans="2:12" ht="17.25">
      <c r="B138" s="52"/>
      <c r="C138" s="53"/>
      <c r="D138" s="53"/>
      <c r="E138" s="53"/>
      <c r="F138" s="53"/>
      <c r="G138" s="53"/>
      <c r="H138" s="53"/>
      <c r="I138" s="63"/>
      <c r="J138" s="63"/>
      <c r="K138" s="65"/>
      <c r="L138" s="63"/>
    </row>
    <row r="139" spans="2:12" ht="17.25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7.25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7.25">
      <c r="B141" s="275"/>
      <c r="C141" s="275"/>
      <c r="D141" s="70"/>
      <c r="E141" s="71"/>
      <c r="F141" s="70"/>
      <c r="G141" s="72"/>
      <c r="H141" s="72"/>
      <c r="I141" s="63"/>
      <c r="J141" s="63"/>
      <c r="K141" s="65"/>
      <c r="L141" s="63"/>
    </row>
    <row r="142" spans="2:12" ht="17.25">
      <c r="B142" s="68"/>
      <c r="C142" s="69"/>
      <c r="D142" s="70"/>
      <c r="E142" s="71"/>
      <c r="F142" s="70"/>
      <c r="G142" s="72"/>
      <c r="H142" s="72"/>
      <c r="I142" s="63"/>
      <c r="J142" s="63"/>
      <c r="K142" s="65"/>
      <c r="L142" s="63"/>
    </row>
    <row r="143" spans="2:12" ht="17.25">
      <c r="B143" s="68"/>
      <c r="C143" s="69"/>
      <c r="D143" s="70"/>
      <c r="E143" s="71"/>
      <c r="F143" s="70"/>
      <c r="G143" s="72"/>
      <c r="H143" s="72"/>
      <c r="I143" s="63"/>
      <c r="J143" s="63"/>
      <c r="K143" s="65"/>
      <c r="L143" s="63"/>
    </row>
    <row r="144" spans="2:12" ht="17.25">
      <c r="B144" s="68"/>
      <c r="C144" s="69"/>
      <c r="D144" s="70"/>
      <c r="E144" s="71"/>
      <c r="F144" s="70"/>
      <c r="G144" s="72"/>
      <c r="H144" s="72"/>
      <c r="I144" s="63"/>
      <c r="J144" s="63"/>
      <c r="K144" s="65"/>
      <c r="L144" s="63"/>
    </row>
    <row r="145" spans="2:12" ht="17.25">
      <c r="B145" s="68"/>
      <c r="C145" s="69"/>
      <c r="D145" s="70"/>
      <c r="E145" s="71"/>
      <c r="F145" s="70"/>
      <c r="G145" s="72"/>
      <c r="H145" s="72"/>
      <c r="I145" s="63"/>
      <c r="J145" s="63"/>
      <c r="K145" s="65"/>
      <c r="L145" s="63"/>
    </row>
    <row r="146" spans="2:12" ht="17.25">
      <c r="B146" s="68"/>
      <c r="C146" s="69"/>
      <c r="D146" s="70"/>
      <c r="E146" s="71"/>
      <c r="F146" s="70"/>
      <c r="G146" s="72"/>
      <c r="H146" s="72"/>
      <c r="I146" s="63"/>
      <c r="J146" s="63"/>
      <c r="K146" s="65"/>
      <c r="L146" s="63"/>
    </row>
    <row r="147" spans="2:12" ht="17.25">
      <c r="B147" s="68"/>
      <c r="C147" s="69"/>
      <c r="D147" s="70"/>
      <c r="E147" s="71"/>
      <c r="F147" s="70"/>
      <c r="G147" s="72"/>
      <c r="H147" s="72"/>
      <c r="I147" s="63"/>
      <c r="J147" s="63"/>
      <c r="K147" s="65"/>
      <c r="L147" s="63"/>
    </row>
    <row r="148" spans="2:12" ht="17.25">
      <c r="B148" s="68"/>
      <c r="C148" s="69"/>
      <c r="D148" s="70"/>
      <c r="E148" s="71"/>
      <c r="F148" s="70"/>
      <c r="G148" s="72"/>
      <c r="H148" s="72"/>
      <c r="I148" s="63"/>
      <c r="J148" s="63"/>
      <c r="K148" s="65"/>
      <c r="L148" s="63"/>
    </row>
    <row r="149" spans="2:12" ht="17.25">
      <c r="B149" s="68"/>
      <c r="C149" s="69"/>
      <c r="D149" s="70"/>
      <c r="E149" s="71"/>
      <c r="F149" s="70"/>
      <c r="G149" s="72"/>
      <c r="H149" s="72"/>
      <c r="I149" s="63"/>
      <c r="J149" s="63"/>
      <c r="K149" s="65"/>
      <c r="L149" s="63"/>
    </row>
    <row r="150" spans="2:12" ht="17.25">
      <c r="B150" s="68"/>
      <c r="C150" s="69"/>
      <c r="D150" s="70"/>
      <c r="E150" s="71"/>
      <c r="F150" s="70"/>
      <c r="G150" s="72"/>
      <c r="H150" s="72"/>
      <c r="I150" s="63"/>
      <c r="J150" s="63"/>
      <c r="K150" s="65"/>
      <c r="L150" s="63"/>
    </row>
    <row r="151" spans="2:12" ht="17.25">
      <c r="B151" s="68"/>
      <c r="C151" s="69"/>
      <c r="D151" s="70"/>
      <c r="E151" s="71"/>
      <c r="F151" s="70"/>
      <c r="G151" s="72"/>
      <c r="H151" s="72"/>
      <c r="I151" s="63"/>
      <c r="J151" s="63"/>
      <c r="K151" s="65"/>
      <c r="L151" s="63"/>
    </row>
    <row r="152" spans="2:12" ht="17.25">
      <c r="B152" s="60"/>
      <c r="C152" s="61"/>
      <c r="D152" s="61"/>
      <c r="E152" s="60"/>
      <c r="F152" s="60"/>
      <c r="G152" s="60"/>
      <c r="H152" s="62"/>
      <c r="I152" s="63"/>
      <c r="J152" s="63"/>
      <c r="K152" s="65"/>
      <c r="L152" s="63"/>
    </row>
    <row r="153" spans="2:12" ht="17.25">
      <c r="B153" s="53"/>
      <c r="C153" s="53"/>
      <c r="D153" s="53"/>
      <c r="E153" s="53"/>
      <c r="F153" s="53"/>
      <c r="G153" s="53"/>
      <c r="H153" s="53"/>
      <c r="I153" s="63"/>
      <c r="J153" s="63"/>
      <c r="K153" s="65"/>
      <c r="L153" s="63"/>
    </row>
    <row r="154" spans="2:12" ht="17.25">
      <c r="B154" s="60"/>
      <c r="C154" s="61"/>
      <c r="D154" s="61"/>
      <c r="E154" s="60"/>
      <c r="F154" s="60"/>
      <c r="G154" s="60"/>
      <c r="H154" s="62"/>
      <c r="I154" s="63"/>
      <c r="J154" s="63"/>
      <c r="K154" s="65"/>
      <c r="L154" s="63"/>
    </row>
    <row r="155" spans="2:12" s="3" customFormat="1" ht="14.2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4.2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4.25">
      <c r="B157" s="63"/>
      <c r="C157" s="63"/>
      <c r="D157" s="63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4.2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4.2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4.2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4.2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4.2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4.2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4.2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4.25">
      <c r="B165" s="73"/>
      <c r="C165" s="73"/>
      <c r="D165" s="73"/>
      <c r="E165" s="73"/>
      <c r="F165" s="73"/>
      <c r="G165" s="64"/>
      <c r="H165" s="63"/>
      <c r="I165" s="63"/>
      <c r="J165" s="63"/>
      <c r="K165" s="65"/>
      <c r="L165" s="63"/>
    </row>
    <row r="166" spans="2:12" s="3" customFormat="1" ht="14.2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4.2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4.25">
      <c r="B168" s="63"/>
      <c r="C168" s="65"/>
      <c r="D168" s="65"/>
      <c r="E168" s="65"/>
      <c r="F168" s="65"/>
      <c r="G168" s="64"/>
      <c r="H168" s="63"/>
      <c r="I168" s="63"/>
      <c r="J168" s="63"/>
      <c r="K168" s="65"/>
      <c r="L168" s="63"/>
    </row>
    <row r="169" spans="2:12" s="3" customFormat="1" ht="14.2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4.2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4.2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4.2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4.2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4.25">
      <c r="B174" s="63"/>
      <c r="C174" s="63"/>
      <c r="D174" s="65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4.25">
      <c r="B175" s="63"/>
      <c r="C175" s="65"/>
      <c r="D175" s="65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4.2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4.2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4.2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4.25">
      <c r="B179" s="63"/>
      <c r="C179" s="63"/>
      <c r="D179" s="63"/>
      <c r="E179" s="63"/>
      <c r="F179" s="63"/>
      <c r="G179" s="64"/>
      <c r="H179" s="63"/>
      <c r="I179" s="64"/>
      <c r="J179" s="63"/>
      <c r="K179" s="65"/>
      <c r="L179" s="63"/>
    </row>
    <row r="180" spans="2:12" s="3" customFormat="1" ht="14.2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4.2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4.2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4.2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4.2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4.2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4.25">
      <c r="B186" s="63"/>
      <c r="C186" s="63"/>
      <c r="D186" s="63"/>
      <c r="E186" s="63"/>
      <c r="F186" s="63"/>
      <c r="G186" s="64"/>
      <c r="H186" s="63"/>
      <c r="I186" s="63"/>
      <c r="J186" s="63"/>
      <c r="K186" s="65"/>
      <c r="L186" s="63"/>
    </row>
    <row r="187" spans="2:12" s="3" customFormat="1" ht="14.2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4.25">
      <c r="B188" s="65"/>
      <c r="C188" s="65"/>
      <c r="D188" s="65"/>
      <c r="E188" s="65"/>
      <c r="F188" s="65"/>
      <c r="G188" s="65"/>
      <c r="H188" s="65"/>
      <c r="I188" s="65"/>
      <c r="J188" s="63"/>
      <c r="K188" s="65"/>
      <c r="L188" s="63"/>
    </row>
    <row r="189" spans="2:12" s="3" customFormat="1" ht="14.25">
      <c r="B189" s="65"/>
      <c r="C189" s="65"/>
      <c r="D189" s="65"/>
      <c r="E189" s="65"/>
      <c r="F189" s="65"/>
      <c r="G189" s="74"/>
      <c r="H189" s="65"/>
      <c r="I189" s="65"/>
      <c r="J189" s="63"/>
      <c r="K189" s="65"/>
      <c r="L189" s="74"/>
    </row>
    <row r="190" spans="2:12" s="3" customFormat="1" ht="14.25">
      <c r="B190" s="65"/>
      <c r="C190" s="65"/>
      <c r="D190" s="65"/>
      <c r="E190" s="65"/>
      <c r="F190" s="65"/>
      <c r="G190" s="65"/>
      <c r="H190" s="65"/>
      <c r="I190" s="75"/>
      <c r="J190" s="63"/>
      <c r="K190" s="65"/>
      <c r="L190" s="63"/>
    </row>
    <row r="191" spans="2:12" s="3" customFormat="1" ht="14.2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4.2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4.2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4.2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4.2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4.2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4.25">
      <c r="B197" s="63"/>
      <c r="C197" s="63"/>
      <c r="D197" s="63"/>
      <c r="E197" s="63"/>
      <c r="F197" s="63"/>
      <c r="G197" s="64"/>
      <c r="H197" s="65"/>
      <c r="I197" s="65"/>
      <c r="J197" s="63"/>
      <c r="K197" s="65"/>
      <c r="L197" s="63"/>
    </row>
    <row r="198" spans="2:12" s="3" customFormat="1" ht="14.25">
      <c r="B198" s="63"/>
      <c r="C198" s="63"/>
      <c r="D198" s="63"/>
      <c r="E198" s="63"/>
      <c r="F198" s="63"/>
      <c r="G198" s="64"/>
      <c r="H198" s="65"/>
      <c r="I198" s="65"/>
      <c r="J198" s="63"/>
      <c r="K198" s="65"/>
      <c r="L198" s="63"/>
    </row>
    <row r="199" spans="2:12" s="3" customFormat="1" ht="14.25">
      <c r="B199" s="63"/>
      <c r="C199" s="63"/>
      <c r="D199" s="63"/>
      <c r="E199" s="63"/>
      <c r="F199" s="63"/>
      <c r="G199" s="64"/>
      <c r="H199" s="65"/>
      <c r="I199" s="65"/>
      <c r="J199" s="63"/>
      <c r="K199" s="65"/>
      <c r="L199" s="63"/>
    </row>
    <row r="200" spans="2:12" s="3" customFormat="1" ht="14.2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4.2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4.2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4.2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4.2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4.2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4.25">
      <c r="B206" s="63"/>
      <c r="C206" s="63"/>
      <c r="D206" s="63"/>
      <c r="E206" s="63"/>
      <c r="F206" s="63"/>
      <c r="G206" s="64"/>
      <c r="H206" s="65"/>
      <c r="I206" s="65"/>
      <c r="J206" s="63"/>
      <c r="K206" s="65"/>
      <c r="L206" s="63"/>
    </row>
    <row r="207" spans="2:12" s="3" customFormat="1" ht="14.25">
      <c r="B207" s="63"/>
      <c r="C207" s="63"/>
      <c r="D207" s="63"/>
      <c r="E207" s="63"/>
      <c r="F207" s="63"/>
      <c r="G207" s="64"/>
      <c r="H207" s="65"/>
      <c r="I207" s="65"/>
      <c r="J207" s="63"/>
      <c r="K207" s="65"/>
      <c r="L207" s="63"/>
    </row>
    <row r="208" spans="2:12" s="3" customFormat="1" ht="14.25">
      <c r="B208" s="63"/>
      <c r="C208" s="63"/>
      <c r="D208" s="63"/>
      <c r="E208" s="63"/>
      <c r="F208" s="63"/>
      <c r="G208" s="64"/>
      <c r="H208" s="65"/>
      <c r="I208" s="65"/>
      <c r="J208" s="63"/>
      <c r="K208" s="65"/>
      <c r="L208" s="63"/>
    </row>
    <row r="209" spans="2:12" s="3" customFormat="1" ht="14.2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4.2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4.2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4.2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4.2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4.2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4.2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4.2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4.2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4.2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4.2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4.2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4.2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4.2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4.2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4.2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4.2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4.2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4.2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4.2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4.2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4.2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4.2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4.2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4.2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4.2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4.2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4.2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4.2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4.2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4.2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4.2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4.2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4.2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4.2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4.2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4.2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4.2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4.2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4.2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4.2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4.2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4.2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4.2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4.2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4.2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4.2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4.2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4.2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4.2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4.2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4.2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4.2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4.2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4.2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4.2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4.2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4.2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4.2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4.2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4.2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4.2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4.2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4.2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4.2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4.2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4.2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4.2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4.2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4.2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4.2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4.2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4.2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4.2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4.2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4.2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4.2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4.2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4.2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4.2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4.2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4.2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4.2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4.2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4.2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4.2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4.2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4.2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4.2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4.2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4.2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4.2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4.2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4.2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4.2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4.2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4.2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4.2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4.2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s="3" customFormat="1" ht="14.2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s="3" customFormat="1" ht="14.2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s="3" customFormat="1" ht="14.2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s="3" customFormat="1" ht="14.2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s="3" customFormat="1" ht="14.2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s="3" customFormat="1" ht="14.2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s="3" customFormat="1" ht="14.2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s="3" customFormat="1" ht="14.2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s="3" customFormat="1" ht="14.2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s="3" customFormat="1" ht="14.2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s="3" customFormat="1" ht="14.2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4.2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4.2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4.2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4.2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  <row r="323" spans="2:12" ht="14.25">
      <c r="B323" s="63"/>
      <c r="C323" s="63"/>
      <c r="D323" s="63"/>
      <c r="E323" s="63"/>
      <c r="F323" s="63"/>
      <c r="G323" s="64"/>
      <c r="H323" s="63"/>
      <c r="I323" s="63"/>
      <c r="J323" s="63"/>
      <c r="K323" s="65"/>
      <c r="L323" s="63"/>
    </row>
    <row r="324" spans="2:12" ht="14.25">
      <c r="B324" s="63"/>
      <c r="C324" s="63"/>
      <c r="D324" s="63"/>
      <c r="E324" s="63"/>
      <c r="F324" s="63"/>
      <c r="G324" s="64"/>
      <c r="H324" s="63"/>
      <c r="I324" s="63"/>
      <c r="J324" s="63"/>
      <c r="K324" s="65"/>
      <c r="L324" s="63"/>
    </row>
    <row r="325" spans="2:12" ht="14.25">
      <c r="B325" s="63"/>
      <c r="C325" s="63"/>
      <c r="D325" s="63"/>
      <c r="E325" s="63"/>
      <c r="F325" s="63"/>
      <c r="G325" s="64"/>
      <c r="H325" s="63"/>
      <c r="I325" s="63"/>
      <c r="J325" s="63"/>
      <c r="K325" s="65"/>
      <c r="L325" s="63"/>
    </row>
    <row r="326" spans="2:12" ht="14.25">
      <c r="B326" s="63"/>
      <c r="C326" s="63"/>
      <c r="D326" s="63"/>
      <c r="E326" s="63"/>
      <c r="F326" s="63"/>
      <c r="G326" s="64"/>
      <c r="H326" s="63"/>
      <c r="I326" s="63"/>
      <c r="J326" s="63"/>
      <c r="K326" s="65"/>
      <c r="L326" s="63"/>
    </row>
    <row r="327" spans="2:12" ht="14.25">
      <c r="B327" s="63"/>
      <c r="C327" s="63"/>
      <c r="D327" s="63"/>
      <c r="E327" s="63"/>
      <c r="F327" s="63"/>
      <c r="G327" s="64"/>
      <c r="H327" s="63"/>
      <c r="I327" s="63"/>
      <c r="J327" s="63"/>
      <c r="K327" s="65"/>
      <c r="L327" s="63"/>
    </row>
    <row r="328" spans="2:12" ht="14.25">
      <c r="B328" s="63"/>
      <c r="C328" s="63"/>
      <c r="D328" s="63"/>
      <c r="E328" s="63"/>
      <c r="F328" s="63"/>
      <c r="G328" s="64"/>
      <c r="H328" s="63"/>
      <c r="I328" s="63"/>
      <c r="J328" s="63"/>
      <c r="K328" s="65"/>
      <c r="L328" s="63"/>
    </row>
    <row r="329" spans="2:12" ht="14.25">
      <c r="B329" s="63"/>
      <c r="C329" s="63"/>
      <c r="D329" s="63"/>
      <c r="E329" s="63"/>
      <c r="F329" s="63"/>
      <c r="G329" s="64"/>
      <c r="H329" s="63"/>
      <c r="I329" s="63"/>
      <c r="J329" s="63"/>
      <c r="K329" s="65"/>
      <c r="L329" s="63"/>
    </row>
    <row r="330" spans="2:12" ht="14.25">
      <c r="B330" s="63"/>
      <c r="C330" s="63"/>
      <c r="D330" s="63"/>
      <c r="E330" s="63"/>
      <c r="F330" s="63"/>
      <c r="G330" s="64"/>
      <c r="H330" s="63"/>
      <c r="I330" s="63"/>
      <c r="J330" s="63"/>
      <c r="K330" s="65"/>
      <c r="L330" s="63"/>
    </row>
    <row r="331" spans="2:12" ht="14.25">
      <c r="B331" s="63"/>
      <c r="C331" s="63"/>
      <c r="D331" s="63"/>
      <c r="E331" s="63"/>
      <c r="F331" s="63"/>
      <c r="G331" s="64"/>
      <c r="H331" s="63"/>
      <c r="I331" s="63"/>
      <c r="J331" s="63"/>
      <c r="K331" s="65"/>
      <c r="L331" s="63"/>
    </row>
    <row r="332" spans="2:12" ht="14.25">
      <c r="B332" s="63"/>
      <c r="C332" s="63"/>
      <c r="D332" s="63"/>
      <c r="E332" s="63"/>
      <c r="F332" s="63"/>
      <c r="G332" s="64"/>
      <c r="H332" s="63"/>
      <c r="I332" s="63"/>
      <c r="J332" s="63"/>
      <c r="K332" s="65"/>
      <c r="L332" s="63"/>
    </row>
    <row r="333" spans="2:12" ht="14.25">
      <c r="B333" s="63"/>
      <c r="C333" s="63"/>
      <c r="D333" s="63"/>
      <c r="E333" s="63"/>
      <c r="F333" s="63"/>
      <c r="G333" s="64"/>
      <c r="H333" s="63"/>
      <c r="I333" s="63"/>
      <c r="J333" s="63"/>
      <c r="K333" s="65"/>
      <c r="L333" s="63"/>
    </row>
  </sheetData>
  <sheetProtection/>
  <mergeCells count="48">
    <mergeCell ref="B101:J102"/>
    <mergeCell ref="D2:J2"/>
    <mergeCell ref="D3:J3"/>
    <mergeCell ref="D4:J4"/>
    <mergeCell ref="E20:F20"/>
    <mergeCell ref="E98:F98"/>
    <mergeCell ref="I96:J96"/>
    <mergeCell ref="E97:F97"/>
    <mergeCell ref="B93:J93"/>
    <mergeCell ref="I97:J97"/>
    <mergeCell ref="E95:J95"/>
    <mergeCell ref="B116:J116"/>
    <mergeCell ref="B110:J110"/>
    <mergeCell ref="B105:D106"/>
    <mergeCell ref="G103:H104"/>
    <mergeCell ref="B111:J111"/>
    <mergeCell ref="I99:J99"/>
    <mergeCell ref="B99:D99"/>
    <mergeCell ref="E105:F106"/>
    <mergeCell ref="B113:J113"/>
    <mergeCell ref="B115:J115"/>
    <mergeCell ref="B12:E12"/>
    <mergeCell ref="G105:H106"/>
    <mergeCell ref="E103:F104"/>
    <mergeCell ref="I98:J98"/>
    <mergeCell ref="B98:D98"/>
    <mergeCell ref="G99:H99"/>
    <mergeCell ref="E99:F99"/>
    <mergeCell ref="E77:F77"/>
    <mergeCell ref="G12:J12"/>
    <mergeCell ref="D6:J6"/>
    <mergeCell ref="B141:C141"/>
    <mergeCell ref="B117:J117"/>
    <mergeCell ref="B108:J108"/>
    <mergeCell ref="B103:D104"/>
    <mergeCell ref="I103:J104"/>
    <mergeCell ref="I105:J106"/>
    <mergeCell ref="B114:J114"/>
    <mergeCell ref="B112:J112"/>
    <mergeCell ref="E84:F84"/>
    <mergeCell ref="L84:O84"/>
    <mergeCell ref="G98:H98"/>
    <mergeCell ref="B97:D97"/>
    <mergeCell ref="G97:H97"/>
    <mergeCell ref="E96:F96"/>
    <mergeCell ref="B94:J94"/>
    <mergeCell ref="B95:D96"/>
    <mergeCell ref="G96:H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9" max="10" man="1"/>
  </rowBreaks>
  <ignoredErrors>
    <ignoredError sqref="G71 G28:G29 I24:I27 G41:G42 I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44" t="s">
        <v>37</v>
      </c>
      <c r="C1" s="47">
        <v>32000</v>
      </c>
    </row>
    <row r="2" spans="2:3" ht="14.25">
      <c r="B2" s="44" t="s">
        <v>38</v>
      </c>
      <c r="C2" s="112">
        <f>((rendimiento-$C$1)/$C$1)+1</f>
        <v>1.0625</v>
      </c>
    </row>
    <row r="3" ht="17.25">
      <c r="B3" s="12"/>
    </row>
    <row r="4" spans="2:12" ht="17.25">
      <c r="B4" s="332" t="s">
        <v>18</v>
      </c>
      <c r="C4" s="332"/>
      <c r="E4" s="3" t="s">
        <v>46</v>
      </c>
      <c r="K4" s="114"/>
      <c r="L4" s="9"/>
    </row>
    <row r="5" spans="1:5" ht="17.25">
      <c r="A5" s="115" t="s">
        <v>39</v>
      </c>
      <c r="B5" s="116" t="s">
        <v>56</v>
      </c>
      <c r="C5" s="117"/>
      <c r="D5" s="117"/>
      <c r="E5" s="118">
        <v>32000</v>
      </c>
    </row>
    <row r="6" spans="1:5" ht="17.25">
      <c r="A6" s="115" t="s">
        <v>39</v>
      </c>
      <c r="B6" s="116" t="s">
        <v>55</v>
      </c>
      <c r="C6" s="119"/>
      <c r="D6" s="119"/>
      <c r="E6" s="118">
        <v>32000</v>
      </c>
    </row>
    <row r="7" spans="1:5" ht="17.25">
      <c r="A7" s="115" t="s">
        <v>39</v>
      </c>
      <c r="B7" s="116" t="s">
        <v>42</v>
      </c>
      <c r="C7" s="119"/>
      <c r="D7" s="119"/>
      <c r="E7" s="118"/>
    </row>
    <row r="8" spans="1:5" ht="17.25">
      <c r="A8" s="120" t="s">
        <v>40</v>
      </c>
      <c r="B8" s="121" t="s">
        <v>59</v>
      </c>
      <c r="C8" s="124"/>
      <c r="D8" s="124"/>
      <c r="E8" s="123">
        <v>32000</v>
      </c>
    </row>
    <row r="9" spans="1:5" ht="17.25">
      <c r="A9" s="120" t="s">
        <v>40</v>
      </c>
      <c r="B9" s="121" t="s">
        <v>62</v>
      </c>
      <c r="C9" s="124"/>
      <c r="D9" s="124"/>
      <c r="E9" s="123">
        <v>32000</v>
      </c>
    </row>
    <row r="10" spans="1:5" ht="17.25">
      <c r="A10" s="120" t="s">
        <v>40</v>
      </c>
      <c r="B10" s="121" t="s">
        <v>43</v>
      </c>
      <c r="C10" s="122"/>
      <c r="D10" s="122"/>
      <c r="E10" s="123"/>
    </row>
    <row r="11" spans="1:5" ht="17.25">
      <c r="A11" s="115" t="s">
        <v>41</v>
      </c>
      <c r="B11" s="116" t="s">
        <v>63</v>
      </c>
      <c r="C11" s="117"/>
      <c r="D11" s="117"/>
      <c r="E11" s="118">
        <v>640</v>
      </c>
    </row>
    <row r="12" spans="1:5" ht="17.25">
      <c r="A12" s="115" t="s">
        <v>41</v>
      </c>
      <c r="B12" s="116" t="s">
        <v>44</v>
      </c>
      <c r="C12" s="117"/>
      <c r="D12" s="117"/>
      <c r="E12" s="118"/>
    </row>
    <row r="13" spans="1:5" ht="17.25">
      <c r="A13" s="115" t="s">
        <v>41</v>
      </c>
      <c r="B13" s="116" t="s">
        <v>45</v>
      </c>
      <c r="C13" s="125"/>
      <c r="D13" s="125"/>
      <c r="E13" s="118"/>
    </row>
    <row r="18" spans="2:4" ht="14.25">
      <c r="B18" s="333" t="s">
        <v>14</v>
      </c>
      <c r="C18" s="333"/>
      <c r="D18" s="333"/>
    </row>
    <row r="20" spans="2:4" ht="17.25">
      <c r="B20" s="46" t="s">
        <v>16</v>
      </c>
      <c r="C20" s="45">
        <f>'papa -riego_Coquimbo-2021'!B97</f>
        <v>30600</v>
      </c>
      <c r="D20" s="45">
        <f>'papa -riego_Coquimbo-2021'!B99</f>
        <v>37400</v>
      </c>
    </row>
    <row r="21" ht="14.25">
      <c r="B21" s="23"/>
    </row>
    <row r="22" spans="2:4" ht="14.2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7.25">
      <c r="B23" s="16"/>
      <c r="C23" s="45"/>
      <c r="D23" s="45"/>
    </row>
    <row r="24" spans="2:6" ht="17.25">
      <c r="B24" s="46" t="s">
        <v>7</v>
      </c>
      <c r="C24" s="45"/>
      <c r="D24" s="45"/>
      <c r="E24" s="9"/>
      <c r="F24" s="9"/>
    </row>
    <row r="25" spans="2:5" ht="17.25">
      <c r="B25" s="16" t="s">
        <v>19</v>
      </c>
      <c r="C25" s="9">
        <f>SUM('papa -riego_Coquimbo-2021'!J22:J29)-_xlfn.IFERROR(INDEX('papa -riego_Coquimbo-2021'!$J$22:$J$29,MATCH(B5,'papa -riego_Coquimbo-2021'!$B$22:$B$29,0)),"0")-_xlfn.IFERROR(INDEX('papa -riego_Coquimbo-2021'!$J$22:$J$29,MATCH(B6,'papa -riego_Coquimbo-2021'!$B$22:$B$29,0)),"0")-_xlfn.IFERROR(INDEX('papa -riego_Coquimbo-2021'!$J$22:$J$29,MATCH(B7,'papa -riego_Coquimbo-2021'!$B$22:$B$29,0)),"0")</f>
        <v>1108000</v>
      </c>
      <c r="D25" s="9">
        <f>SUM('papa -riego_Coquimbo-2021'!J22:J29)-_xlfn.IFERROR(INDEX('papa -riego_Coquimbo-2021'!$J$22:$J$29,MATCH(B5,'papa -riego_Coquimbo-2021'!$B$22:$B$29,0)),"0")-_xlfn.IFERROR(INDEX('papa -riego_Coquimbo-2021'!$J$22:$J$29,MATCH(B6,'papa -riego_Coquimbo-2021'!$B$22:$B$29,0)),"0")-_xlfn.IFERROR(INDEX('papa -riego_Coquimbo-2021'!$J$22:$J$29,MATCH(B7,'papa -riego_Coquimbo-2021'!$B$22:$B$29,0)),"0")</f>
        <v>1108000</v>
      </c>
      <c r="E25" s="9"/>
    </row>
    <row r="26" spans="2:4" ht="17.25">
      <c r="B26" s="48" t="s">
        <v>20</v>
      </c>
      <c r="C26" s="113">
        <f>C22*(_xlfn.IFERROR(INDEX('papa -riego_Coquimbo-2021'!$J$22:$J$29,MATCH(B5,'papa -riego_Coquimbo-2021'!$B$22:$B$29,0)),"0")+_xlfn.IFERROR(INDEX('papa -riego_Coquimbo-2021'!$J$22:$J$29,MATCH(B6,'papa -riego_Coquimbo-2021'!$B$22:$B$29,0)),"0")+_xlfn.IFERROR(INDEX('papa -riego_Coquimbo-2021'!$J$22:$J$29,MATCH(B7,'papa -riego_Coquimbo-2021'!$B$22:$B$29,0)),"0"))</f>
        <v>91800</v>
      </c>
      <c r="D26" s="113">
        <f>D22*(_xlfn.IFERROR(INDEX('papa -riego_Coquimbo-2021'!$J$22:$J$29,MATCH(B5,'papa -riego_Coquimbo-2021'!$B$22:$B$29,0)),"0")+_xlfn.IFERROR(INDEX('papa -riego_Coquimbo-2021'!$J$22:$J$29,MATCH(B6,'papa -riego_Coquimbo-2021'!$B$22:$B$29,0)),"0")+_xlfn.IFERROR(INDEX('papa -riego_Coquimbo-2021'!$J$22:$J$29,MATCH(B7,'papa -riego_Coquimbo-2021'!$B$22:$B$29,0)),"0"))</f>
        <v>112200.00000000001</v>
      </c>
    </row>
    <row r="27" spans="2:4" ht="17.25">
      <c r="B27" s="16" t="s">
        <v>21</v>
      </c>
      <c r="C27" s="9">
        <f>SUM(C25:C26)</f>
        <v>1199800</v>
      </c>
      <c r="D27" s="9">
        <f>SUM(D25:D26)</f>
        <v>1220200</v>
      </c>
    </row>
    <row r="28" ht="17.25">
      <c r="B28" s="16"/>
    </row>
    <row r="29" ht="17.25">
      <c r="B29" s="46" t="s">
        <v>9</v>
      </c>
    </row>
    <row r="30" spans="2:4" ht="17.25">
      <c r="B30" s="16" t="s">
        <v>19</v>
      </c>
      <c r="C30" s="9">
        <f>SUM('papa -riego_Coquimbo-2021'!J33:J42)-_xlfn.IFERROR(INDEX('papa -riego_Coquimbo-2021'!$J$33:$J$42,MATCH(B8,'papa -riego_Coquimbo-2021'!$B$33:$B$42,0)),"0")-_xlfn.IFERROR(INDEX('papa -riego_Coquimbo-2021'!$J$33:$J$42,MATCH(B9,'papa -riego_Coquimbo-2021'!$B$33:$B$42,0)),"0")-_xlfn.IFERROR(INDEX('papa -riego_Coquimbo-2021'!$J$33:$J$42,MATCH(B10,'papa -riego_Coquimbo-2021'!$B$33:$B$42,0)),"0")</f>
        <v>638000</v>
      </c>
      <c r="D30" s="9">
        <f>SUM('papa -riego_Coquimbo-2021'!J33:J42)-_xlfn.IFERROR(INDEX('papa -riego_Coquimbo-2021'!$J$33:$J$42,MATCH(B8,'papa -riego_Coquimbo-2021'!$B$33:$B$42,0)),"0")-_xlfn.IFERROR(INDEX('papa -riego_Coquimbo-2021'!$J$33:$J$42,MATCH(B9,'papa -riego_Coquimbo-2021'!$B$33:$B$42,0)),"0")-_xlfn.IFERROR(INDEX('papa -riego_Coquimbo-2021'!$J$33:$J$42,MATCH(B10,'papa -riego_Coquimbo-2021'!$B$33:$B$42,0)),"0")</f>
        <v>638000</v>
      </c>
    </row>
    <row r="31" spans="2:4" ht="17.25">
      <c r="B31" s="48" t="s">
        <v>20</v>
      </c>
      <c r="C31" s="113">
        <f>C22*(_xlfn.IFERROR(INDEX('papa -riego_Coquimbo-2021'!$J$33:$J$42,MATCH(B8,'papa -riego_Coquimbo-2021'!$B$33:$B$42,0)),"0")+_xlfn.IFERROR(INDEX('papa -riego_Coquimbo-2021'!$J$33:$J$42,MATCH(B9,'papa -riego_Coquimbo-2021'!$B$33:$B$42,0)),"0")+_xlfn.IFERROR(INDEX('papa -riego_Coquimbo-2021'!$J$33:$J$42,MATCH(B10,'papa -riego_Coquimbo-2021'!$B$33:$B$42,0)),"0"))</f>
        <v>61200</v>
      </c>
      <c r="D31" s="113">
        <f>D22*(_xlfn.IFERROR(INDEX('papa -riego_Coquimbo-2021'!$J$33:$J$42,MATCH(B8,'papa -riego_Coquimbo-2021'!$B$33:$B$42,0)),"0")+_xlfn.IFERROR(INDEX('papa -riego_Coquimbo-2021'!$J$33:$J$42,MATCH(B9,'papa -riego_Coquimbo-2021'!$B$33:$B$42,0)),"0")+_xlfn.IFERROR(INDEX('papa -riego_Coquimbo-2021'!$J$33:$J$42,MATCH(B10,'papa -riego_Coquimbo-2021'!$B$33:$B$42,0)),"0"))</f>
        <v>74800</v>
      </c>
    </row>
    <row r="32" spans="2:4" ht="17.25">
      <c r="B32" s="16" t="s">
        <v>21</v>
      </c>
      <c r="C32" s="9">
        <f>SUM(C30:C31)</f>
        <v>699200</v>
      </c>
      <c r="D32" s="9">
        <f>SUM(D30:D31)</f>
        <v>712800</v>
      </c>
    </row>
    <row r="34" ht="17.25">
      <c r="B34" s="46" t="s">
        <v>22</v>
      </c>
    </row>
    <row r="35" spans="2:4" ht="17.25">
      <c r="B35" s="16" t="s">
        <v>19</v>
      </c>
      <c r="C35" s="9">
        <f>SUM('papa -riego_Coquimbo-2021'!J46:J73)-_xlfn.IFERROR(INDEX('papa -riego_Coquimbo-2021'!$J$46:$J$73,MATCH(B11,'papa -riego_Coquimbo-2021'!$B$46:$B$73,0)),"0")-_xlfn.IFERROR(INDEX('papa -riego_Coquimbo-2021'!$J$46:$J$73,MATCH(B12,'papa -riego_Coquimbo-2021'!$B$46:$B$73,0)),"0")-_xlfn.IFERROR(INDEX('papa -riego_Coquimbo-2021'!$J$46:$J$73,MATCH(B13,'papa -riego_Coquimbo-2021'!$B$46:$B$73,0)),"0")</f>
        <v>4956870</v>
      </c>
      <c r="D35" s="9">
        <f>SUM('papa -riego_Coquimbo-2021'!J46:J73)-_xlfn.IFERROR(INDEX('papa -riego_Coquimbo-2021'!$J$46:$J$73,MATCH(B11,'papa -riego_Coquimbo-2021'!$B$46:$B$73,0)),"0")-_xlfn.IFERROR(INDEX('papa -riego_Coquimbo-2021'!$J$46:$J$73,MATCH(B12,'papa -riego_Coquimbo-2021'!$B$46:$B$73,0)),"0")-_xlfn.IFERROR(INDEX('papa -riego_Coquimbo-2021'!$J$46:$J$73,MATCH(B13,'papa -riego_Coquimbo-2021'!$B$46:$B$73,0)),"0")</f>
        <v>4956870</v>
      </c>
    </row>
    <row r="36" spans="2:4" ht="17.25">
      <c r="B36" s="48" t="s">
        <v>20</v>
      </c>
      <c r="C36" s="113">
        <f>C22*(_xlfn.IFERROR(INDEX('papa -riego_Coquimbo-2021'!$J$46:$J$73,MATCH(B11,'papa -riego_Coquimbo-2021'!$B$46:$B$73,0)),"0")+_xlfn.IFERROR(INDEX('papa -riego_Coquimbo-2021'!$J$46:$J$73,MATCH(B12,'papa -riego_Coquimbo-2021'!$B$46:$B$73,0)),"0")+_xlfn.IFERROR(INDEX('papa -riego_Coquimbo-2021'!$J$46:$J$73,MATCH(B13,'papa -riego_Coquimbo-2021'!$B$46:$B$73,0)),"0"))</f>
        <v>0</v>
      </c>
      <c r="D36" s="113">
        <f>D22*(_xlfn.IFERROR(INDEX('papa -riego_Coquimbo-2021'!$J$46:$J$73,MATCH(B11,'papa -riego_Coquimbo-2021'!$B$46:$B$73,0)),"0")+_xlfn.IFERROR(INDEX('papa -riego_Coquimbo-2021'!$J$46:$J$73,MATCH(B12,'papa -riego_Coquimbo-2021'!$B$46:$B$73,0)),"0")+_xlfn.IFERROR(INDEX('papa -riego_Coquimbo-2021'!$J$46:$J$73,MATCH(B13,'papa -riego_Coquimbo-2021'!$B$46:$B$73,0)),"0"))</f>
        <v>0</v>
      </c>
    </row>
    <row r="37" spans="2:4" ht="17.25">
      <c r="B37" s="16" t="s">
        <v>21</v>
      </c>
      <c r="C37" s="9">
        <f>SUM(C35:C36)</f>
        <v>4956870</v>
      </c>
      <c r="D37" s="9">
        <f>SUM(D35:D36)</f>
        <v>4956870</v>
      </c>
    </row>
    <row r="38" spans="2:4" ht="14.25">
      <c r="B38" s="23"/>
      <c r="C38" s="27"/>
      <c r="D38" s="27"/>
    </row>
    <row r="39" spans="2:4" ht="17.25">
      <c r="B39" s="50" t="s">
        <v>23</v>
      </c>
      <c r="C39" s="51">
        <f>C27+C32+C37</f>
        <v>6855870</v>
      </c>
      <c r="D39" s="51">
        <f>D27+D32+D37</f>
        <v>6889870</v>
      </c>
    </row>
    <row r="40" ht="14.25">
      <c r="B40" s="23"/>
    </row>
    <row r="41" spans="2:4" ht="17.25">
      <c r="B41" s="49" t="s">
        <v>0</v>
      </c>
      <c r="C41" s="9" t="e">
        <f>C39*'papa -riego_Coquimbo-2021'!#REF!</f>
        <v>#REF!</v>
      </c>
      <c r="D41" s="9" t="e">
        <f>D39*'papa -riego_Coquimbo-2021'!#REF!</f>
        <v>#REF!</v>
      </c>
    </row>
    <row r="42" spans="2:4" ht="17.25">
      <c r="B42" s="49" t="s">
        <v>12</v>
      </c>
      <c r="C42" s="9">
        <f>C39*tasa_interes_mensual*meses_financiamiento*0.5</f>
        <v>308514.15</v>
      </c>
      <c r="D42" s="9">
        <f>D39*tasa_interes_mensual*meses_financiamiento*0.5</f>
        <v>310044.15</v>
      </c>
    </row>
    <row r="43" ht="14.25">
      <c r="B43" s="23"/>
    </row>
    <row r="44" spans="2:4" ht="17.25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2017-11-07T11:20:50Z</cp:lastPrinted>
  <dcterms:created xsi:type="dcterms:W3CDTF">2012-07-09T18:51:50Z</dcterms:created>
  <dcterms:modified xsi:type="dcterms:W3CDTF">2022-08-10T20:34:19Z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