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Papa" sheetId="1" r:id="rId1"/>
    <sheet name="Hoja1" sheetId="2" r:id="rId2"/>
  </sheets>
  <definedNames>
    <definedName name="_xlnm.Print_Area" localSheetId="0">'Papa'!$A$1:$K$111</definedName>
  </definedNames>
  <calcPr fullCalcOnLoad="1"/>
</workbook>
</file>

<file path=xl/sharedStrings.xml><?xml version="1.0" encoding="utf-8"?>
<sst xmlns="http://schemas.openxmlformats.org/spreadsheetml/2006/main" count="188" uniqueCount="128">
  <si>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</si>
  <si>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</si>
  <si>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</si>
  <si>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</si>
  <si>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</si>
  <si>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</si>
  <si>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</si>
  <si>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</si>
  <si>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</si>
  <si>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</si>
  <si>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</si>
  <si>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</si>
  <si>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</si>
  <si>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</si>
  <si>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</si>
  <si>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</si>
  <si>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</si>
  <si>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</si>
  <si>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</si>
  <si>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</si>
  <si>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</si>
  <si>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</si>
  <si>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</si>
  <si>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</si>
  <si>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</si>
  <si>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</si>
  <si>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</si>
  <si>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</si>
  <si>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</si>
  <si>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</si>
  <si>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</si>
  <si>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</si>
  <si>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kg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</si>
  <si>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</si>
  <si>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</si>
  <si>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</si>
  <si>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</si>
  <si>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</si>
  <si>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</si>
  <si>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</si>
  <si>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</si>
  <si>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</si>
  <si>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</si>
  <si>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</si>
  <si>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</si>
  <si>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</si>
  <si>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ha</t>
  </si>
  <si>
    <t>Destino de producción: consumo fresco</t>
  </si>
  <si>
    <t>Tecnología: media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</si>
  <si>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</si>
  <si>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</si>
  <si>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</si>
  <si>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</si>
  <si>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</si>
  <si>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</si>
  <si>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Control manual de malezas</t>
  </si>
  <si>
    <t>Rastrajes</t>
  </si>
  <si>
    <t>Acequiadura</t>
  </si>
  <si>
    <t>Aplicación pesticidas</t>
  </si>
  <si>
    <t>Acarreo de insumos</t>
  </si>
  <si>
    <t xml:space="preserve"> -Fertilizantes:</t>
  </si>
  <si>
    <t>análisis</t>
  </si>
  <si>
    <t>Notas</t>
  </si>
  <si>
    <t xml:space="preserve">Aradura 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</si>
  <si>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</si>
  <si>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>Enero-febrero</t>
  </si>
  <si>
    <t>Noviembre-diciembre</t>
  </si>
  <si>
    <t>Cultivación entre hileras y aplicar fertilizante</t>
  </si>
  <si>
    <t>Régimen hídrico: riego por surco</t>
  </si>
  <si>
    <t>Costo unitario (Kg)</t>
  </si>
  <si>
    <t>Rendimiento (Kg/ha)</t>
  </si>
  <si>
    <t>Precio ($/Kg)</t>
  </si>
  <si>
    <t>Costo Unitario ($/Kg)</t>
  </si>
  <si>
    <t>Marzo-abril</t>
  </si>
  <si>
    <t xml:space="preserve">  </t>
  </si>
  <si>
    <t>Fecha cosecha: Junio</t>
  </si>
  <si>
    <t>Siembra con máquina</t>
  </si>
  <si>
    <t>U</t>
  </si>
  <si>
    <t>Febrero-mayo</t>
  </si>
  <si>
    <t>Febrero-junio</t>
  </si>
  <si>
    <t>Febrero-abril</t>
  </si>
  <si>
    <t>Febrero-marzo</t>
  </si>
  <si>
    <t>Junio</t>
  </si>
  <si>
    <t>Febrero</t>
  </si>
  <si>
    <t>Enero</t>
  </si>
  <si>
    <t>Mayo-junio</t>
  </si>
  <si>
    <t>Herbicidas:</t>
  </si>
  <si>
    <t>Variedad: Asterix</t>
  </si>
  <si>
    <t>Pasar rana (cortar follaje antes de cosecha)</t>
  </si>
  <si>
    <t>Imprevistos</t>
  </si>
  <si>
    <t>1 hectárea Junio 2015</t>
  </si>
  <si>
    <t>Precio ($/Un)</t>
  </si>
  <si>
    <t xml:space="preserve">Mezcla NPK </t>
  </si>
  <si>
    <t>Urea</t>
  </si>
  <si>
    <t>Nitrato de potasio</t>
  </si>
  <si>
    <t>Manzate 200</t>
  </si>
  <si>
    <t xml:space="preserve">Zero 5 EC </t>
  </si>
  <si>
    <t>Coragen</t>
  </si>
  <si>
    <t>Frutaliv</t>
  </si>
  <si>
    <t>Envases de 50 Kg</t>
  </si>
  <si>
    <t>Hilo para coser saco</t>
  </si>
  <si>
    <t>Análisis de suelo (fertilidad completa)</t>
  </si>
  <si>
    <t>Otros:</t>
  </si>
  <si>
    <t>Sencor 480 SC</t>
  </si>
  <si>
    <t>Curzate M 8</t>
  </si>
  <si>
    <t>Imprevistos (5% sobre el total de los costos)</t>
  </si>
  <si>
    <t>Cosedor de sacos y limpia en la cinta transportadora.</t>
  </si>
  <si>
    <t>Región Metropolitana</t>
  </si>
  <si>
    <r>
      <t xml:space="preserve">Precio de venta en predio ($/Kg): </t>
    </r>
    <r>
      <rPr>
        <b/>
        <vertAlign val="superscript"/>
        <sz val="14"/>
        <rFont val="Arial"/>
        <family val="2"/>
      </rPr>
      <t>(2)</t>
    </r>
  </si>
  <si>
    <t>Cosecha (3)</t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</si>
  <si>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(4)</t>
    </r>
  </si>
  <si>
    <t xml:space="preserve"> (4) Los insumos, el nombre de la variedad 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</si>
  <si>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(5) Semilla producida  por el agricultor.</t>
  </si>
  <si>
    <t xml:space="preserve"> (6) 1,5% mensual simple. Tasa de interés promedio de las empresas distribuidoras de insumos.</t>
  </si>
  <si>
    <t xml:space="preserve"> (7) Margen neto corresponde a ingresos totales (precio venta x rendimiento) menos los costos totales.</t>
  </si>
  <si>
    <t xml:space="preserve"> (8) Representa el precio de venta mínimo para cubrir los costos totales de producción para distintos rendimientos.</t>
  </si>
  <si>
    <r>
      <t>Semilla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</si>
  <si>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</si>
  <si>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t>Papa cuaresmera o guarda (cosecha automotriz)</t>
  </si>
  <si>
    <r>
      <t xml:space="preserve">Rendimiento (Kg/ha) 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</si>
  <si>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</si>
  <si>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</si>
  <si>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(8)</t>
    </r>
  </si>
  <si>
    <t>(1) Se considera una distancia aproximada de plantación de papa semilla de 0,7m entre hileras por 0,3m sobre hileras.</t>
  </si>
  <si>
    <t>Cargar sacos cosechados al camión</t>
  </si>
  <si>
    <t>Fecha siembra: febrero</t>
  </si>
  <si>
    <t>(3) La cosecha consiste en: que la máquina la recolecta, la sube a las mesas, las personas sacan piedras y otros, se seleccionan y son depósitadas en sacos de 50 kilos o en bins. Los  25.000 kg equivalen en promedio a 500 sacos de 50 kg cada uno, aproximado. El costo de cosecha varía entre $30 a $40 por kilo, en este caso se consideró $35/Kg.</t>
  </si>
  <si>
    <t>(2) El precio del kg de papa cosechado corresponde al promedio de las entrevistas, durante el periodo de cosecha a nivel predial en la cosecha temporada, junio 2015 (precio indicado por los agricultores y empresa de servicios). En promedio un 80% calibre papa y un 20% semillón.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</si>
</sst>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  <numFmt numFmtId="192" formatCode="_-* #,##0.000\ _€_-;\-* #,##0.000\ _€_-;_-* &quot;-&quot;??\ _€_-;_-@_-"/>
    <numFmt numFmtId="193" formatCode="_-* #,##0.0\ _€_-;\-* #,##0.0\ _€_-;_-* &quot;-&quot;??\ _€_-;_-@_-"/>
    <numFmt numFmtId="194" formatCode="_-* #,##0\ _€_-;\-* #,##0\ _€_-;_-* &quot;-&quot;??\ _€_-;_-@_-"/>
    <numFmt numFmtId="195" formatCode="[$-340A]dddd\,\ dd&quot; de &quot;mmmm&quot; de &quot;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50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6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8" fillId="35" borderId="13" xfId="0" applyFont="1" applyFill="1" applyBorder="1" applyAlignment="1">
      <alignment horizontal="center"/>
    </xf>
    <xf numFmtId="17" fontId="10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59" fillId="0" borderId="0" xfId="56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9" fillId="0" borderId="0" xfId="56" applyFont="1" applyFill="1" applyBorder="1" applyAlignment="1" applyProtection="1">
      <alignment horizontal="center"/>
      <protection/>
    </xf>
    <xf numFmtId="4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81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0" fillId="0" borderId="0" xfId="56" applyFont="1" applyFill="1" applyBorder="1" applyAlignment="1">
      <alignment horizontal="left"/>
      <protection/>
    </xf>
    <xf numFmtId="0" fontId="60" fillId="0" borderId="0" xfId="56" applyFont="1" applyFill="1" applyBorder="1" applyAlignment="1">
      <alignment horizontal="center"/>
      <protection/>
    </xf>
    <xf numFmtId="180" fontId="60" fillId="0" borderId="0" xfId="67" applyFont="1" applyFill="1" applyBorder="1" applyAlignment="1" applyProtection="1">
      <alignment horizontal="left"/>
      <protection/>
    </xf>
    <xf numFmtId="0" fontId="60" fillId="0" borderId="0" xfId="56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180" fontId="60" fillId="0" borderId="0" xfId="67" applyFont="1" applyFill="1" applyBorder="1" applyAlignment="1" applyProtection="1">
      <alignment horizontal="right"/>
      <protection/>
    </xf>
    <xf numFmtId="3" fontId="60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10" fillId="34" borderId="16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3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0" fontId="57" fillId="34" borderId="15" xfId="0" applyFont="1" applyFill="1" applyBorder="1" applyAlignment="1">
      <alignment/>
    </xf>
    <xf numFmtId="181" fontId="10" fillId="34" borderId="15" xfId="67" applyNumberFormat="1" applyFont="1" applyFill="1" applyBorder="1" applyAlignment="1">
      <alignment/>
      <protection/>
    </xf>
    <xf numFmtId="0" fontId="56" fillId="34" borderId="15" xfId="0" applyFont="1" applyFill="1" applyBorder="1" applyAlignment="1">
      <alignment/>
    </xf>
    <xf numFmtId="3" fontId="8" fillId="34" borderId="15" xfId="67" applyNumberFormat="1" applyFont="1" applyFill="1" applyBorder="1" applyAlignment="1">
      <alignment/>
      <protection/>
    </xf>
    <xf numFmtId="3" fontId="61" fillId="34" borderId="12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1" fillId="34" borderId="11" xfId="67" applyFont="1" applyFill="1" applyBorder="1" applyAlignment="1" applyProtection="1">
      <alignment/>
      <protection/>
    </xf>
    <xf numFmtId="180" fontId="10" fillId="34" borderId="14" xfId="67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 applyProtection="1">
      <alignment/>
      <protection/>
    </xf>
    <xf numFmtId="0" fontId="56" fillId="34" borderId="14" xfId="0" applyFont="1" applyFill="1" applyBorder="1" applyAlignment="1">
      <alignment/>
    </xf>
    <xf numFmtId="180" fontId="8" fillId="34" borderId="14" xfId="67" applyFont="1" applyFill="1" applyBorder="1" applyAlignment="1" applyProtection="1">
      <alignment/>
      <protection/>
    </xf>
    <xf numFmtId="180" fontId="61" fillId="34" borderId="20" xfId="67" applyFont="1" applyFill="1" applyBorder="1" applyAlignment="1" applyProtection="1">
      <alignment/>
      <protection/>
    </xf>
    <xf numFmtId="0" fontId="57" fillId="34" borderId="14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20" xfId="56" applyNumberFormat="1" applyFont="1" applyFill="1" applyBorder="1" applyAlignment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5" xfId="55" applyFont="1" applyFill="1" applyBorder="1">
      <alignment/>
      <protection/>
    </xf>
    <xf numFmtId="3" fontId="8" fillId="34" borderId="12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21" xfId="55" applyFont="1" applyFill="1" applyBorder="1" applyAlignment="1">
      <alignment horizontal="left"/>
      <protection/>
    </xf>
    <xf numFmtId="181" fontId="10" fillId="34" borderId="14" xfId="67" applyNumberFormat="1" applyFont="1" applyFill="1" applyBorder="1" applyAlignment="1">
      <alignment horizontal="center"/>
      <protection/>
    </xf>
    <xf numFmtId="0" fontId="8" fillId="34" borderId="20" xfId="55" applyFont="1" applyFill="1" applyBorder="1">
      <alignment/>
      <protection/>
    </xf>
    <xf numFmtId="181" fontId="8" fillId="34" borderId="18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3" fontId="10" fillId="34" borderId="14" xfId="56" applyNumberFormat="1" applyFont="1" applyFill="1" applyBorder="1" applyAlignment="1">
      <alignment/>
      <protection/>
    </xf>
    <xf numFmtId="183" fontId="8" fillId="34" borderId="20" xfId="56" applyNumberFormat="1" applyFont="1" applyFill="1" applyBorder="1" applyAlignment="1">
      <alignment/>
      <protection/>
    </xf>
    <xf numFmtId="181" fontId="60" fillId="23" borderId="22" xfId="56" applyNumberFormat="1" applyFont="1" applyFill="1" applyBorder="1" applyAlignment="1" applyProtection="1">
      <alignment horizontal="center" vertical="center" wrapText="1"/>
      <protection/>
    </xf>
    <xf numFmtId="0" fontId="60" fillId="23" borderId="22" xfId="56" applyFont="1" applyFill="1" applyBorder="1" applyAlignment="1" applyProtection="1">
      <alignment horizontal="center" vertical="center" wrapText="1"/>
      <protection/>
    </xf>
    <xf numFmtId="3" fontId="60" fillId="23" borderId="22" xfId="56" applyNumberFormat="1" applyFont="1" applyFill="1" applyBorder="1" applyAlignment="1" applyProtection="1">
      <alignment horizontal="center" vertical="center" wrapText="1"/>
      <protection/>
    </xf>
    <xf numFmtId="3" fontId="60" fillId="23" borderId="17" xfId="56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7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1" fillId="34" borderId="0" xfId="67" applyNumberFormat="1" applyFont="1" applyFill="1" applyBorder="1" applyAlignment="1">
      <alignment/>
      <protection/>
    </xf>
    <xf numFmtId="181" fontId="57" fillId="34" borderId="0" xfId="67" applyNumberFormat="1" applyFont="1" applyFill="1" applyBorder="1" applyAlignment="1">
      <alignment horizontal="center"/>
      <protection/>
    </xf>
    <xf numFmtId="3" fontId="57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/>
      <protection/>
    </xf>
    <xf numFmtId="0" fontId="13" fillId="0" borderId="19" xfId="56" applyFont="1" applyFill="1" applyBorder="1" applyAlignment="1">
      <alignment vertical="top"/>
      <protection/>
    </xf>
    <xf numFmtId="0" fontId="13" fillId="0" borderId="0" xfId="56" applyFont="1" applyFill="1" applyBorder="1" applyAlignment="1">
      <alignment vertical="top" wrapText="1"/>
      <protection/>
    </xf>
    <xf numFmtId="171" fontId="10" fillId="34" borderId="0" xfId="47" applyFont="1" applyFill="1" applyBorder="1" applyAlignment="1">
      <alignment/>
    </xf>
    <xf numFmtId="171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3" fontId="10" fillId="34" borderId="11" xfId="56" applyNumberFormat="1" applyFont="1" applyFill="1" applyBorder="1" applyAlignment="1" applyProtection="1">
      <alignment horizontal="right" vertic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60" fillId="23" borderId="12" xfId="56" applyNumberFormat="1" applyFont="1" applyFill="1" applyBorder="1" applyAlignment="1" applyProtection="1">
      <alignment horizontal="center" vertic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181" fontId="61" fillId="34" borderId="21" xfId="0" applyNumberFormat="1" applyFont="1" applyFill="1" applyBorder="1" applyAlignment="1">
      <alignment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181" fontId="60" fillId="23" borderId="15" xfId="56" applyNumberFormat="1" applyFont="1" applyFill="1" applyBorder="1" applyAlignment="1" applyProtection="1">
      <alignment horizontal="center" vertical="center" wrapText="1"/>
      <protection/>
    </xf>
    <xf numFmtId="0" fontId="60" fillId="23" borderId="15" xfId="56" applyFont="1" applyFill="1" applyBorder="1" applyAlignment="1" applyProtection="1">
      <alignment horizontal="center" vertical="center" wrapText="1"/>
      <protection/>
    </xf>
    <xf numFmtId="3" fontId="60" fillId="23" borderId="15" xfId="56" applyNumberFormat="1" applyFont="1" applyFill="1" applyBorder="1" applyAlignment="1" applyProtection="1">
      <alignment horizontal="center" vertical="center" wrapText="1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181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 vertical="center"/>
      <protection/>
    </xf>
    <xf numFmtId="0" fontId="10" fillId="34" borderId="20" xfId="56" applyFont="1" applyFill="1" applyBorder="1" applyAlignment="1" applyProtection="1">
      <alignment horizontal="righ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181" fontId="10" fillId="34" borderId="12" xfId="56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 vertic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6" xfId="67" applyNumberFormat="1" applyFont="1" applyFill="1" applyBorder="1" applyAlignment="1" applyProtection="1">
      <alignment horizontal="left"/>
      <protection/>
    </xf>
    <xf numFmtId="0" fontId="10" fillId="34" borderId="22" xfId="67" applyNumberFormat="1" applyFont="1" applyFill="1" applyBorder="1" applyAlignment="1" applyProtection="1">
      <alignment horizontal="lef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9" fontId="10" fillId="34" borderId="17" xfId="69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right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3" fontId="10" fillId="34" borderId="17" xfId="47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0" fillId="34" borderId="21" xfId="0" applyFill="1" applyBorder="1" applyAlignment="1">
      <alignment/>
    </xf>
    <xf numFmtId="3" fontId="8" fillId="34" borderId="0" xfId="67" applyNumberFormat="1" applyFont="1" applyFill="1" applyBorder="1" applyAlignment="1">
      <alignment horizontal="center"/>
      <protection/>
    </xf>
    <xf numFmtId="181" fontId="8" fillId="34" borderId="0" xfId="67" applyNumberFormat="1" applyFont="1" applyFill="1" applyBorder="1" applyAlignment="1">
      <alignment horizontal="center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0" fontId="59" fillId="23" borderId="16" xfId="56" applyFont="1" applyFill="1" applyBorder="1" applyAlignment="1" applyProtection="1">
      <alignment horizontal="left"/>
      <protection/>
    </xf>
    <xf numFmtId="0" fontId="59" fillId="23" borderId="22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60" fillId="23" borderId="22" xfId="56" applyFont="1" applyFill="1" applyBorder="1" applyAlignment="1" applyProtection="1">
      <alignment horizontal="center" vertic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3" fontId="13" fillId="0" borderId="19" xfId="55" applyNumberFormat="1" applyFont="1" applyFill="1" applyBorder="1" applyAlignment="1">
      <alignment horizontal="left" vertical="top" wrapText="1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0" fontId="59" fillId="37" borderId="16" xfId="55" applyFont="1" applyFill="1" applyBorder="1" applyAlignment="1">
      <alignment horizontal="center"/>
      <protection/>
    </xf>
    <xf numFmtId="0" fontId="59" fillId="37" borderId="22" xfId="55" applyFont="1" applyFill="1" applyBorder="1" applyAlignment="1">
      <alignment horizontal="center"/>
      <protection/>
    </xf>
    <xf numFmtId="0" fontId="59" fillId="37" borderId="17" xfId="55" applyFont="1" applyFill="1" applyBorder="1" applyAlignment="1">
      <alignment horizontal="center"/>
      <protection/>
    </xf>
    <xf numFmtId="17" fontId="59" fillId="37" borderId="18" xfId="67" applyNumberFormat="1" applyFont="1" applyFill="1" applyBorder="1" applyAlignment="1" applyProtection="1">
      <alignment horizontal="center"/>
      <protection/>
    </xf>
    <xf numFmtId="17" fontId="59" fillId="37" borderId="15" xfId="67" applyNumberFormat="1" applyFont="1" applyFill="1" applyBorder="1" applyAlignment="1" applyProtection="1">
      <alignment horizontal="center"/>
      <protection/>
    </xf>
    <xf numFmtId="17" fontId="59" fillId="37" borderId="12" xfId="67" applyNumberFormat="1" applyFont="1" applyFill="1" applyBorder="1" applyAlignment="1" applyProtection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180" fontId="60" fillId="0" borderId="0" xfId="67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16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8" fillId="36" borderId="16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8" borderId="13" xfId="0" applyNumberFormat="1" applyFont="1" applyFill="1" applyBorder="1" applyAlignment="1">
      <alignment horizontal="center"/>
    </xf>
    <xf numFmtId="0" fontId="60" fillId="23" borderId="16" xfId="56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13" fillId="0" borderId="21" xfId="55" applyNumberFormat="1" applyFont="1" applyFill="1" applyBorder="1" applyAlignment="1">
      <alignment horizontal="left" vertical="top" wrapText="1"/>
      <protection/>
    </xf>
    <xf numFmtId="3" fontId="13" fillId="0" borderId="14" xfId="55" applyNumberFormat="1" applyFont="1" applyFill="1" applyBorder="1" applyAlignment="1">
      <alignment horizontal="left" vertical="top" wrapText="1"/>
      <protection/>
    </xf>
    <xf numFmtId="3" fontId="13" fillId="0" borderId="20" xfId="55" applyNumberFormat="1" applyFont="1" applyFill="1" applyBorder="1" applyAlignment="1">
      <alignment horizontal="left" vertical="top" wrapText="1"/>
      <protection/>
    </xf>
    <xf numFmtId="0" fontId="59" fillId="39" borderId="18" xfId="0" applyFont="1" applyFill="1" applyBorder="1" applyAlignment="1">
      <alignment horizontal="center"/>
    </xf>
    <xf numFmtId="0" fontId="59" fillId="39" borderId="15" xfId="0" applyFont="1" applyFill="1" applyBorder="1" applyAlignment="1">
      <alignment horizontal="center"/>
    </xf>
    <xf numFmtId="0" fontId="59" fillId="39" borderId="12" xfId="0" applyFont="1" applyFill="1" applyBorder="1" applyAlignment="1">
      <alignment horizontal="center"/>
    </xf>
    <xf numFmtId="0" fontId="59" fillId="39" borderId="21" xfId="0" applyFont="1" applyFill="1" applyBorder="1" applyAlignment="1">
      <alignment horizontal="center"/>
    </xf>
    <xf numFmtId="0" fontId="59" fillId="39" borderId="14" xfId="0" applyFont="1" applyFill="1" applyBorder="1" applyAlignment="1">
      <alignment horizontal="center"/>
    </xf>
    <xf numFmtId="0" fontId="59" fillId="39" borderId="20" xfId="0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59" fillId="23" borderId="18" xfId="56" applyFont="1" applyFill="1" applyBorder="1" applyAlignment="1" applyProtection="1">
      <alignment horizontal="left"/>
      <protection/>
    </xf>
    <xf numFmtId="0" fontId="59" fillId="23" borderId="15" xfId="56" applyFont="1" applyFill="1" applyBorder="1" applyAlignment="1" applyProtection="1">
      <alignment horizontal="left"/>
      <protection/>
    </xf>
    <xf numFmtId="0" fontId="60" fillId="23" borderId="15" xfId="56" applyFont="1" applyFill="1" applyBorder="1" applyAlignment="1" applyProtection="1">
      <alignment horizontal="center" vertic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2" xfId="67" applyNumberFormat="1" applyFont="1" applyFill="1" applyBorder="1" applyAlignment="1" applyProtection="1">
      <alignment horizontal="left"/>
      <protection/>
    </xf>
    <xf numFmtId="0" fontId="10" fillId="34" borderId="22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3" fontId="8" fillId="34" borderId="18" xfId="0" applyNumberFormat="1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 horizontal="center" vertical="center"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3" fontId="8" fillId="36" borderId="12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0" fontId="8" fillId="38" borderId="13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3" fontId="8" fillId="38" borderId="13" xfId="0" applyNumberFormat="1" applyFont="1" applyFill="1" applyBorder="1" applyAlignment="1">
      <alignment horizontal="center" vertical="center"/>
    </xf>
    <xf numFmtId="0" fontId="10" fillId="34" borderId="15" xfId="56" applyFont="1" applyFill="1" applyBorder="1" applyAlignment="1">
      <alignment horizontal="center"/>
      <protection/>
    </xf>
    <xf numFmtId="3" fontId="13" fillId="34" borderId="19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3" fontId="13" fillId="34" borderId="15" xfId="55" applyNumberFormat="1" applyFont="1" applyFill="1" applyBorder="1" applyAlignment="1">
      <alignment horizontal="left" vertical="top" wrapText="1"/>
      <protection/>
    </xf>
    <xf numFmtId="3" fontId="13" fillId="34" borderId="12" xfId="55" applyNumberFormat="1" applyFont="1" applyFill="1" applyBorder="1" applyAlignment="1">
      <alignment horizontal="left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4" xfId="0" applyNumberFormat="1" applyFont="1" applyFill="1" applyBorder="1" applyAlignment="1">
      <alignment horizontal="center" vertical="center"/>
    </xf>
    <xf numFmtId="183" fontId="10" fillId="34" borderId="20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0" fontId="59" fillId="39" borderId="15" xfId="0" applyFont="1" applyFill="1" applyBorder="1" applyAlignment="1">
      <alignment horizontal="center" vertical="center"/>
    </xf>
    <xf numFmtId="0" fontId="59" fillId="39" borderId="12" xfId="0" applyFont="1" applyFill="1" applyBorder="1" applyAlignment="1">
      <alignment horizontal="center" vertical="center"/>
    </xf>
    <xf numFmtId="0" fontId="59" fillId="39" borderId="21" xfId="0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4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809625</xdr:colOff>
      <xdr:row>11</xdr:row>
      <xdr:rowOff>9525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95300"/>
          <a:ext cx="20574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109</xdr:row>
      <xdr:rowOff>219075</xdr:rowOff>
    </xdr:from>
    <xdr:to>
      <xdr:col>2</xdr:col>
      <xdr:colOff>638175</xdr:colOff>
      <xdr:row>110</xdr:row>
      <xdr:rowOff>104775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04900" y="255460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0"/>
  <sheetViews>
    <sheetView showGridLines="0" tabSelected="1" view="pageBreakPreview" zoomScale="70" zoomScaleNormal="70" zoomScaleSheetLayoutView="70" zoomScalePageLayoutView="60" workbookViewId="0" topLeftCell="A1">
      <selection activeCell="A1" sqref="A1"/>
    </sheetView>
  </sheetViews>
  <sheetFormatPr defaultColWidth="11.421875" defaultRowHeight="15"/>
  <cols>
    <col min="1" max="1" width="16.421875" style="3" customWidth="1"/>
    <col min="2" max="3" width="18.7109375" style="0" customWidth="1"/>
    <col min="4" max="4" width="25.2812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customWidth="1"/>
    <col min="11" max="11" width="16.421875" style="8" customWidth="1"/>
    <col min="12" max="12" width="13.1406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6"/>
      <c r="K1" s="8"/>
    </row>
    <row r="2" spans="2:10" s="3" customFormat="1" ht="18" customHeight="1">
      <c r="B2" s="259" t="s">
        <v>7</v>
      </c>
      <c r="C2" s="259"/>
      <c r="D2" s="259"/>
      <c r="E2" s="259"/>
      <c r="F2" s="259"/>
      <c r="G2" s="259"/>
      <c r="H2" s="259"/>
      <c r="I2" s="259"/>
      <c r="J2" s="259"/>
    </row>
    <row r="3" spans="2:11" s="3" customFormat="1" ht="18" customHeight="1">
      <c r="B3" s="246" t="s">
        <v>118</v>
      </c>
      <c r="C3" s="246"/>
      <c r="D3" s="246"/>
      <c r="E3" s="246"/>
      <c r="F3" s="246"/>
      <c r="G3" s="246"/>
      <c r="H3" s="246"/>
      <c r="I3" s="246"/>
      <c r="J3" s="246"/>
      <c r="K3" s="13"/>
    </row>
    <row r="4" spans="2:11" s="3" customFormat="1" ht="18" customHeight="1">
      <c r="B4" s="246" t="s">
        <v>107</v>
      </c>
      <c r="C4" s="246"/>
      <c r="D4" s="246"/>
      <c r="E4" s="246"/>
      <c r="F4" s="246"/>
      <c r="G4" s="246"/>
      <c r="H4" s="246"/>
      <c r="I4" s="246"/>
      <c r="J4" s="246"/>
      <c r="K4" s="13"/>
    </row>
    <row r="5" spans="2:11" s="3" customFormat="1" ht="18" customHeight="1">
      <c r="B5" s="42"/>
      <c r="C5" s="42"/>
      <c r="D5" s="130"/>
      <c r="E5" s="237"/>
      <c r="F5" s="237"/>
      <c r="G5" s="238"/>
      <c r="H5" s="44"/>
      <c r="I5" s="42"/>
      <c r="J5" s="131"/>
      <c r="K5" s="15"/>
    </row>
    <row r="6" spans="2:11" s="3" customFormat="1" ht="18" customHeight="1">
      <c r="B6" s="42"/>
      <c r="C6" s="42"/>
      <c r="D6" s="263" t="s">
        <v>51</v>
      </c>
      <c r="E6" s="264"/>
      <c r="F6" s="264"/>
      <c r="G6" s="264"/>
      <c r="H6" s="264"/>
      <c r="I6" s="264"/>
      <c r="J6" s="265"/>
      <c r="K6" s="15"/>
    </row>
    <row r="7" spans="2:11" s="3" customFormat="1" ht="18" customHeight="1">
      <c r="B7" s="42"/>
      <c r="C7" s="42"/>
      <c r="D7" s="87" t="s">
        <v>90</v>
      </c>
      <c r="E7" s="88"/>
      <c r="F7" s="88"/>
      <c r="G7" s="89" t="s">
        <v>87</v>
      </c>
      <c r="H7" s="90"/>
      <c r="I7" s="91"/>
      <c r="J7" s="92"/>
      <c r="K7" s="15"/>
    </row>
    <row r="8" spans="2:11" s="3" customFormat="1" ht="18" customHeight="1">
      <c r="B8" s="42"/>
      <c r="C8" s="42"/>
      <c r="D8" s="93" t="s">
        <v>68</v>
      </c>
      <c r="E8" s="94"/>
      <c r="F8" s="94"/>
      <c r="G8" s="95" t="s">
        <v>47</v>
      </c>
      <c r="H8" s="96"/>
      <c r="I8" s="97"/>
      <c r="J8" s="98"/>
      <c r="K8" s="15"/>
    </row>
    <row r="9" spans="2:11" s="3" customFormat="1" ht="18" customHeight="1">
      <c r="B9" s="42"/>
      <c r="C9" s="42"/>
      <c r="D9" s="93" t="s">
        <v>125</v>
      </c>
      <c r="E9" s="94"/>
      <c r="F9" s="94"/>
      <c r="G9" s="95" t="s">
        <v>48</v>
      </c>
      <c r="H9" s="96"/>
      <c r="I9" s="97"/>
      <c r="J9" s="98"/>
      <c r="K9" s="17"/>
    </row>
    <row r="10" spans="2:11" s="3" customFormat="1" ht="18" customHeight="1">
      <c r="B10" s="42"/>
      <c r="C10" s="42"/>
      <c r="D10" s="93" t="s">
        <v>75</v>
      </c>
      <c r="E10" s="96"/>
      <c r="F10" s="94"/>
      <c r="G10" s="94"/>
      <c r="H10" s="96"/>
      <c r="I10" s="97"/>
      <c r="J10" s="98"/>
      <c r="K10" s="17"/>
    </row>
    <row r="11" spans="2:11" s="3" customFormat="1" ht="18" customHeight="1">
      <c r="B11" s="42"/>
      <c r="C11" s="42"/>
      <c r="D11" s="236"/>
      <c r="E11" s="99"/>
      <c r="F11" s="99"/>
      <c r="G11" s="100"/>
      <c r="H11" s="101"/>
      <c r="I11" s="102"/>
      <c r="J11" s="103"/>
      <c r="K11" s="17"/>
    </row>
    <row r="12" spans="2:11" s="3" customFormat="1" ht="18" customHeight="1">
      <c r="B12" s="132"/>
      <c r="C12" s="41"/>
      <c r="D12" s="26"/>
      <c r="E12" s="133"/>
      <c r="F12" s="134"/>
      <c r="G12" s="135"/>
      <c r="H12" s="42"/>
      <c r="I12" s="136"/>
      <c r="J12" s="137"/>
      <c r="K12" s="18"/>
    </row>
    <row r="13" spans="2:11" ht="17.25">
      <c r="B13" s="260" t="s">
        <v>52</v>
      </c>
      <c r="C13" s="261"/>
      <c r="D13" s="261"/>
      <c r="E13" s="262"/>
      <c r="F13" s="41"/>
      <c r="G13" s="260" t="s">
        <v>13</v>
      </c>
      <c r="H13" s="261"/>
      <c r="I13" s="261"/>
      <c r="J13" s="262"/>
      <c r="K13" s="15"/>
    </row>
    <row r="14" spans="2:11" ht="18.75">
      <c r="B14" s="111" t="s">
        <v>119</v>
      </c>
      <c r="C14" s="112"/>
      <c r="D14" s="88"/>
      <c r="E14" s="113">
        <v>25000</v>
      </c>
      <c r="F14" s="42"/>
      <c r="G14" s="120" t="s">
        <v>6</v>
      </c>
      <c r="H14" s="88"/>
      <c r="I14" s="88"/>
      <c r="J14" s="121">
        <f>E14*E15</f>
        <v>4750000</v>
      </c>
      <c r="K14" s="15"/>
    </row>
    <row r="15" spans="2:11" ht="18" customHeight="1">
      <c r="B15" s="266" t="s">
        <v>108</v>
      </c>
      <c r="C15" s="267"/>
      <c r="D15" s="267"/>
      <c r="E15" s="114">
        <v>190</v>
      </c>
      <c r="F15" s="42"/>
      <c r="G15" s="122" t="s">
        <v>9</v>
      </c>
      <c r="H15" s="42"/>
      <c r="I15" s="42"/>
      <c r="J15" s="123">
        <f>J31+J42+J68+J72</f>
        <v>3660911.1</v>
      </c>
      <c r="K15" s="15"/>
    </row>
    <row r="16" spans="2:11" ht="18" customHeight="1">
      <c r="B16" s="115" t="s">
        <v>8</v>
      </c>
      <c r="C16" s="43"/>
      <c r="D16" s="42"/>
      <c r="E16" s="114">
        <v>13500</v>
      </c>
      <c r="F16" s="42"/>
      <c r="G16" s="122" t="s">
        <v>10</v>
      </c>
      <c r="H16" s="44"/>
      <c r="I16" s="42"/>
      <c r="J16" s="123">
        <f>J31+J42+J68+J80+J72</f>
        <v>3791657.9250000003</v>
      </c>
      <c r="K16" s="15"/>
    </row>
    <row r="17" spans="2:11" ht="18" customHeight="1">
      <c r="B17" s="115" t="s">
        <v>3</v>
      </c>
      <c r="C17" s="45"/>
      <c r="D17" s="42"/>
      <c r="E17" s="116">
        <v>0.015</v>
      </c>
      <c r="F17" s="42"/>
      <c r="G17" s="122" t="s">
        <v>11</v>
      </c>
      <c r="H17" s="42"/>
      <c r="I17" s="42"/>
      <c r="J17" s="123">
        <f>J14-J15</f>
        <v>1089088.9</v>
      </c>
      <c r="K17" s="15"/>
    </row>
    <row r="18" spans="2:11" ht="18" customHeight="1">
      <c r="B18" s="117" t="s">
        <v>4</v>
      </c>
      <c r="C18" s="118"/>
      <c r="D18" s="104"/>
      <c r="E18" s="119">
        <v>5</v>
      </c>
      <c r="F18" s="42"/>
      <c r="G18" s="122" t="s">
        <v>12</v>
      </c>
      <c r="H18" s="42"/>
      <c r="I18" s="42"/>
      <c r="J18" s="123">
        <f>J14-J16</f>
        <v>958342.0749999997</v>
      </c>
      <c r="K18" s="15" t="s">
        <v>74</v>
      </c>
    </row>
    <row r="19" spans="6:11" ht="18" customHeight="1">
      <c r="F19" s="42"/>
      <c r="G19" s="181" t="s">
        <v>69</v>
      </c>
      <c r="H19" s="104"/>
      <c r="I19" s="124"/>
      <c r="J19" s="125">
        <f>G98</f>
        <v>151.66631700000002</v>
      </c>
      <c r="K19" s="15"/>
    </row>
    <row r="20" spans="2:11" s="3" customFormat="1" ht="18" customHeight="1">
      <c r="B20" s="42"/>
      <c r="C20" s="42"/>
      <c r="D20" s="42"/>
      <c r="E20" s="20"/>
      <c r="F20" s="20"/>
      <c r="G20" s="21"/>
      <c r="H20" s="22"/>
      <c r="I20" s="23"/>
      <c r="J20" s="23"/>
      <c r="K20" s="15"/>
    </row>
    <row r="21" spans="2:11" s="3" customFormat="1" ht="18" customHeight="1">
      <c r="B21" s="139" t="s">
        <v>49</v>
      </c>
      <c r="C21" s="138"/>
      <c r="D21" s="138"/>
      <c r="E21" s="245" t="s">
        <v>14</v>
      </c>
      <c r="F21" s="245"/>
      <c r="G21" s="140" t="s">
        <v>15</v>
      </c>
      <c r="H21" s="141" t="s">
        <v>16</v>
      </c>
      <c r="I21" s="142" t="s">
        <v>91</v>
      </c>
      <c r="J21" s="143" t="s">
        <v>2</v>
      </c>
      <c r="K21" s="15"/>
    </row>
    <row r="22" spans="2:11" s="3" customFormat="1" ht="18" customHeight="1">
      <c r="B22" s="240" t="s">
        <v>18</v>
      </c>
      <c r="C22" s="241"/>
      <c r="D22" s="241"/>
      <c r="E22" s="249"/>
      <c r="F22" s="249"/>
      <c r="G22" s="126"/>
      <c r="H22" s="127"/>
      <c r="I22" s="128"/>
      <c r="J22" s="174"/>
      <c r="K22" s="15"/>
    </row>
    <row r="23" spans="2:11" s="3" customFormat="1" ht="18" customHeight="1">
      <c r="B23" s="151" t="s">
        <v>29</v>
      </c>
      <c r="C23" s="152"/>
      <c r="D23" s="153"/>
      <c r="E23" s="253" t="s">
        <v>78</v>
      </c>
      <c r="F23" s="254"/>
      <c r="G23" s="204">
        <v>10</v>
      </c>
      <c r="H23" s="154" t="s">
        <v>5</v>
      </c>
      <c r="I23" s="172">
        <v>13500</v>
      </c>
      <c r="J23" s="155">
        <f aca="true" t="shared" si="0" ref="J23:J29">G23*I23</f>
        <v>135000</v>
      </c>
      <c r="K23" s="15"/>
    </row>
    <row r="24" spans="2:11" s="3" customFormat="1" ht="18" customHeight="1">
      <c r="B24" s="148" t="s">
        <v>59</v>
      </c>
      <c r="C24" s="149"/>
      <c r="D24" s="150"/>
      <c r="E24" s="247" t="s">
        <v>79</v>
      </c>
      <c r="F24" s="248"/>
      <c r="G24" s="205">
        <v>2</v>
      </c>
      <c r="H24" s="156" t="s">
        <v>5</v>
      </c>
      <c r="I24" s="173">
        <v>13500</v>
      </c>
      <c r="J24" s="157">
        <f t="shared" si="0"/>
        <v>27000</v>
      </c>
      <c r="K24" s="15"/>
    </row>
    <row r="25" spans="2:11" s="3" customFormat="1" ht="18" customHeight="1">
      <c r="B25" s="148" t="s">
        <v>30</v>
      </c>
      <c r="C25" s="149"/>
      <c r="D25" s="150"/>
      <c r="E25" s="247" t="s">
        <v>80</v>
      </c>
      <c r="F25" s="248"/>
      <c r="G25" s="205">
        <v>2</v>
      </c>
      <c r="H25" s="156" t="s">
        <v>5</v>
      </c>
      <c r="I25" s="173">
        <v>13500</v>
      </c>
      <c r="J25" s="157">
        <f t="shared" si="0"/>
        <v>27000</v>
      </c>
      <c r="K25" s="15"/>
    </row>
    <row r="26" spans="2:18" s="3" customFormat="1" ht="18" customHeight="1">
      <c r="B26" s="148" t="s">
        <v>55</v>
      </c>
      <c r="C26" s="149"/>
      <c r="D26" s="150"/>
      <c r="E26" s="247" t="s">
        <v>81</v>
      </c>
      <c r="F26" s="248"/>
      <c r="G26" s="205">
        <v>2</v>
      </c>
      <c r="H26" s="156" t="s">
        <v>5</v>
      </c>
      <c r="I26" s="173">
        <v>13500</v>
      </c>
      <c r="J26" s="157">
        <f t="shared" si="0"/>
        <v>27000</v>
      </c>
      <c r="K26" s="15"/>
      <c r="R26" s="26"/>
    </row>
    <row r="27" spans="2:11" s="3" customFormat="1" ht="18" customHeight="1">
      <c r="B27" s="148" t="s">
        <v>31</v>
      </c>
      <c r="C27" s="149"/>
      <c r="D27" s="150"/>
      <c r="E27" s="247" t="s">
        <v>78</v>
      </c>
      <c r="F27" s="248"/>
      <c r="G27" s="205">
        <v>2</v>
      </c>
      <c r="H27" s="156" t="s">
        <v>5</v>
      </c>
      <c r="I27" s="173">
        <v>13500</v>
      </c>
      <c r="J27" s="157">
        <f t="shared" si="0"/>
        <v>27000</v>
      </c>
      <c r="K27" s="15"/>
    </row>
    <row r="28" spans="2:11" s="3" customFormat="1" ht="18" customHeight="1">
      <c r="B28" s="212" t="s">
        <v>106</v>
      </c>
      <c r="C28" s="211"/>
      <c r="D28" s="213"/>
      <c r="E28" s="247" t="s">
        <v>82</v>
      </c>
      <c r="F28" s="248"/>
      <c r="G28" s="205">
        <v>6</v>
      </c>
      <c r="H28" s="156" t="s">
        <v>5</v>
      </c>
      <c r="I28" s="173">
        <v>13500</v>
      </c>
      <c r="J28" s="157">
        <f t="shared" si="0"/>
        <v>81000</v>
      </c>
      <c r="K28" s="15"/>
    </row>
    <row r="29" spans="2:11" s="3" customFormat="1" ht="18" customHeight="1">
      <c r="B29" s="231" t="s">
        <v>120</v>
      </c>
      <c r="C29" s="230"/>
      <c r="D29" s="232"/>
      <c r="E29" s="247" t="s">
        <v>82</v>
      </c>
      <c r="F29" s="248"/>
      <c r="G29" s="205">
        <f>Hoja1!D5*Hoja1!C2</f>
        <v>25000</v>
      </c>
      <c r="H29" s="156" t="s">
        <v>45</v>
      </c>
      <c r="I29" s="173">
        <v>35</v>
      </c>
      <c r="J29" s="157">
        <f t="shared" si="0"/>
        <v>875000</v>
      </c>
      <c r="K29" s="15"/>
    </row>
    <row r="30" spans="2:11" s="3" customFormat="1" ht="18" customHeight="1">
      <c r="B30" s="234" t="s">
        <v>124</v>
      </c>
      <c r="C30" s="233"/>
      <c r="D30" s="235"/>
      <c r="E30" s="247" t="s">
        <v>82</v>
      </c>
      <c r="F30" s="248"/>
      <c r="G30" s="205">
        <f>Hoja1!D6*Hoja1!C2</f>
        <v>25000</v>
      </c>
      <c r="H30" s="156" t="s">
        <v>45</v>
      </c>
      <c r="I30" s="173">
        <v>4</v>
      </c>
      <c r="J30" s="239">
        <f>G30*I30</f>
        <v>100000</v>
      </c>
      <c r="K30" s="15"/>
    </row>
    <row r="31" spans="2:11" ht="18" customHeight="1">
      <c r="B31" s="273" t="s">
        <v>19</v>
      </c>
      <c r="C31" s="274"/>
      <c r="D31" s="274"/>
      <c r="E31" s="274"/>
      <c r="F31" s="274"/>
      <c r="G31" s="274"/>
      <c r="H31" s="274"/>
      <c r="I31" s="274"/>
      <c r="J31" s="144">
        <f>SUM(J23:J30)</f>
        <v>1299000</v>
      </c>
      <c r="K31" s="15"/>
    </row>
    <row r="32" spans="2:11" s="3" customFormat="1" ht="18" customHeight="1">
      <c r="B32" s="85"/>
      <c r="C32" s="85"/>
      <c r="D32" s="85"/>
      <c r="E32" s="85"/>
      <c r="F32" s="85"/>
      <c r="G32" s="25"/>
      <c r="H32" s="85"/>
      <c r="I32" s="85"/>
      <c r="J32" s="27"/>
      <c r="K32" s="15"/>
    </row>
    <row r="33" spans="2:11" s="28" customFormat="1" ht="18" customHeight="1">
      <c r="B33" s="240" t="s">
        <v>20</v>
      </c>
      <c r="C33" s="241"/>
      <c r="D33" s="241"/>
      <c r="E33" s="249"/>
      <c r="F33" s="249"/>
      <c r="G33" s="126"/>
      <c r="H33" s="127"/>
      <c r="I33" s="128"/>
      <c r="J33" s="174"/>
      <c r="K33" s="15"/>
    </row>
    <row r="34" spans="2:11" s="3" customFormat="1" ht="18" customHeight="1">
      <c r="B34" s="250" t="s">
        <v>63</v>
      </c>
      <c r="C34" s="251"/>
      <c r="D34" s="252"/>
      <c r="E34" s="253" t="s">
        <v>65</v>
      </c>
      <c r="F34" s="254"/>
      <c r="G34" s="204">
        <v>1</v>
      </c>
      <c r="H34" s="154" t="s">
        <v>46</v>
      </c>
      <c r="I34" s="175">
        <v>70000</v>
      </c>
      <c r="J34" s="155">
        <f aca="true" t="shared" si="1" ref="J34:J41">G34*I34</f>
        <v>70000</v>
      </c>
      <c r="K34" s="15"/>
    </row>
    <row r="35" spans="2:11" s="3" customFormat="1" ht="18" customHeight="1">
      <c r="B35" s="242" t="s">
        <v>56</v>
      </c>
      <c r="C35" s="243"/>
      <c r="D35" s="244"/>
      <c r="E35" s="247" t="s">
        <v>65</v>
      </c>
      <c r="F35" s="248"/>
      <c r="G35" s="205">
        <v>2</v>
      </c>
      <c r="H35" s="156" t="s">
        <v>46</v>
      </c>
      <c r="I35" s="176">
        <v>30000</v>
      </c>
      <c r="J35" s="157">
        <f t="shared" si="1"/>
        <v>60000</v>
      </c>
      <c r="K35" s="15"/>
    </row>
    <row r="36" spans="2:11" s="3" customFormat="1" ht="18" customHeight="1">
      <c r="B36" s="148" t="s">
        <v>76</v>
      </c>
      <c r="C36" s="149"/>
      <c r="D36" s="150"/>
      <c r="E36" s="247" t="s">
        <v>83</v>
      </c>
      <c r="F36" s="248"/>
      <c r="G36" s="205">
        <v>1</v>
      </c>
      <c r="H36" s="156" t="s">
        <v>46</v>
      </c>
      <c r="I36" s="176">
        <v>100000</v>
      </c>
      <c r="J36" s="157">
        <f t="shared" si="1"/>
        <v>100000</v>
      </c>
      <c r="K36" s="15"/>
    </row>
    <row r="37" spans="2:11" s="3" customFormat="1" ht="18" customHeight="1">
      <c r="B37" s="242" t="s">
        <v>57</v>
      </c>
      <c r="C37" s="243"/>
      <c r="D37" s="244"/>
      <c r="E37" s="247" t="s">
        <v>80</v>
      </c>
      <c r="F37" s="248"/>
      <c r="G37" s="205">
        <v>2</v>
      </c>
      <c r="H37" s="156" t="s">
        <v>46</v>
      </c>
      <c r="I37" s="176">
        <v>6000</v>
      </c>
      <c r="J37" s="157">
        <f t="shared" si="1"/>
        <v>12000</v>
      </c>
      <c r="K37" s="15"/>
    </row>
    <row r="38" spans="2:11" s="3" customFormat="1" ht="18" customHeight="1">
      <c r="B38" s="148" t="s">
        <v>58</v>
      </c>
      <c r="C38" s="149"/>
      <c r="D38" s="150"/>
      <c r="E38" s="247" t="s">
        <v>80</v>
      </c>
      <c r="F38" s="248"/>
      <c r="G38" s="205">
        <v>3</v>
      </c>
      <c r="H38" s="156" t="s">
        <v>46</v>
      </c>
      <c r="I38" s="176">
        <v>30000</v>
      </c>
      <c r="J38" s="157">
        <f t="shared" si="1"/>
        <v>90000</v>
      </c>
      <c r="K38" s="15"/>
    </row>
    <row r="39" spans="2:11" s="3" customFormat="1" ht="18" customHeight="1">
      <c r="B39" s="242" t="s">
        <v>67</v>
      </c>
      <c r="C39" s="243"/>
      <c r="D39" s="244"/>
      <c r="E39" s="247" t="s">
        <v>73</v>
      </c>
      <c r="F39" s="248"/>
      <c r="G39" s="205">
        <v>2</v>
      </c>
      <c r="H39" s="156" t="s">
        <v>46</v>
      </c>
      <c r="I39" s="176">
        <v>30000</v>
      </c>
      <c r="J39" s="157">
        <f t="shared" si="1"/>
        <v>60000</v>
      </c>
      <c r="K39" s="15"/>
    </row>
    <row r="40" spans="2:11" s="3" customFormat="1" ht="18" customHeight="1">
      <c r="B40" s="242" t="s">
        <v>59</v>
      </c>
      <c r="C40" s="243"/>
      <c r="D40" s="244"/>
      <c r="E40" s="247" t="s">
        <v>78</v>
      </c>
      <c r="F40" s="248"/>
      <c r="G40" s="205">
        <v>1</v>
      </c>
      <c r="H40" s="156" t="s">
        <v>46</v>
      </c>
      <c r="I40" s="176">
        <v>50000</v>
      </c>
      <c r="J40" s="157">
        <f t="shared" si="1"/>
        <v>50000</v>
      </c>
      <c r="K40" s="15"/>
    </row>
    <row r="41" spans="2:11" s="3" customFormat="1" ht="18" customHeight="1">
      <c r="B41" s="218" t="s">
        <v>88</v>
      </c>
      <c r="C41" s="219"/>
      <c r="D41" s="219"/>
      <c r="E41" s="247" t="s">
        <v>85</v>
      </c>
      <c r="F41" s="248"/>
      <c r="G41" s="205">
        <v>1</v>
      </c>
      <c r="H41" s="156" t="s">
        <v>46</v>
      </c>
      <c r="I41" s="176">
        <v>30000</v>
      </c>
      <c r="J41" s="239">
        <f t="shared" si="1"/>
        <v>30000</v>
      </c>
      <c r="K41" s="15"/>
    </row>
    <row r="42" spans="2:12" ht="18" customHeight="1">
      <c r="B42" s="273" t="s">
        <v>21</v>
      </c>
      <c r="C42" s="274"/>
      <c r="D42" s="274"/>
      <c r="E42" s="274"/>
      <c r="F42" s="274"/>
      <c r="G42" s="274"/>
      <c r="H42" s="274"/>
      <c r="I42" s="274"/>
      <c r="J42" s="144">
        <f>SUM(J34:J41)</f>
        <v>472000</v>
      </c>
      <c r="K42" s="15"/>
      <c r="L42" s="15"/>
    </row>
    <row r="43" spans="2:12" s="3" customFormat="1" ht="18" customHeight="1">
      <c r="B43" s="85"/>
      <c r="C43" s="85"/>
      <c r="D43" s="85"/>
      <c r="E43" s="85"/>
      <c r="F43" s="85"/>
      <c r="G43" s="25"/>
      <c r="H43" s="85"/>
      <c r="I43" s="85"/>
      <c r="J43" s="27"/>
      <c r="K43" s="15"/>
      <c r="L43" s="19"/>
    </row>
    <row r="44" spans="2:12" s="3" customFormat="1" ht="18" customHeight="1">
      <c r="B44" s="304" t="s">
        <v>110</v>
      </c>
      <c r="C44" s="305"/>
      <c r="D44" s="305"/>
      <c r="E44" s="306"/>
      <c r="F44" s="306"/>
      <c r="G44" s="184"/>
      <c r="H44" s="185"/>
      <c r="I44" s="186"/>
      <c r="J44" s="174"/>
      <c r="K44" s="15"/>
      <c r="L44" s="24"/>
    </row>
    <row r="45" spans="2:12" s="3" customFormat="1" ht="18" customHeight="1">
      <c r="B45" s="310" t="s">
        <v>116</v>
      </c>
      <c r="C45" s="311"/>
      <c r="D45" s="312"/>
      <c r="E45" s="331" t="s">
        <v>84</v>
      </c>
      <c r="F45" s="254"/>
      <c r="G45" s="206">
        <v>3500</v>
      </c>
      <c r="H45" s="192" t="s">
        <v>45</v>
      </c>
      <c r="I45" s="9">
        <v>300</v>
      </c>
      <c r="J45" s="9">
        <f aca="true" t="shared" si="2" ref="J45:J50">G45*I45</f>
        <v>1050000</v>
      </c>
      <c r="K45" s="15"/>
      <c r="L45" s="24"/>
    </row>
    <row r="46" spans="2:12" s="3" customFormat="1" ht="18" customHeight="1">
      <c r="B46" s="178"/>
      <c r="C46" s="179"/>
      <c r="D46" s="188"/>
      <c r="E46" s="183"/>
      <c r="F46" s="177"/>
      <c r="G46" s="190"/>
      <c r="H46" s="193"/>
      <c r="I46" s="10"/>
      <c r="J46" s="10"/>
      <c r="K46" s="15"/>
      <c r="L46" s="24"/>
    </row>
    <row r="47" spans="2:12" s="3" customFormat="1" ht="18" customHeight="1">
      <c r="B47" s="307" t="s">
        <v>43</v>
      </c>
      <c r="C47" s="308" t="s">
        <v>60</v>
      </c>
      <c r="D47" s="309" t="s">
        <v>60</v>
      </c>
      <c r="E47" s="258"/>
      <c r="F47" s="248"/>
      <c r="G47" s="207"/>
      <c r="H47" s="194"/>
      <c r="I47" s="171"/>
      <c r="J47" s="10"/>
      <c r="K47" s="15"/>
      <c r="L47" s="24"/>
    </row>
    <row r="48" spans="2:12" s="3" customFormat="1" ht="18" customHeight="1">
      <c r="B48" s="178" t="s">
        <v>92</v>
      </c>
      <c r="C48" s="179"/>
      <c r="D48" s="188"/>
      <c r="E48" s="258" t="s">
        <v>83</v>
      </c>
      <c r="F48" s="248"/>
      <c r="G48" s="207">
        <v>400</v>
      </c>
      <c r="H48" s="194" t="s">
        <v>45</v>
      </c>
      <c r="I48" s="171">
        <v>351</v>
      </c>
      <c r="J48" s="10">
        <f>G48*I48</f>
        <v>140400</v>
      </c>
      <c r="K48" s="15"/>
      <c r="L48" s="24"/>
    </row>
    <row r="49" spans="2:12" s="3" customFormat="1" ht="18" customHeight="1">
      <c r="B49" s="178" t="s">
        <v>93</v>
      </c>
      <c r="C49" s="179"/>
      <c r="D49" s="188"/>
      <c r="E49" s="258" t="s">
        <v>73</v>
      </c>
      <c r="F49" s="248"/>
      <c r="G49" s="207">
        <v>400</v>
      </c>
      <c r="H49" s="194" t="s">
        <v>32</v>
      </c>
      <c r="I49" s="171">
        <v>360</v>
      </c>
      <c r="J49" s="10">
        <f t="shared" si="2"/>
        <v>144000</v>
      </c>
      <c r="K49" s="15"/>
      <c r="L49" s="24"/>
    </row>
    <row r="50" spans="2:12" s="3" customFormat="1" ht="18" customHeight="1">
      <c r="B50" s="178" t="s">
        <v>94</v>
      </c>
      <c r="C50" s="179"/>
      <c r="D50" s="188"/>
      <c r="E50" s="258" t="s">
        <v>73</v>
      </c>
      <c r="F50" s="248"/>
      <c r="G50" s="207">
        <v>150</v>
      </c>
      <c r="H50" s="194" t="s">
        <v>45</v>
      </c>
      <c r="I50" s="171">
        <v>667</v>
      </c>
      <c r="J50" s="10">
        <f t="shared" si="2"/>
        <v>100050</v>
      </c>
      <c r="K50" s="15"/>
      <c r="L50" s="24"/>
    </row>
    <row r="51" spans="2:12" s="3" customFormat="1" ht="18" customHeight="1">
      <c r="B51" s="178"/>
      <c r="C51" s="179"/>
      <c r="D51" s="188"/>
      <c r="E51" s="258"/>
      <c r="F51" s="248"/>
      <c r="G51" s="207"/>
      <c r="H51" s="194"/>
      <c r="I51" s="171"/>
      <c r="J51" s="10"/>
      <c r="K51" s="15"/>
      <c r="L51" s="24"/>
    </row>
    <row r="52" spans="2:12" s="3" customFormat="1" ht="18" customHeight="1">
      <c r="B52" s="178" t="s">
        <v>64</v>
      </c>
      <c r="C52" s="179"/>
      <c r="D52" s="170"/>
      <c r="E52" s="169"/>
      <c r="F52" s="170"/>
      <c r="G52" s="190"/>
      <c r="H52" s="193"/>
      <c r="I52" s="10"/>
      <c r="J52" s="10"/>
      <c r="K52" s="15"/>
      <c r="L52" s="24"/>
    </row>
    <row r="53" spans="2:12" s="3" customFormat="1" ht="18" customHeight="1">
      <c r="B53" s="178" t="s">
        <v>95</v>
      </c>
      <c r="C53" s="179"/>
      <c r="D53" s="170"/>
      <c r="E53" s="258" t="s">
        <v>73</v>
      </c>
      <c r="F53" s="248"/>
      <c r="G53" s="190">
        <v>4</v>
      </c>
      <c r="H53" s="193" t="s">
        <v>45</v>
      </c>
      <c r="I53" s="10">
        <v>4100</v>
      </c>
      <c r="J53" s="10">
        <f>G53*I53</f>
        <v>16400</v>
      </c>
      <c r="K53" s="15"/>
      <c r="L53" s="24"/>
    </row>
    <row r="54" spans="2:12" s="3" customFormat="1" ht="18" customHeight="1">
      <c r="B54" s="178" t="s">
        <v>104</v>
      </c>
      <c r="C54" s="179"/>
      <c r="D54" s="188"/>
      <c r="E54" s="258" t="s">
        <v>73</v>
      </c>
      <c r="F54" s="248"/>
      <c r="G54" s="190">
        <v>4</v>
      </c>
      <c r="H54" s="193" t="s">
        <v>45</v>
      </c>
      <c r="I54" s="10">
        <v>19500</v>
      </c>
      <c r="J54" s="10">
        <f>G54*I54</f>
        <v>78000</v>
      </c>
      <c r="K54" s="15"/>
      <c r="L54" s="24"/>
    </row>
    <row r="55" spans="2:12" s="3" customFormat="1" ht="18" customHeight="1">
      <c r="B55" s="196"/>
      <c r="C55" s="197"/>
      <c r="D55" s="198"/>
      <c r="E55" s="247"/>
      <c r="F55" s="248"/>
      <c r="G55" s="190"/>
      <c r="H55" s="193"/>
      <c r="I55" s="10"/>
      <c r="J55" s="10"/>
      <c r="K55" s="15"/>
      <c r="L55" s="24"/>
    </row>
    <row r="56" spans="2:12" s="3" customFormat="1" ht="18" customHeight="1">
      <c r="B56" s="307" t="s">
        <v>44</v>
      </c>
      <c r="C56" s="308"/>
      <c r="D56" s="309"/>
      <c r="E56" s="258"/>
      <c r="F56" s="248"/>
      <c r="G56" s="190"/>
      <c r="H56" s="193"/>
      <c r="I56" s="10"/>
      <c r="J56" s="10"/>
      <c r="K56" s="15"/>
      <c r="L56" s="24"/>
    </row>
    <row r="57" spans="2:12" s="3" customFormat="1" ht="17.25">
      <c r="B57" s="317" t="s">
        <v>96</v>
      </c>
      <c r="C57" s="318"/>
      <c r="D57" s="319"/>
      <c r="E57" s="258" t="s">
        <v>73</v>
      </c>
      <c r="F57" s="248"/>
      <c r="G57" s="190">
        <v>1</v>
      </c>
      <c r="H57" s="193" t="s">
        <v>42</v>
      </c>
      <c r="I57" s="10">
        <v>27150</v>
      </c>
      <c r="J57" s="10">
        <f>G57*I57</f>
        <v>27150</v>
      </c>
      <c r="K57" s="15"/>
      <c r="L57" s="24"/>
    </row>
    <row r="58" spans="2:12" s="3" customFormat="1" ht="17.25">
      <c r="B58" s="199" t="s">
        <v>97</v>
      </c>
      <c r="C58" s="200"/>
      <c r="D58" s="201"/>
      <c r="E58" s="247" t="s">
        <v>73</v>
      </c>
      <c r="F58" s="248"/>
      <c r="G58" s="190">
        <v>0.1</v>
      </c>
      <c r="H58" s="193" t="s">
        <v>42</v>
      </c>
      <c r="I58" s="10">
        <v>190950</v>
      </c>
      <c r="J58" s="10">
        <f>G58*I58</f>
        <v>19095</v>
      </c>
      <c r="K58" s="15"/>
      <c r="L58" s="24"/>
    </row>
    <row r="59" spans="2:12" s="3" customFormat="1" ht="17.25">
      <c r="B59" s="220"/>
      <c r="C59" s="216"/>
      <c r="D59" s="217"/>
      <c r="E59" s="214"/>
      <c r="F59" s="215"/>
      <c r="G59" s="190"/>
      <c r="H59" s="193"/>
      <c r="I59" s="10"/>
      <c r="J59" s="10"/>
      <c r="K59" s="15"/>
      <c r="L59" s="24"/>
    </row>
    <row r="60" spans="2:12" s="3" customFormat="1" ht="17.25">
      <c r="B60" s="222" t="s">
        <v>86</v>
      </c>
      <c r="C60" s="221"/>
      <c r="D60" s="217"/>
      <c r="E60" s="214"/>
      <c r="F60" s="215"/>
      <c r="G60" s="190"/>
      <c r="H60" s="193"/>
      <c r="I60" s="10"/>
      <c r="J60" s="10"/>
      <c r="K60" s="15"/>
      <c r="L60" s="24"/>
    </row>
    <row r="61" spans="2:12" s="3" customFormat="1" ht="17.25">
      <c r="B61" s="220" t="s">
        <v>103</v>
      </c>
      <c r="C61" s="221"/>
      <c r="D61" s="217"/>
      <c r="E61" s="247" t="s">
        <v>81</v>
      </c>
      <c r="F61" s="248"/>
      <c r="G61" s="190">
        <v>0.5</v>
      </c>
      <c r="H61" s="193" t="s">
        <v>45</v>
      </c>
      <c r="I61" s="10">
        <v>19500</v>
      </c>
      <c r="J61" s="10">
        <f>G61*I61</f>
        <v>9750</v>
      </c>
      <c r="K61" s="15"/>
      <c r="L61" s="24"/>
    </row>
    <row r="62" spans="2:12" s="3" customFormat="1" ht="17.25">
      <c r="B62" s="220"/>
      <c r="C62" s="179"/>
      <c r="D62" s="188"/>
      <c r="E62" s="202"/>
      <c r="F62" s="203"/>
      <c r="G62" s="190"/>
      <c r="H62" s="193"/>
      <c r="I62" s="10"/>
      <c r="J62" s="10"/>
      <c r="K62" s="15"/>
      <c r="L62" s="24"/>
    </row>
    <row r="63" spans="2:12" s="3" customFormat="1" ht="17.25">
      <c r="B63" s="180" t="s">
        <v>102</v>
      </c>
      <c r="C63" s="179"/>
      <c r="D63" s="188"/>
      <c r="E63" s="183"/>
      <c r="F63" s="177"/>
      <c r="G63" s="190"/>
      <c r="H63" s="193"/>
      <c r="I63" s="10"/>
      <c r="J63" s="10"/>
      <c r="K63" s="15"/>
      <c r="L63" s="24"/>
    </row>
    <row r="64" spans="2:12" s="3" customFormat="1" ht="17.25">
      <c r="B64" s="178" t="s">
        <v>98</v>
      </c>
      <c r="C64" s="179"/>
      <c r="D64" s="188"/>
      <c r="E64" s="247" t="s">
        <v>73</v>
      </c>
      <c r="F64" s="248"/>
      <c r="G64" s="190">
        <v>3</v>
      </c>
      <c r="H64" s="193" t="s">
        <v>42</v>
      </c>
      <c r="I64" s="10">
        <v>8579</v>
      </c>
      <c r="J64" s="10">
        <f>G64*I64</f>
        <v>25737</v>
      </c>
      <c r="K64" s="15"/>
      <c r="L64" s="24"/>
    </row>
    <row r="65" spans="2:12" s="3" customFormat="1" ht="17.25">
      <c r="B65" s="178" t="s">
        <v>99</v>
      </c>
      <c r="C65" s="179"/>
      <c r="D65" s="188"/>
      <c r="E65" s="258" t="s">
        <v>85</v>
      </c>
      <c r="F65" s="248"/>
      <c r="G65" s="190">
        <v>500</v>
      </c>
      <c r="H65" s="193" t="s">
        <v>77</v>
      </c>
      <c r="I65" s="10">
        <v>150</v>
      </c>
      <c r="J65" s="10">
        <f>G65*I65</f>
        <v>75000</v>
      </c>
      <c r="K65" s="15"/>
      <c r="L65" s="24"/>
    </row>
    <row r="66" spans="2:12" s="3" customFormat="1" ht="17.25">
      <c r="B66" s="208" t="s">
        <v>100</v>
      </c>
      <c r="C66" s="209"/>
      <c r="D66" s="210"/>
      <c r="E66" s="247" t="s">
        <v>85</v>
      </c>
      <c r="F66" s="248"/>
      <c r="G66" s="190">
        <v>1</v>
      </c>
      <c r="H66" s="193" t="s">
        <v>77</v>
      </c>
      <c r="I66" s="10">
        <v>5000</v>
      </c>
      <c r="J66" s="10">
        <f>G66*I66</f>
        <v>5000</v>
      </c>
      <c r="K66" s="15"/>
      <c r="L66" s="24"/>
    </row>
    <row r="67" spans="2:12" s="3" customFormat="1" ht="17.25">
      <c r="B67" s="158" t="s">
        <v>101</v>
      </c>
      <c r="C67" s="159"/>
      <c r="D67" s="189"/>
      <c r="E67" s="278" t="s">
        <v>66</v>
      </c>
      <c r="F67" s="279"/>
      <c r="G67" s="191">
        <v>1</v>
      </c>
      <c r="H67" s="195" t="s">
        <v>61</v>
      </c>
      <c r="I67" s="182">
        <v>25000</v>
      </c>
      <c r="J67" s="182">
        <f>G67*I67</f>
        <v>25000</v>
      </c>
      <c r="K67" s="15"/>
      <c r="L67" s="24"/>
    </row>
    <row r="68" spans="2:14" ht="18" customHeight="1">
      <c r="B68" s="269" t="s">
        <v>22</v>
      </c>
      <c r="C68" s="270"/>
      <c r="D68" s="270"/>
      <c r="E68" s="270"/>
      <c r="F68" s="270"/>
      <c r="G68" s="270"/>
      <c r="H68" s="270"/>
      <c r="I68" s="270"/>
      <c r="J68" s="187">
        <f>SUM(J45:J67)</f>
        <v>1715582</v>
      </c>
      <c r="K68" s="15"/>
      <c r="M68" s="15"/>
      <c r="N68" s="15"/>
    </row>
    <row r="69" spans="2:14" s="3" customFormat="1" ht="18" customHeight="1">
      <c r="B69" s="29"/>
      <c r="C69" s="29"/>
      <c r="D69" s="29"/>
      <c r="E69" s="29"/>
      <c r="F69" s="29"/>
      <c r="G69" s="30"/>
      <c r="H69" s="29"/>
      <c r="I69" s="29"/>
      <c r="J69" s="31"/>
      <c r="K69" s="15"/>
      <c r="M69" s="15"/>
      <c r="N69" s="15"/>
    </row>
    <row r="70" spans="2:16" ht="18" customHeight="1">
      <c r="B70" s="271" t="s">
        <v>23</v>
      </c>
      <c r="C70" s="272"/>
      <c r="D70" s="272"/>
      <c r="E70" s="272"/>
      <c r="F70" s="272"/>
      <c r="G70" s="272"/>
      <c r="H70" s="272"/>
      <c r="I70" s="272"/>
      <c r="J70" s="105">
        <f>J31+J42+J68</f>
        <v>3486582</v>
      </c>
      <c r="K70" s="15"/>
      <c r="M70" s="15"/>
      <c r="N70" s="15"/>
      <c r="O70" s="8"/>
      <c r="P70" s="8"/>
    </row>
    <row r="71" spans="2:16" ht="18" customHeight="1">
      <c r="B71" s="86"/>
      <c r="C71" s="86"/>
      <c r="D71" s="86"/>
      <c r="E71" s="86"/>
      <c r="F71" s="86"/>
      <c r="G71" s="32"/>
      <c r="H71" s="86"/>
      <c r="I71" s="86"/>
      <c r="J71" s="27"/>
      <c r="K71" s="15"/>
      <c r="M71" s="15"/>
      <c r="N71" s="15"/>
      <c r="O71" s="8"/>
      <c r="P71" s="8"/>
    </row>
    <row r="72" spans="2:16" ht="18" customHeight="1">
      <c r="B72" s="223" t="s">
        <v>105</v>
      </c>
      <c r="C72" s="224"/>
      <c r="D72" s="225"/>
      <c r="E72" s="313"/>
      <c r="F72" s="314"/>
      <c r="G72" s="226">
        <v>0.05</v>
      </c>
      <c r="H72" s="227"/>
      <c r="I72" s="228"/>
      <c r="J72" s="229">
        <f>G72*J70</f>
        <v>174329.1</v>
      </c>
      <c r="K72" s="15"/>
      <c r="M72" s="15"/>
      <c r="N72" s="15"/>
      <c r="O72" s="8"/>
      <c r="P72" s="8"/>
    </row>
    <row r="73" spans="2:14" s="3" customFormat="1" ht="18" customHeight="1">
      <c r="B73" s="86"/>
      <c r="C73" s="86"/>
      <c r="D73" s="86"/>
      <c r="E73" s="86"/>
      <c r="F73" s="86"/>
      <c r="G73" s="32"/>
      <c r="H73" s="86"/>
      <c r="I73" s="86"/>
      <c r="J73" s="27"/>
      <c r="K73" s="15"/>
      <c r="M73" s="15"/>
      <c r="N73" s="15"/>
    </row>
    <row r="74" spans="2:14" s="3" customFormat="1" ht="18" customHeight="1">
      <c r="B74" s="139" t="s">
        <v>54</v>
      </c>
      <c r="C74" s="138"/>
      <c r="D74" s="138"/>
      <c r="E74" s="20"/>
      <c r="F74" s="20"/>
      <c r="G74" s="21"/>
      <c r="H74" s="22"/>
      <c r="I74" s="23"/>
      <c r="J74" s="23"/>
      <c r="K74" s="15"/>
      <c r="M74" s="15"/>
      <c r="N74" s="15"/>
    </row>
    <row r="75" spans="2:14" s="3" customFormat="1" ht="18" customHeight="1">
      <c r="B75" s="283" t="s">
        <v>53</v>
      </c>
      <c r="C75" s="249"/>
      <c r="D75" s="249"/>
      <c r="E75" s="249" t="s">
        <v>14</v>
      </c>
      <c r="F75" s="249"/>
      <c r="G75" s="126" t="s">
        <v>15</v>
      </c>
      <c r="H75" s="127" t="s">
        <v>16</v>
      </c>
      <c r="I75" s="128" t="s">
        <v>17</v>
      </c>
      <c r="J75" s="129" t="s">
        <v>2</v>
      </c>
      <c r="K75" s="15"/>
      <c r="M75" s="15"/>
      <c r="N75" s="15"/>
    </row>
    <row r="76" spans="2:15" s="3" customFormat="1" ht="18" customHeight="1">
      <c r="B76" s="242" t="s">
        <v>117</v>
      </c>
      <c r="C76" s="243"/>
      <c r="D76" s="244"/>
      <c r="E76" s="247" t="s">
        <v>79</v>
      </c>
      <c r="F76" s="248"/>
      <c r="G76" s="145">
        <f>E17</f>
        <v>0.015</v>
      </c>
      <c r="H76" s="7" t="s">
        <v>0</v>
      </c>
      <c r="I76" s="146"/>
      <c r="J76" s="10">
        <f>J70*E17*E18*0.5</f>
        <v>130746.82499999998</v>
      </c>
      <c r="K76" s="15"/>
      <c r="L76" s="243"/>
      <c r="M76" s="243"/>
      <c r="N76" s="243"/>
      <c r="O76" s="243"/>
    </row>
    <row r="77" spans="2:14" s="3" customFormat="1" ht="18" customHeight="1">
      <c r="B77" s="242" t="s">
        <v>25</v>
      </c>
      <c r="C77" s="243"/>
      <c r="D77" s="244"/>
      <c r="E77" s="284"/>
      <c r="F77" s="285"/>
      <c r="G77" s="106"/>
      <c r="H77" s="106"/>
      <c r="I77" s="106"/>
      <c r="J77" s="108"/>
      <c r="K77" s="15"/>
      <c r="M77" s="15"/>
      <c r="N77" s="15"/>
    </row>
    <row r="78" spans="2:14" s="3" customFormat="1" ht="18" customHeight="1">
      <c r="B78" s="242" t="s">
        <v>1</v>
      </c>
      <c r="C78" s="243"/>
      <c r="D78" s="244"/>
      <c r="E78" s="284"/>
      <c r="F78" s="285"/>
      <c r="G78" s="106"/>
      <c r="H78" s="106"/>
      <c r="I78" s="106"/>
      <c r="J78" s="108"/>
      <c r="K78" s="15"/>
      <c r="M78" s="15"/>
      <c r="N78" s="15"/>
    </row>
    <row r="79" spans="2:14" s="3" customFormat="1" ht="18" customHeight="1">
      <c r="B79" s="275" t="s">
        <v>26</v>
      </c>
      <c r="C79" s="276"/>
      <c r="D79" s="277"/>
      <c r="E79" s="322"/>
      <c r="F79" s="323"/>
      <c r="G79" s="107"/>
      <c r="H79" s="107"/>
      <c r="I79" s="107"/>
      <c r="J79" s="109"/>
      <c r="K79" s="15"/>
      <c r="M79" s="15"/>
      <c r="N79" s="15"/>
    </row>
    <row r="80" spans="2:14" ht="18" customHeight="1">
      <c r="B80" s="280" t="s">
        <v>50</v>
      </c>
      <c r="C80" s="281"/>
      <c r="D80" s="281"/>
      <c r="E80" s="281"/>
      <c r="F80" s="281"/>
      <c r="G80" s="281"/>
      <c r="H80" s="281"/>
      <c r="I80" s="281"/>
      <c r="J80" s="144">
        <f>SUM(J76:J79)</f>
        <v>130746.82499999998</v>
      </c>
      <c r="K80" s="15"/>
      <c r="M80" s="15"/>
      <c r="N80" s="15"/>
    </row>
    <row r="81" spans="2:12" s="3" customFormat="1" ht="18" customHeight="1">
      <c r="B81" s="85"/>
      <c r="C81" s="85"/>
      <c r="D81" s="85"/>
      <c r="E81" s="85"/>
      <c r="F81" s="85"/>
      <c r="G81" s="25"/>
      <c r="H81" s="85"/>
      <c r="I81" s="85"/>
      <c r="J81" s="27"/>
      <c r="K81" s="15"/>
      <c r="L81" s="15"/>
    </row>
    <row r="82" spans="2:12" ht="18" customHeight="1">
      <c r="B82" s="320" t="s">
        <v>27</v>
      </c>
      <c r="C82" s="321"/>
      <c r="D82" s="321"/>
      <c r="E82" s="321"/>
      <c r="F82" s="321"/>
      <c r="G82" s="321"/>
      <c r="H82" s="321"/>
      <c r="I82" s="321"/>
      <c r="J82" s="324">
        <f>J70+J80+J72</f>
        <v>3791657.9250000003</v>
      </c>
      <c r="K82" s="15"/>
      <c r="L82" s="15"/>
    </row>
    <row r="83" spans="2:12" s="3" customFormat="1" ht="18" customHeight="1">
      <c r="B83" s="280"/>
      <c r="C83" s="281"/>
      <c r="D83" s="281"/>
      <c r="E83" s="281"/>
      <c r="F83" s="281"/>
      <c r="G83" s="281"/>
      <c r="H83" s="281"/>
      <c r="I83" s="281"/>
      <c r="J83" s="325"/>
      <c r="K83" s="15"/>
      <c r="L83" s="15"/>
    </row>
    <row r="84" spans="2:12" s="3" customFormat="1" ht="18" customHeight="1">
      <c r="B84" s="85"/>
      <c r="C84" s="85"/>
      <c r="D84" s="85"/>
      <c r="E84" s="85"/>
      <c r="F84" s="85"/>
      <c r="G84" s="25"/>
      <c r="H84" s="85"/>
      <c r="I84" s="85"/>
      <c r="J84" s="27"/>
      <c r="K84" s="15"/>
      <c r="L84" s="15"/>
    </row>
    <row r="85" spans="2:12" s="3" customFormat="1" ht="18" customHeight="1">
      <c r="B85" s="85"/>
      <c r="C85" s="85"/>
      <c r="D85" s="85"/>
      <c r="E85" s="85"/>
      <c r="F85" s="85"/>
      <c r="G85" s="25"/>
      <c r="H85" s="85"/>
      <c r="I85" s="85"/>
      <c r="J85" s="27"/>
      <c r="K85" s="15"/>
      <c r="L85" s="15"/>
    </row>
    <row r="86" spans="2:12" ht="18" customHeight="1">
      <c r="B86" s="289" t="s">
        <v>121</v>
      </c>
      <c r="C86" s="290"/>
      <c r="D86" s="290"/>
      <c r="E86" s="290"/>
      <c r="F86" s="290"/>
      <c r="G86" s="290"/>
      <c r="H86" s="290"/>
      <c r="I86" s="290"/>
      <c r="J86" s="291"/>
      <c r="K86" s="15"/>
      <c r="L86" s="24"/>
    </row>
    <row r="87" spans="2:12" ht="18" customHeight="1">
      <c r="B87" s="292" t="s">
        <v>36</v>
      </c>
      <c r="C87" s="293"/>
      <c r="D87" s="293"/>
      <c r="E87" s="293"/>
      <c r="F87" s="293"/>
      <c r="G87" s="293"/>
      <c r="H87" s="293"/>
      <c r="I87" s="293"/>
      <c r="J87" s="294"/>
      <c r="K87" s="15"/>
      <c r="L87" s="24"/>
    </row>
    <row r="88" spans="2:12" s="3" customFormat="1" ht="18" customHeight="1">
      <c r="B88" s="326" t="s">
        <v>70</v>
      </c>
      <c r="C88" s="326"/>
      <c r="D88" s="326"/>
      <c r="E88" s="327" t="s">
        <v>71</v>
      </c>
      <c r="F88" s="328"/>
      <c r="G88" s="328"/>
      <c r="H88" s="328"/>
      <c r="I88" s="328"/>
      <c r="J88" s="329"/>
      <c r="K88" s="15"/>
      <c r="L88" s="24"/>
    </row>
    <row r="89" spans="2:12" s="3" customFormat="1" ht="18" customHeight="1">
      <c r="B89" s="326"/>
      <c r="C89" s="326"/>
      <c r="D89" s="326"/>
      <c r="E89" s="282">
        <f>G89*0.9</f>
        <v>171</v>
      </c>
      <c r="F89" s="282"/>
      <c r="G89" s="330">
        <v>190</v>
      </c>
      <c r="H89" s="330"/>
      <c r="I89" s="282">
        <f>G89*1.1</f>
        <v>209.00000000000003</v>
      </c>
      <c r="J89" s="282"/>
      <c r="K89" s="15"/>
      <c r="L89" s="24"/>
    </row>
    <row r="90" spans="2:12" s="3" customFormat="1" ht="18" customHeight="1">
      <c r="B90" s="282">
        <f>B91*0.9</f>
        <v>22500</v>
      </c>
      <c r="C90" s="282"/>
      <c r="D90" s="282"/>
      <c r="E90" s="299">
        <f>E$89*$B$90-Hoja1!$C$42</f>
        <v>170029.57499999972</v>
      </c>
      <c r="F90" s="299"/>
      <c r="G90" s="299">
        <f>G$89*$B$90-Hoja1!$C$42</f>
        <v>597529.5749999997</v>
      </c>
      <c r="H90" s="299"/>
      <c r="I90" s="299">
        <f>I$89*$B$90-Hoja1!$C$42</f>
        <v>1025029.5750000007</v>
      </c>
      <c r="J90" s="299"/>
      <c r="K90" s="15"/>
      <c r="L90" s="24"/>
    </row>
    <row r="91" spans="2:12" s="3" customFormat="1" ht="18" customHeight="1">
      <c r="B91" s="282">
        <f>E14</f>
        <v>25000</v>
      </c>
      <c r="C91" s="282"/>
      <c r="D91" s="282"/>
      <c r="E91" s="299">
        <f>E$89*$B$91-$J$82</f>
        <v>483342.0749999997</v>
      </c>
      <c r="F91" s="299"/>
      <c r="G91" s="299">
        <f>G$89*$B$91-$J$82</f>
        <v>958342.0749999997</v>
      </c>
      <c r="H91" s="299"/>
      <c r="I91" s="299">
        <f>I$89*$B$91-$J$82</f>
        <v>1433342.0750000007</v>
      </c>
      <c r="J91" s="299"/>
      <c r="K91" s="15"/>
      <c r="L91" s="24"/>
    </row>
    <row r="92" spans="2:12" s="3" customFormat="1" ht="18" customHeight="1">
      <c r="B92" s="282">
        <f>B91*1.1</f>
        <v>27500.000000000004</v>
      </c>
      <c r="C92" s="282"/>
      <c r="D92" s="282"/>
      <c r="E92" s="299">
        <f>E$89*$B$92-Hoja1!$D$42</f>
        <v>796654.5750000007</v>
      </c>
      <c r="F92" s="299"/>
      <c r="G92" s="299">
        <f>G$89*$B$92-Hoja1!$D$42</f>
        <v>1319154.5750000007</v>
      </c>
      <c r="H92" s="299"/>
      <c r="I92" s="299">
        <f>I$89*$B$92-Hoja1!$D$42</f>
        <v>1841654.5750000016</v>
      </c>
      <c r="J92" s="299"/>
      <c r="K92" s="15"/>
      <c r="L92" s="24"/>
    </row>
    <row r="93" spans="2:12" s="3" customFormat="1" ht="18" customHeight="1">
      <c r="B93" s="34"/>
      <c r="C93" s="34"/>
      <c r="D93" s="35"/>
      <c r="E93" s="35"/>
      <c r="F93" s="35"/>
      <c r="G93" s="36"/>
      <c r="H93" s="11"/>
      <c r="I93" s="14"/>
      <c r="J93" s="14"/>
      <c r="K93" s="15"/>
      <c r="L93" s="24"/>
    </row>
    <row r="94" spans="2:12" s="3" customFormat="1" ht="18" customHeight="1">
      <c r="B94" s="342" t="s">
        <v>122</v>
      </c>
      <c r="C94" s="343"/>
      <c r="D94" s="343"/>
      <c r="E94" s="343"/>
      <c r="F94" s="343"/>
      <c r="G94" s="343"/>
      <c r="H94" s="343"/>
      <c r="I94" s="343"/>
      <c r="J94" s="344"/>
      <c r="K94" s="15"/>
      <c r="L94" s="24"/>
    </row>
    <row r="95" spans="2:12" s="3" customFormat="1" ht="18" customHeight="1">
      <c r="B95" s="345"/>
      <c r="C95" s="346"/>
      <c r="D95" s="346"/>
      <c r="E95" s="346"/>
      <c r="F95" s="346"/>
      <c r="G95" s="346"/>
      <c r="H95" s="346"/>
      <c r="I95" s="346"/>
      <c r="J95" s="347"/>
      <c r="K95" s="15"/>
      <c r="L95" s="24"/>
    </row>
    <row r="96" spans="2:12" s="3" customFormat="1" ht="18" customHeight="1">
      <c r="B96" s="315" t="s">
        <v>70</v>
      </c>
      <c r="C96" s="295"/>
      <c r="D96" s="295"/>
      <c r="E96" s="295">
        <f>B90</f>
        <v>22500</v>
      </c>
      <c r="F96" s="295"/>
      <c r="G96" s="295">
        <f>E14</f>
        <v>25000</v>
      </c>
      <c r="H96" s="295"/>
      <c r="I96" s="295">
        <f>B92</f>
        <v>27500.000000000004</v>
      </c>
      <c r="J96" s="296"/>
      <c r="K96" s="15"/>
      <c r="L96" s="24"/>
    </row>
    <row r="97" spans="2:12" ht="18" customHeight="1">
      <c r="B97" s="316"/>
      <c r="C97" s="297"/>
      <c r="D97" s="297"/>
      <c r="E97" s="297"/>
      <c r="F97" s="297"/>
      <c r="G97" s="297"/>
      <c r="H97" s="297"/>
      <c r="I97" s="297"/>
      <c r="J97" s="298"/>
      <c r="K97" s="15"/>
      <c r="L97" s="24"/>
    </row>
    <row r="98" spans="2:12" ht="18" customHeight="1">
      <c r="B98" s="300" t="s">
        <v>72</v>
      </c>
      <c r="C98" s="301"/>
      <c r="D98" s="301"/>
      <c r="E98" s="338">
        <f>Hoja1!C42/Papa!E96</f>
        <v>163.44313000000002</v>
      </c>
      <c r="F98" s="338"/>
      <c r="G98" s="338">
        <f>$J$82/G96</f>
        <v>151.66631700000002</v>
      </c>
      <c r="H98" s="338"/>
      <c r="I98" s="338">
        <f>Hoja1!D42/Papa!I96</f>
        <v>142.03074272727272</v>
      </c>
      <c r="J98" s="339"/>
      <c r="K98" s="15"/>
      <c r="L98" s="24"/>
    </row>
    <row r="99" spans="2:12" ht="18" customHeight="1">
      <c r="B99" s="302"/>
      <c r="C99" s="303"/>
      <c r="D99" s="303"/>
      <c r="E99" s="340"/>
      <c r="F99" s="340"/>
      <c r="G99" s="340"/>
      <c r="H99" s="340"/>
      <c r="I99" s="340"/>
      <c r="J99" s="341"/>
      <c r="K99" s="15"/>
      <c r="L99" s="24"/>
    </row>
    <row r="100" spans="2:12" ht="18" customHeight="1">
      <c r="B100" s="46"/>
      <c r="C100" s="1"/>
      <c r="D100" s="3"/>
      <c r="E100" s="3"/>
      <c r="F100" s="110"/>
      <c r="G100" s="110"/>
      <c r="H100" s="110"/>
      <c r="I100" s="14"/>
      <c r="J100" s="14"/>
      <c r="K100" s="15"/>
      <c r="L100" s="24"/>
    </row>
    <row r="101" spans="2:12" ht="18" customHeight="1">
      <c r="B101" s="167" t="s">
        <v>62</v>
      </c>
      <c r="C101" s="1"/>
      <c r="D101" s="3"/>
      <c r="E101" s="3"/>
      <c r="F101" s="147"/>
      <c r="G101" s="147"/>
      <c r="H101" s="147"/>
      <c r="I101" s="14"/>
      <c r="J101" s="14"/>
      <c r="K101" s="15"/>
      <c r="L101" s="24"/>
    </row>
    <row r="102" spans="2:11" s="166" customFormat="1" ht="17.25">
      <c r="B102" s="335" t="s">
        <v>123</v>
      </c>
      <c r="C102" s="336"/>
      <c r="D102" s="336"/>
      <c r="E102" s="336"/>
      <c r="F102" s="336"/>
      <c r="G102" s="336"/>
      <c r="H102" s="336"/>
      <c r="I102" s="336"/>
      <c r="J102" s="337"/>
      <c r="K102" s="165"/>
    </row>
    <row r="103" spans="2:11" s="166" customFormat="1" ht="33" customHeight="1">
      <c r="B103" s="332" t="s">
        <v>127</v>
      </c>
      <c r="C103" s="333"/>
      <c r="D103" s="333"/>
      <c r="E103" s="333"/>
      <c r="F103" s="333"/>
      <c r="G103" s="333"/>
      <c r="H103" s="333"/>
      <c r="I103" s="333"/>
      <c r="J103" s="334"/>
      <c r="K103" s="165"/>
    </row>
    <row r="104" spans="2:11" s="3" customFormat="1" ht="33" customHeight="1">
      <c r="B104" s="255" t="s">
        <v>126</v>
      </c>
      <c r="C104" s="256"/>
      <c r="D104" s="256"/>
      <c r="E104" s="256"/>
      <c r="F104" s="256"/>
      <c r="G104" s="256"/>
      <c r="H104" s="256"/>
      <c r="I104" s="256"/>
      <c r="J104" s="257"/>
      <c r="K104" s="81"/>
    </row>
    <row r="105" spans="2:11" s="3" customFormat="1" ht="33" customHeight="1">
      <c r="B105" s="255" t="s">
        <v>111</v>
      </c>
      <c r="C105" s="256"/>
      <c r="D105" s="256"/>
      <c r="E105" s="256"/>
      <c r="F105" s="256"/>
      <c r="G105" s="256"/>
      <c r="H105" s="256"/>
      <c r="I105" s="256"/>
      <c r="J105" s="257"/>
      <c r="K105" s="80"/>
    </row>
    <row r="106" spans="2:11" s="3" customFormat="1" ht="18">
      <c r="B106" s="162" t="s">
        <v>112</v>
      </c>
      <c r="C106" s="160"/>
      <c r="D106" s="160"/>
      <c r="E106" s="160"/>
      <c r="F106" s="160"/>
      <c r="G106" s="160"/>
      <c r="H106" s="160"/>
      <c r="I106" s="160"/>
      <c r="J106" s="161"/>
      <c r="K106" s="81"/>
    </row>
    <row r="107" spans="2:11" s="3" customFormat="1" ht="18">
      <c r="B107" s="162" t="s">
        <v>113</v>
      </c>
      <c r="C107" s="160"/>
      <c r="D107" s="160"/>
      <c r="E107" s="160"/>
      <c r="F107" s="160"/>
      <c r="G107" s="160"/>
      <c r="H107" s="160"/>
      <c r="I107" s="160"/>
      <c r="J107" s="161"/>
      <c r="K107" s="81"/>
    </row>
    <row r="108" spans="2:11" s="3" customFormat="1" ht="18">
      <c r="B108" s="163" t="s">
        <v>114</v>
      </c>
      <c r="C108" s="164"/>
      <c r="D108" s="164"/>
      <c r="E108" s="164"/>
      <c r="F108" s="164"/>
      <c r="G108" s="164"/>
      <c r="H108" s="164"/>
      <c r="I108" s="164"/>
      <c r="J108" s="161"/>
      <c r="K108" s="81"/>
    </row>
    <row r="109" spans="2:11" s="3" customFormat="1" ht="18">
      <c r="B109" s="286" t="s">
        <v>115</v>
      </c>
      <c r="C109" s="287"/>
      <c r="D109" s="287"/>
      <c r="E109" s="287"/>
      <c r="F109" s="287"/>
      <c r="G109" s="287"/>
      <c r="H109" s="287"/>
      <c r="I109" s="287"/>
      <c r="J109" s="288"/>
      <c r="K109" s="81"/>
    </row>
    <row r="110" spans="2:11" s="3" customFormat="1" ht="18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3"/>
    </row>
    <row r="111" spans="2:11" s="3" customFormat="1" ht="16.5" customHeight="1">
      <c r="B111" s="39"/>
      <c r="C111" s="39"/>
      <c r="D111" s="39"/>
      <c r="E111" s="39"/>
      <c r="F111" s="39"/>
      <c r="G111" s="40"/>
      <c r="H111" s="39"/>
      <c r="I111" s="39"/>
      <c r="J111" s="39"/>
      <c r="K111" s="8"/>
    </row>
    <row r="112" spans="2:11" s="3" customFormat="1" ht="14.25">
      <c r="B112" s="4"/>
      <c r="C112" s="4"/>
      <c r="D112" s="4"/>
      <c r="E112" s="4"/>
      <c r="F112" s="4"/>
      <c r="G112" s="5"/>
      <c r="H112" s="4"/>
      <c r="I112" s="4"/>
      <c r="J112" s="4"/>
      <c r="K112" s="8"/>
    </row>
    <row r="113" spans="2:12" s="3" customFormat="1" ht="14.25">
      <c r="B113" s="67"/>
      <c r="C113" s="67"/>
      <c r="D113" s="67"/>
      <c r="E113" s="67"/>
      <c r="F113" s="67"/>
      <c r="G113" s="68"/>
      <c r="H113" s="67"/>
      <c r="I113" s="67"/>
      <c r="J113" s="67"/>
      <c r="K113" s="69"/>
      <c r="L113" s="67"/>
    </row>
    <row r="114" spans="2:12" s="3" customFormat="1" ht="14.25">
      <c r="B114" s="67"/>
      <c r="C114" s="67"/>
      <c r="D114" s="67"/>
      <c r="E114" s="67"/>
      <c r="F114" s="67"/>
      <c r="G114" s="68"/>
      <c r="H114" s="67"/>
      <c r="I114" s="67"/>
      <c r="J114" s="67"/>
      <c r="K114" s="69"/>
      <c r="L114" s="67"/>
    </row>
    <row r="115" spans="2:12" s="3" customFormat="1" ht="14.2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s="3" customFormat="1" ht="14.2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ht="17.25">
      <c r="B117" s="56"/>
      <c r="C117" s="56"/>
      <c r="D117" s="57"/>
      <c r="E117" s="57"/>
      <c r="F117" s="58"/>
      <c r="G117" s="58"/>
      <c r="H117" s="58"/>
      <c r="I117" s="67"/>
      <c r="J117" s="67"/>
      <c r="K117" s="69"/>
      <c r="L117" s="67"/>
    </row>
    <row r="118" spans="2:12" ht="17.25">
      <c r="B118" s="56"/>
      <c r="C118" s="59"/>
      <c r="D118" s="59"/>
      <c r="E118" s="60"/>
      <c r="F118" s="59"/>
      <c r="G118" s="61"/>
      <c r="H118" s="62"/>
      <c r="I118" s="67"/>
      <c r="J118" s="67"/>
      <c r="K118" s="69"/>
      <c r="L118" s="67"/>
    </row>
    <row r="119" spans="2:12" ht="17.25">
      <c r="B119" s="57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7.25">
      <c r="B120" s="56"/>
      <c r="C120" s="57"/>
      <c r="D120" s="57"/>
      <c r="E120" s="57"/>
      <c r="F120" s="57"/>
      <c r="G120" s="57"/>
      <c r="H120" s="57"/>
      <c r="I120" s="67"/>
      <c r="J120" s="67"/>
      <c r="K120" s="69"/>
      <c r="L120" s="67"/>
    </row>
    <row r="121" spans="2:12" ht="17.25">
      <c r="B121" s="70"/>
      <c r="C121" s="71"/>
      <c r="D121" s="71"/>
      <c r="E121" s="63"/>
      <c r="F121" s="63"/>
      <c r="G121" s="63"/>
      <c r="H121" s="63"/>
      <c r="I121" s="67"/>
      <c r="J121" s="69"/>
      <c r="K121" s="69"/>
      <c r="L121" s="67"/>
    </row>
    <row r="122" spans="2:12" ht="17.25">
      <c r="B122" s="70"/>
      <c r="C122" s="71"/>
      <c r="D122" s="71"/>
      <c r="E122" s="63"/>
      <c r="F122" s="63"/>
      <c r="G122" s="63"/>
      <c r="H122" s="63"/>
      <c r="I122" s="67"/>
      <c r="J122" s="69"/>
      <c r="K122" s="69"/>
      <c r="L122" s="67"/>
    </row>
    <row r="123" spans="2:12" ht="17.25">
      <c r="B123" s="64"/>
      <c r="C123" s="65"/>
      <c r="D123" s="65"/>
      <c r="E123" s="64"/>
      <c r="F123" s="64"/>
      <c r="G123" s="64"/>
      <c r="H123" s="66"/>
      <c r="I123" s="67"/>
      <c r="J123" s="67"/>
      <c r="K123" s="69"/>
      <c r="L123" s="67"/>
    </row>
    <row r="124" spans="2:12" ht="17.25">
      <c r="B124" s="57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7.25">
      <c r="B125" s="56"/>
      <c r="C125" s="57"/>
      <c r="D125" s="57"/>
      <c r="E125" s="57"/>
      <c r="F125" s="57"/>
      <c r="G125" s="57"/>
      <c r="H125" s="57"/>
      <c r="I125" s="67"/>
      <c r="J125" s="67"/>
      <c r="K125" s="69"/>
      <c r="L125" s="67"/>
    </row>
    <row r="126" spans="2:12" ht="17.25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7.25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7.25">
      <c r="B128" s="268"/>
      <c r="C128" s="268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7.25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7.25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7.25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7.25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7.25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7.25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7.25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7.25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7.25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7.25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7.25">
      <c r="B139" s="64"/>
      <c r="C139" s="65"/>
      <c r="D139" s="65"/>
      <c r="E139" s="64"/>
      <c r="F139" s="64"/>
      <c r="G139" s="64"/>
      <c r="H139" s="66"/>
      <c r="I139" s="67"/>
      <c r="J139" s="67"/>
      <c r="K139" s="69"/>
      <c r="L139" s="67"/>
    </row>
    <row r="140" spans="2:12" ht="17.25">
      <c r="B140" s="57"/>
      <c r="C140" s="57"/>
      <c r="D140" s="57"/>
      <c r="E140" s="57"/>
      <c r="F140" s="57"/>
      <c r="G140" s="57"/>
      <c r="H140" s="57"/>
      <c r="I140" s="67"/>
      <c r="J140" s="67"/>
      <c r="K140" s="69"/>
      <c r="L140" s="67"/>
    </row>
    <row r="141" spans="2:12" ht="17.25">
      <c r="B141" s="64"/>
      <c r="C141" s="65"/>
      <c r="D141" s="65"/>
      <c r="E141" s="64"/>
      <c r="F141" s="64"/>
      <c r="G141" s="64"/>
      <c r="H141" s="66"/>
      <c r="I141" s="67"/>
      <c r="J141" s="67"/>
      <c r="K141" s="69"/>
      <c r="L141" s="67"/>
    </row>
    <row r="142" spans="2:12" s="3" customFormat="1" ht="14.2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4.2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4.2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4.2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4.2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4.2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4.2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4.2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4.2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4.2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4.25">
      <c r="B152" s="77"/>
      <c r="C152" s="77"/>
      <c r="D152" s="77"/>
      <c r="E152" s="77"/>
      <c r="F152" s="77"/>
      <c r="G152" s="68"/>
      <c r="H152" s="67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4.25">
      <c r="B155" s="67"/>
      <c r="C155" s="69"/>
      <c r="D155" s="69"/>
      <c r="E155" s="69"/>
      <c r="F155" s="69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9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9"/>
      <c r="D162" s="69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8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9"/>
      <c r="C175" s="69"/>
      <c r="D175" s="69"/>
      <c r="E175" s="69"/>
      <c r="F175" s="69"/>
      <c r="G175" s="69"/>
      <c r="H175" s="69"/>
      <c r="I175" s="69"/>
      <c r="J175" s="67"/>
      <c r="K175" s="69"/>
      <c r="L175" s="67"/>
    </row>
    <row r="176" spans="2:12" s="3" customFormat="1" ht="14.25">
      <c r="B176" s="69"/>
      <c r="C176" s="69"/>
      <c r="D176" s="69"/>
      <c r="E176" s="69"/>
      <c r="F176" s="69"/>
      <c r="G176" s="78"/>
      <c r="H176" s="69"/>
      <c r="I176" s="69"/>
      <c r="J176" s="67"/>
      <c r="K176" s="69"/>
      <c r="L176" s="78"/>
    </row>
    <row r="177" spans="2:12" s="3" customFormat="1" ht="14.25">
      <c r="B177" s="69"/>
      <c r="C177" s="69"/>
      <c r="D177" s="69"/>
      <c r="E177" s="69"/>
      <c r="F177" s="69"/>
      <c r="G177" s="69"/>
      <c r="H177" s="69"/>
      <c r="I177" s="79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9"/>
      <c r="I193" s="69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4.2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</sheetData>
  <sheetProtection/>
  <mergeCells count="109">
    <mergeCell ref="B103:J103"/>
    <mergeCell ref="B104:J104"/>
    <mergeCell ref="E29:F29"/>
    <mergeCell ref="B102:J102"/>
    <mergeCell ref="E41:F41"/>
    <mergeCell ref="I98:J99"/>
    <mergeCell ref="E98:F99"/>
    <mergeCell ref="G98:H99"/>
    <mergeCell ref="B94:J95"/>
    <mergeCell ref="I89:J89"/>
    <mergeCell ref="I90:J90"/>
    <mergeCell ref="G89:H89"/>
    <mergeCell ref="E28:F28"/>
    <mergeCell ref="E66:F66"/>
    <mergeCell ref="E58:F58"/>
    <mergeCell ref="E51:F51"/>
    <mergeCell ref="E64:F64"/>
    <mergeCell ref="E45:F45"/>
    <mergeCell ref="E37:F37"/>
    <mergeCell ref="E38:F38"/>
    <mergeCell ref="B31:I31"/>
    <mergeCell ref="E39:F39"/>
    <mergeCell ref="G91:H91"/>
    <mergeCell ref="G92:H92"/>
    <mergeCell ref="B88:D89"/>
    <mergeCell ref="E89:F89"/>
    <mergeCell ref="E88:J88"/>
    <mergeCell ref="E47:F47"/>
    <mergeCell ref="E54:F54"/>
    <mergeCell ref="E90:F90"/>
    <mergeCell ref="I91:J91"/>
    <mergeCell ref="E72:F72"/>
    <mergeCell ref="B96:D97"/>
    <mergeCell ref="E96:F97"/>
    <mergeCell ref="B57:D57"/>
    <mergeCell ref="G96:H97"/>
    <mergeCell ref="B82:I83"/>
    <mergeCell ref="I92:J92"/>
    <mergeCell ref="E79:F79"/>
    <mergeCell ref="J82:J83"/>
    <mergeCell ref="B56:D56"/>
    <mergeCell ref="B45:D45"/>
    <mergeCell ref="E50:F50"/>
    <mergeCell ref="E55:F55"/>
    <mergeCell ref="E56:F56"/>
    <mergeCell ref="B47:D47"/>
    <mergeCell ref="B109:J109"/>
    <mergeCell ref="B86:J86"/>
    <mergeCell ref="B87:J87"/>
    <mergeCell ref="I96:J97"/>
    <mergeCell ref="E91:F91"/>
    <mergeCell ref="E92:F92"/>
    <mergeCell ref="B91:D91"/>
    <mergeCell ref="G90:H90"/>
    <mergeCell ref="B92:D92"/>
    <mergeCell ref="B98:D99"/>
    <mergeCell ref="E77:F77"/>
    <mergeCell ref="E78:F78"/>
    <mergeCell ref="L76:O76"/>
    <mergeCell ref="B78:D78"/>
    <mergeCell ref="B77:D77"/>
    <mergeCell ref="E76:F76"/>
    <mergeCell ref="E57:F57"/>
    <mergeCell ref="E61:F61"/>
    <mergeCell ref="B75:D75"/>
    <mergeCell ref="E27:F27"/>
    <mergeCell ref="E24:F24"/>
    <mergeCell ref="E75:F75"/>
    <mergeCell ref="B44:D44"/>
    <mergeCell ref="E44:F44"/>
    <mergeCell ref="E48:F48"/>
    <mergeCell ref="E53:F53"/>
    <mergeCell ref="B128:C128"/>
    <mergeCell ref="B76:D76"/>
    <mergeCell ref="B68:I68"/>
    <mergeCell ref="B70:I70"/>
    <mergeCell ref="B42:I42"/>
    <mergeCell ref="B79:D79"/>
    <mergeCell ref="E65:F65"/>
    <mergeCell ref="E67:F67"/>
    <mergeCell ref="B80:I80"/>
    <mergeCell ref="B90:D90"/>
    <mergeCell ref="B105:J105"/>
    <mergeCell ref="E49:F49"/>
    <mergeCell ref="B37:D37"/>
    <mergeCell ref="B39:D39"/>
    <mergeCell ref="B2:J2"/>
    <mergeCell ref="B13:E13"/>
    <mergeCell ref="G13:J13"/>
    <mergeCell ref="E22:F22"/>
    <mergeCell ref="D6:J6"/>
    <mergeCell ref="B15:D15"/>
    <mergeCell ref="B40:D40"/>
    <mergeCell ref="E40:F40"/>
    <mergeCell ref="E35:F35"/>
    <mergeCell ref="E33:F33"/>
    <mergeCell ref="B34:D34"/>
    <mergeCell ref="E34:F34"/>
    <mergeCell ref="E36:F36"/>
    <mergeCell ref="B33:D33"/>
    <mergeCell ref="B35:D35"/>
    <mergeCell ref="B22:D22"/>
    <mergeCell ref="E21:F21"/>
    <mergeCell ref="B3:J3"/>
    <mergeCell ref="B4:J4"/>
    <mergeCell ref="E26:F26"/>
    <mergeCell ref="E30:F30"/>
    <mergeCell ref="E23:F23"/>
    <mergeCell ref="E25:F2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2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2"/>
  <sheetViews>
    <sheetView zoomScale="70" zoomScaleNormal="70" zoomScalePageLayoutView="0" workbookViewId="0" topLeftCell="A1">
      <selection activeCell="C2" sqref="C2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34</v>
      </c>
      <c r="C2" s="50">
        <f>((Papa!E14-25000)/25000)+1</f>
        <v>1</v>
      </c>
    </row>
    <row r="3" ht="17.25">
      <c r="B3" s="12"/>
    </row>
    <row r="4" spans="2:3" ht="17.25">
      <c r="B4" s="348" t="s">
        <v>35</v>
      </c>
      <c r="C4" s="348"/>
    </row>
    <row r="5" spans="2:4" ht="17.25">
      <c r="B5" s="168" t="s">
        <v>109</v>
      </c>
      <c r="C5" s="83"/>
      <c r="D5" s="84">
        <v>25000</v>
      </c>
    </row>
    <row r="6" spans="2:4" ht="17.25">
      <c r="B6" s="168" t="s">
        <v>124</v>
      </c>
      <c r="C6" s="83"/>
      <c r="D6" s="84">
        <v>25000</v>
      </c>
    </row>
    <row r="7" spans="2:4" ht="17.25">
      <c r="B7" s="82" t="s">
        <v>99</v>
      </c>
      <c r="C7" s="83"/>
      <c r="D7" s="84">
        <f>26000/50</f>
        <v>520</v>
      </c>
    </row>
    <row r="8" spans="2:4" ht="14.25">
      <c r="B8" s="26"/>
      <c r="C8" s="26"/>
      <c r="D8" s="26"/>
    </row>
    <row r="16" spans="2:4" ht="14.25">
      <c r="B16" s="349" t="s">
        <v>28</v>
      </c>
      <c r="C16" s="349"/>
      <c r="D16" s="349"/>
    </row>
    <row r="18" spans="2:4" ht="17.25">
      <c r="B18" s="49" t="s">
        <v>33</v>
      </c>
      <c r="C18" s="48">
        <f>Papa!B90</f>
        <v>22500</v>
      </c>
      <c r="D18" s="48">
        <f>Papa!B92</f>
        <v>27500.000000000004</v>
      </c>
    </row>
    <row r="19" ht="14.25">
      <c r="B19" s="24"/>
    </row>
    <row r="20" spans="2:4" ht="14.25">
      <c r="B20" s="47" t="s">
        <v>34</v>
      </c>
      <c r="C20" s="50">
        <f>((C18-Papa!E14)/Papa!E14)+1</f>
        <v>0.9</v>
      </c>
      <c r="D20" s="50">
        <f>((D18-Papa!E14)/Papa!E14)+1</f>
        <v>1.1</v>
      </c>
    </row>
    <row r="21" spans="2:4" ht="17.25">
      <c r="B21" s="16"/>
      <c r="C21" s="48"/>
      <c r="D21" s="48"/>
    </row>
    <row r="22" spans="2:4" ht="17.25">
      <c r="B22" s="49" t="s">
        <v>18</v>
      </c>
      <c r="C22" s="48"/>
      <c r="D22" s="48"/>
    </row>
    <row r="23" spans="2:4" ht="17.25">
      <c r="B23" s="16" t="s">
        <v>37</v>
      </c>
      <c r="C23" s="8">
        <f>SUM(Papa!J23:J28)</f>
        <v>324000</v>
      </c>
      <c r="D23" s="8">
        <f>SUM(Papa!J23:J28)</f>
        <v>324000</v>
      </c>
    </row>
    <row r="24" spans="2:4" ht="17.25">
      <c r="B24" s="51" t="s">
        <v>38</v>
      </c>
      <c r="C24" s="52">
        <f>SUM(Papa!J29:J30)*Hoja1!C20</f>
        <v>877500</v>
      </c>
      <c r="D24" s="52">
        <f>SUM(Papa!J29:J30)*Hoja1!D20</f>
        <v>1072500</v>
      </c>
    </row>
    <row r="25" spans="2:4" ht="17.25">
      <c r="B25" s="16" t="s">
        <v>39</v>
      </c>
      <c r="C25" s="8">
        <f>SUM(C23:C24)</f>
        <v>1201500</v>
      </c>
      <c r="D25" s="8">
        <f>SUM(D23:D24)</f>
        <v>1396500</v>
      </c>
    </row>
    <row r="26" ht="17.25">
      <c r="B26" s="16"/>
    </row>
    <row r="27" ht="17.25">
      <c r="B27" s="49" t="s">
        <v>20</v>
      </c>
    </row>
    <row r="28" spans="2:4" ht="17.25">
      <c r="B28" s="16" t="s">
        <v>37</v>
      </c>
      <c r="C28" s="8">
        <f>SUM(Papa!J34:J41)</f>
        <v>472000</v>
      </c>
      <c r="D28" s="8">
        <f>SUM(Papa!J34:J41)</f>
        <v>472000</v>
      </c>
    </row>
    <row r="29" spans="2:4" ht="17.25">
      <c r="B29" s="51" t="s">
        <v>38</v>
      </c>
      <c r="C29" s="52">
        <v>0</v>
      </c>
      <c r="D29" s="52">
        <v>0</v>
      </c>
    </row>
    <row r="30" spans="2:4" ht="17.25">
      <c r="B30" s="16" t="s">
        <v>39</v>
      </c>
      <c r="C30" s="8">
        <f>SUM(C28:C29)</f>
        <v>472000</v>
      </c>
      <c r="D30" s="8">
        <f>SUM(D28:D29)</f>
        <v>472000</v>
      </c>
    </row>
    <row r="32" ht="17.25">
      <c r="B32" s="49" t="s">
        <v>40</v>
      </c>
    </row>
    <row r="33" spans="2:4" ht="17.25">
      <c r="B33" s="16" t="s">
        <v>37</v>
      </c>
      <c r="C33" s="8">
        <f>SUM(Papa!J45:J64,Papa!J66:J67)</f>
        <v>1640582</v>
      </c>
      <c r="D33" s="8">
        <f>SUM(Papa!J45:J64,Papa!J66:J67)</f>
        <v>1640582</v>
      </c>
    </row>
    <row r="34" spans="2:4" ht="17.25">
      <c r="B34" s="51" t="s">
        <v>38</v>
      </c>
      <c r="C34" s="52">
        <f>C20*SUM(Papa!J65)</f>
        <v>67500</v>
      </c>
      <c r="D34" s="52">
        <f>D20*SUM(Papa!J65)</f>
        <v>82500</v>
      </c>
    </row>
    <row r="35" spans="2:4" ht="17.25">
      <c r="B35" s="16" t="s">
        <v>39</v>
      </c>
      <c r="C35" s="8">
        <f>SUM(C33:C34)</f>
        <v>1708082</v>
      </c>
      <c r="D35" s="8">
        <f>SUM(D33:D34)</f>
        <v>1723082</v>
      </c>
    </row>
    <row r="36" spans="2:4" ht="14.25">
      <c r="B36" s="24"/>
      <c r="C36" s="28"/>
      <c r="D36" s="28"/>
    </row>
    <row r="37" spans="2:4" ht="17.25">
      <c r="B37" s="54" t="s">
        <v>41</v>
      </c>
      <c r="C37" s="55">
        <f>C25+C30+C35</f>
        <v>3381582</v>
      </c>
      <c r="D37" s="55">
        <f>D25+D30+D35</f>
        <v>3591582</v>
      </c>
    </row>
    <row r="38" ht="14.25">
      <c r="B38" s="24"/>
    </row>
    <row r="39" spans="2:4" ht="17.25">
      <c r="B39" s="53" t="s">
        <v>24</v>
      </c>
      <c r="C39" s="8">
        <f>C37*Papa!E17*Papa!E18*0.5</f>
        <v>126809.32499999998</v>
      </c>
      <c r="D39" s="8">
        <f>D37*Papa!E17*Papa!E18*0.5</f>
        <v>134684.32499999998</v>
      </c>
    </row>
    <row r="40" spans="2:4" ht="17.25">
      <c r="B40" s="53" t="s">
        <v>89</v>
      </c>
      <c r="C40" s="8">
        <f>C37*Papa!G72</f>
        <v>169079.1</v>
      </c>
      <c r="D40" s="8">
        <f>D37*Papa!G72</f>
        <v>179579.1</v>
      </c>
    </row>
    <row r="41" ht="14.25">
      <c r="B41" s="24"/>
    </row>
    <row r="42" spans="2:4" ht="17.25">
      <c r="B42" s="54" t="s">
        <v>27</v>
      </c>
      <c r="C42" s="55">
        <f>C37+C39+C40</f>
        <v>3677470.4250000003</v>
      </c>
      <c r="D42" s="55">
        <f>D37+D39+D40</f>
        <v>3905845.4250000003</v>
      </c>
    </row>
  </sheetData>
  <sheetProtection/>
  <mergeCells count="2">
    <mergeCell ref="B4:C4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2016-08-30T22:11:01Z</cp:lastPrinted>
  <dcterms:created xsi:type="dcterms:W3CDTF">2012-07-09T18:51:50Z</dcterms:created>
  <dcterms:modified xsi:type="dcterms:W3CDTF">2017-10-10T20:48:11Z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2b0fcaf2-8ab0-4b79-9224-8df97bc517c5</vt:lpwstr>
  </property>
</Properties>
</file>