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Poroto_verde_rm_2020-21" sheetId="1" r:id="rId1"/>
    <sheet name="Hoja1" sheetId="2" state="hidden" r:id="rId2"/>
  </sheets>
  <definedNames>
    <definedName name="_xlnm.Print_Area" localSheetId="0">'Poroto_verde_rm_2020-21'!$A$1:$K$113</definedName>
  </definedNames>
  <calcPr fullCalcOnLoad="1"/>
</workbook>
</file>

<file path=xl/sharedStrings.xml><?xml version="1.0" encoding="utf-8"?>
<sst xmlns="http://schemas.openxmlformats.org/spreadsheetml/2006/main" count="207" uniqueCount="139">
  <si>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</si>
  <si>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</si>
  <si>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</si>
  <si>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</si>
  <si>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</si>
  <si>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</si>
  <si>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</si>
  <si>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</si>
  <si>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</si>
  <si>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</si>
  <si>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</si>
  <si>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</si>
  <si>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</si>
  <si>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</si>
  <si>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</si>
  <si>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</si>
  <si>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</si>
  <si>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</si>
  <si>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</si>
  <si>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</si>
  <si>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</si>
  <si>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</si>
  <si>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</si>
  <si>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</si>
  <si>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</si>
  <si>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</si>
  <si>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</si>
  <si>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</si>
  <si>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</si>
  <si>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</si>
  <si>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</si>
  <si>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</si>
  <si>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</si>
  <si>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</si>
  <si>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</si>
  <si>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</si>
  <si>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Salitre potasico</t>
  </si>
  <si>
    <t>Riego</t>
  </si>
  <si>
    <t>Aplicación fertilizantes</t>
  </si>
  <si>
    <t>Aplicación agroquímicos</t>
  </si>
  <si>
    <t>Aradura</t>
  </si>
  <si>
    <t>Acequiadora</t>
  </si>
  <si>
    <t>Acarreo de cosechas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</si>
  <si>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</si>
  <si>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</si>
  <si>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</si>
  <si>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</si>
  <si>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</si>
  <si>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</si>
  <si>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</si>
  <si>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</si>
  <si>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</si>
  <si>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</si>
  <si>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</si>
  <si>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</si>
  <si>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</si>
  <si>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</si>
  <si>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</si>
  <si>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</si>
  <si>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</si>
  <si>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</si>
  <si>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</si>
  <si>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</si>
  <si>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</si>
  <si>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</si>
  <si>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</si>
  <si>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Destino de producción: consumo fresco</t>
  </si>
  <si>
    <t>Tecnología: media</t>
  </si>
  <si>
    <t>Rendimiento (sacos/hectárea):</t>
  </si>
  <si>
    <t>Siembra</t>
  </si>
  <si>
    <t>septiembre - enero</t>
  </si>
  <si>
    <t>septiembre - noviembre</t>
  </si>
  <si>
    <t>Control manual de malezas</t>
  </si>
  <si>
    <t>saco</t>
  </si>
  <si>
    <t>agosto - septiembre</t>
  </si>
  <si>
    <t>Siembra con máquina</t>
  </si>
  <si>
    <t>Semillas</t>
  </si>
  <si>
    <t>SFT</t>
  </si>
  <si>
    <t>Basagran</t>
  </si>
  <si>
    <t xml:space="preserve">Envases </t>
  </si>
  <si>
    <t>Hilo para coser los sacos cosechados</t>
  </si>
  <si>
    <t>período cultivo</t>
  </si>
  <si>
    <t>julio - agosto</t>
  </si>
  <si>
    <t>Rendimiento (sacos/hectárea)</t>
  </si>
  <si>
    <t>Precio ($/saco)</t>
  </si>
  <si>
    <t>Costo unitario ($/saco)</t>
  </si>
  <si>
    <t>Benomyl 50 PM</t>
  </si>
  <si>
    <t>Lorsban 4E</t>
  </si>
  <si>
    <t>Densidad (plantas/hectárea) : 75 cms entre hileras</t>
  </si>
  <si>
    <t>Costo oportunidad (arriendo)</t>
  </si>
  <si>
    <t xml:space="preserve">Administración </t>
  </si>
  <si>
    <t>Impuestos y contribuciones</t>
  </si>
  <si>
    <t>Región Metropolitana</t>
  </si>
  <si>
    <r>
      <rPr>
        <sz val="11"/>
        <rFont val="Arial"/>
        <family val="2"/>
      </rPr>
      <t>(1) Nombre científico del poroto</t>
    </r>
    <r>
      <rPr>
        <b/>
        <sz val="11"/>
        <rFont val="Arial"/>
        <family val="2"/>
      </rPr>
      <t>.</t>
    </r>
  </si>
  <si>
    <t>Hache uno 2 000 175 EC(desmanche)</t>
  </si>
  <si>
    <t>Fertlizantes foliares</t>
  </si>
  <si>
    <t>octubre-enero</t>
  </si>
  <si>
    <t>Aporca y aplicación de fertilizante</t>
  </si>
  <si>
    <t>Aplicaciones de pesticidas con pulverizador</t>
  </si>
  <si>
    <t>Aplicación pesticida con dron</t>
  </si>
  <si>
    <t>noviembre-enero</t>
  </si>
  <si>
    <t>Fosfimax  40 20</t>
  </si>
  <si>
    <t>Manzate 200</t>
  </si>
  <si>
    <t>(3) La cosecha se mide por saco cosechado.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</si>
  <si>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</si>
  <si>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</si>
  <si>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</si>
  <si>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</si>
  <si>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Precio de venta a productor ($/saco)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</si>
  <si>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</si>
  <si>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</si>
  <si>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</si>
  <si>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</si>
  <si>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</si>
  <si>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</si>
  <si>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($/saco) </t>
    </r>
    <r>
      <rPr>
        <b/>
        <vertAlign val="superscript"/>
        <sz val="14"/>
        <color indexed="9"/>
        <rFont val="Arial"/>
        <family val="2"/>
      </rPr>
      <t>(9)</t>
    </r>
  </si>
  <si>
    <t>Tecnología de riego: surco</t>
  </si>
  <si>
    <t>Cuota agua</t>
  </si>
  <si>
    <t>1 hectárea abril 2021</t>
  </si>
  <si>
    <t>Terrasorb foliar</t>
  </si>
  <si>
    <r>
      <t>Poroto ( Phaseolus vulgaris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verde</t>
    </r>
  </si>
  <si>
    <t>Variedad: Magnum</t>
  </si>
  <si>
    <t>(2) El precio del saco de poroto verde de 25 kilos, y corresponde al promedio de las entrevistas de la región, a nivel predial (precio pagado a productor) durante el periodo de cosecha en la temporada 2020-2021.</t>
  </si>
  <si>
    <t>Fecha de siembra: septiembre - noviembre</t>
  </si>
  <si>
    <t>Fecha de cosecha: diciembre - marzo</t>
  </si>
  <si>
    <t>septiembre - marzo</t>
  </si>
  <si>
    <t>septiembre - febrero</t>
  </si>
  <si>
    <t>diciembre - marzo</t>
  </si>
  <si>
    <t>agosto - noviembre</t>
  </si>
  <si>
    <t>octubre - enero</t>
  </si>
  <si>
    <t xml:space="preserve">octubre - enero </t>
  </si>
  <si>
    <t>septiembre- noviembre</t>
  </si>
  <si>
    <t>Noviembre- enero</t>
  </si>
  <si>
    <t xml:space="preserve"> octubre - febrero</t>
  </si>
  <si>
    <t>(4) Representa el valor de arriendo del servicio  en la región.</t>
  </si>
  <si>
    <t>(7) 1,5% mensual simple sobre el 50% de los costos directos, tasa de interés promedio de las empresas distribuidoras de insumos.</t>
  </si>
  <si>
    <t xml:space="preserve">Herbadox  45 CS  </t>
  </si>
  <si>
    <t xml:space="preserve">Zero 5 EC </t>
  </si>
  <si>
    <t>Engeo 247 SC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</si>
</sst>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4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3" fillId="37" borderId="0" xfId="0" applyFont="1" applyFill="1" applyAlignment="1">
      <alignment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horizontal="left" indent="1"/>
      <protection/>
    </xf>
    <xf numFmtId="0" fontId="10" fillId="0" borderId="11" xfId="56" applyFont="1" applyFill="1" applyBorder="1" applyAlignment="1" applyProtection="1">
      <alignment horizontal="left" indent="1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57" fillId="34" borderId="0" xfId="0" applyFont="1" applyFill="1" applyAlignment="1">
      <alignment/>
    </xf>
    <xf numFmtId="0" fontId="3" fillId="34" borderId="0" xfId="56" applyFont="1" applyFill="1" applyAlignment="1">
      <alignment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8" fillId="34" borderId="19" xfId="55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14" xfId="56" applyFont="1" applyFill="1" applyBorder="1" applyAlignment="1" applyProtection="1">
      <alignment/>
      <protection/>
    </xf>
    <xf numFmtId="0" fontId="10" fillId="0" borderId="18" xfId="56" applyFont="1" applyFill="1" applyBorder="1" applyAlignment="1" applyProtection="1">
      <alignment/>
      <protection/>
    </xf>
    <xf numFmtId="0" fontId="10" fillId="0" borderId="17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8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0" borderId="16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22" xfId="56" applyFont="1" applyFill="1" applyBorder="1" applyAlignment="1">
      <alignment horizontal="left" indent="3"/>
      <protection/>
    </xf>
    <xf numFmtId="0" fontId="10" fillId="34" borderId="23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6" xfId="56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/>
      <protection/>
    </xf>
    <xf numFmtId="0" fontId="10" fillId="34" borderId="0" xfId="56" applyFont="1" applyFill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3" fontId="8" fillId="39" borderId="12" xfId="0" applyNumberFormat="1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40" borderId="17" xfId="55" applyFont="1" applyFill="1" applyBorder="1" applyAlignment="1">
      <alignment horizontal="center"/>
      <protection/>
    </xf>
    <xf numFmtId="0" fontId="63" fillId="40" borderId="14" xfId="55" applyFont="1" applyFill="1" applyBorder="1" applyAlignment="1">
      <alignment horizontal="center"/>
      <protection/>
    </xf>
    <xf numFmtId="0" fontId="63" fillId="40" borderId="18" xfId="55" applyFont="1" applyFill="1" applyBorder="1" applyAlignment="1">
      <alignment horizontal="center"/>
      <protection/>
    </xf>
    <xf numFmtId="0" fontId="63" fillId="40" borderId="25" xfId="55" applyFont="1" applyFill="1" applyBorder="1" applyAlignment="1">
      <alignment horizontal="center"/>
      <protection/>
    </xf>
    <xf numFmtId="0" fontId="63" fillId="40" borderId="24" xfId="55" applyFont="1" applyFill="1" applyBorder="1" applyAlignment="1">
      <alignment horizontal="center"/>
      <protection/>
    </xf>
    <xf numFmtId="0" fontId="63" fillId="40" borderId="20" xfId="55" applyFont="1" applyFill="1" applyBorder="1" applyAlignment="1">
      <alignment horizontal="center"/>
      <protection/>
    </xf>
    <xf numFmtId="17" fontId="63" fillId="40" borderId="17" xfId="67" applyNumberFormat="1" applyFont="1" applyFill="1" applyBorder="1" applyAlignment="1" applyProtection="1">
      <alignment horizontal="center"/>
      <protection/>
    </xf>
    <xf numFmtId="17" fontId="63" fillId="40" borderId="14" xfId="67" applyNumberFormat="1" applyFont="1" applyFill="1" applyBorder="1" applyAlignment="1" applyProtection="1">
      <alignment horizontal="center"/>
      <protection/>
    </xf>
    <xf numFmtId="17" fontId="63" fillId="40" borderId="18" xfId="67" applyNumberFormat="1" applyFont="1" applyFill="1" applyBorder="1" applyAlignment="1" applyProtection="1">
      <alignment horizontal="center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12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8" fillId="39" borderId="12" xfId="0" applyFont="1" applyFill="1" applyBorder="1" applyAlignment="1">
      <alignment horizontal="center" vertical="center" wrapText="1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628650</xdr:colOff>
      <xdr:row>112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7365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5"/>
  <sheetViews>
    <sheetView showGridLines="0" tabSelected="1" view="pageBreakPreview" zoomScale="57" zoomScaleNormal="70" zoomScaleSheetLayoutView="57" zoomScalePageLayoutView="80" workbookViewId="0" topLeftCell="A1">
      <selection activeCell="M5" sqref="M5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7109375" style="0" customWidth="1"/>
    <col min="5" max="5" width="12.71093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8"/>
      <c r="C2" s="138"/>
      <c r="D2" s="284" t="s">
        <v>43</v>
      </c>
      <c r="E2" s="284"/>
      <c r="F2" s="284"/>
      <c r="G2" s="284"/>
      <c r="H2" s="284"/>
      <c r="I2" s="284"/>
      <c r="J2" s="284"/>
    </row>
    <row r="3" spans="2:11" s="3" customFormat="1" ht="18" customHeight="1">
      <c r="B3" s="94"/>
      <c r="C3" s="117"/>
      <c r="D3" s="285" t="s">
        <v>120</v>
      </c>
      <c r="E3" s="285"/>
      <c r="F3" s="285"/>
      <c r="G3" s="285"/>
      <c r="H3" s="285"/>
      <c r="I3" s="285"/>
      <c r="J3" s="285"/>
      <c r="K3" s="14"/>
    </row>
    <row r="4" spans="2:11" s="3" customFormat="1" ht="18" customHeight="1">
      <c r="B4" s="94"/>
      <c r="C4" s="117"/>
      <c r="D4" s="285" t="s">
        <v>92</v>
      </c>
      <c r="E4" s="285"/>
      <c r="F4" s="285"/>
      <c r="G4" s="285"/>
      <c r="H4" s="285"/>
      <c r="I4" s="285"/>
      <c r="J4" s="285"/>
      <c r="K4" s="14"/>
    </row>
    <row r="5" spans="2:11" s="3" customFormat="1" ht="18" customHeight="1">
      <c r="B5" s="42"/>
      <c r="C5" s="42"/>
      <c r="D5" s="118"/>
      <c r="E5" s="44"/>
      <c r="F5" s="133"/>
      <c r="G5" s="133"/>
      <c r="H5" s="133"/>
      <c r="I5" s="133"/>
      <c r="J5" s="133"/>
      <c r="K5" s="16"/>
    </row>
    <row r="6" spans="2:11" s="3" customFormat="1" ht="18" customHeight="1">
      <c r="B6" s="42"/>
      <c r="C6" s="42"/>
      <c r="D6" s="292" t="s">
        <v>30</v>
      </c>
      <c r="E6" s="293"/>
      <c r="F6" s="293"/>
      <c r="G6" s="293"/>
      <c r="H6" s="293"/>
      <c r="I6" s="293"/>
      <c r="J6" s="294"/>
      <c r="K6" s="16"/>
    </row>
    <row r="7" spans="2:11" s="3" customFormat="1" ht="18" customHeight="1">
      <c r="B7" s="42"/>
      <c r="C7" s="42"/>
      <c r="D7" s="85" t="s">
        <v>118</v>
      </c>
      <c r="E7" s="86"/>
      <c r="F7" s="86"/>
      <c r="G7" s="87" t="s">
        <v>121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116</v>
      </c>
      <c r="E8" s="92"/>
      <c r="F8" s="92"/>
      <c r="G8" s="93" t="s">
        <v>66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88</v>
      </c>
      <c r="E9" s="166"/>
      <c r="F9" s="92"/>
      <c r="G9" s="93" t="s">
        <v>67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123</v>
      </c>
      <c r="E10" s="98"/>
      <c r="F10" s="98"/>
      <c r="G10" s="99" t="s">
        <v>124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286" t="s">
        <v>31</v>
      </c>
      <c r="C12" s="287"/>
      <c r="D12" s="287"/>
      <c r="E12" s="288"/>
      <c r="F12" s="41"/>
      <c r="G12" s="289" t="s">
        <v>4</v>
      </c>
      <c r="H12" s="290"/>
      <c r="I12" s="290"/>
      <c r="J12" s="291"/>
      <c r="K12" s="16"/>
    </row>
    <row r="13" spans="2:11" ht="18">
      <c r="B13" s="107" t="s">
        <v>68</v>
      </c>
      <c r="C13" s="108"/>
      <c r="D13" s="86"/>
      <c r="E13" s="109">
        <v>490</v>
      </c>
      <c r="F13" s="42"/>
      <c r="G13" s="113" t="s">
        <v>60</v>
      </c>
      <c r="H13" s="86"/>
      <c r="I13" s="86"/>
      <c r="J13" s="139">
        <f>E13*E14</f>
        <v>7350000</v>
      </c>
      <c r="K13" s="16"/>
    </row>
    <row r="14" spans="2:13" ht="18" customHeight="1">
      <c r="B14" s="197" t="s">
        <v>108</v>
      </c>
      <c r="C14" s="198"/>
      <c r="D14" s="198"/>
      <c r="E14" s="142">
        <v>15000</v>
      </c>
      <c r="F14" s="42"/>
      <c r="G14" s="114" t="s">
        <v>57</v>
      </c>
      <c r="H14" s="42"/>
      <c r="I14" s="42"/>
      <c r="J14" s="140">
        <f>J28+J40+J66+J69</f>
        <v>4933881.75</v>
      </c>
      <c r="K14" s="16"/>
      <c r="M14" s="136"/>
    </row>
    <row r="15" spans="2:11" ht="18">
      <c r="B15" s="186" t="s">
        <v>44</v>
      </c>
      <c r="C15" s="43"/>
      <c r="D15" s="42"/>
      <c r="E15" s="142">
        <v>20000</v>
      </c>
      <c r="F15" s="42"/>
      <c r="G15" s="114" t="s">
        <v>59</v>
      </c>
      <c r="H15" s="44"/>
      <c r="I15" s="42"/>
      <c r="J15" s="140">
        <f>J28+J40+J66+J69+J79</f>
        <v>5118902.315625</v>
      </c>
      <c r="K15" s="16"/>
    </row>
    <row r="16" spans="2:11" ht="18">
      <c r="B16" s="186" t="s">
        <v>2</v>
      </c>
      <c r="C16" s="45"/>
      <c r="D16" s="42"/>
      <c r="E16" s="110">
        <v>0.015</v>
      </c>
      <c r="F16" s="42"/>
      <c r="G16" s="114" t="s">
        <v>61</v>
      </c>
      <c r="H16" s="42"/>
      <c r="I16" s="42"/>
      <c r="J16" s="140">
        <f>J13-J14</f>
        <v>2416118.25</v>
      </c>
      <c r="K16" s="16"/>
    </row>
    <row r="17" spans="2:11" ht="18">
      <c r="B17" s="186" t="s">
        <v>3</v>
      </c>
      <c r="C17" s="45"/>
      <c r="D17" s="42"/>
      <c r="E17" s="190">
        <v>5</v>
      </c>
      <c r="F17" s="42"/>
      <c r="G17" s="114" t="s">
        <v>62</v>
      </c>
      <c r="H17" s="42"/>
      <c r="I17" s="42"/>
      <c r="J17" s="140">
        <f>J13-J15</f>
        <v>2231097.684375</v>
      </c>
      <c r="K17" s="16"/>
    </row>
    <row r="18" spans="2:11" ht="18">
      <c r="B18" s="111"/>
      <c r="C18" s="112"/>
      <c r="D18" s="103"/>
      <c r="E18" s="189"/>
      <c r="F18" s="42"/>
      <c r="G18" s="115" t="s">
        <v>27</v>
      </c>
      <c r="H18" s="103"/>
      <c r="I18" s="116"/>
      <c r="J18" s="141">
        <f>G98</f>
        <v>10446.739419642856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28</v>
      </c>
      <c r="C20" s="119"/>
      <c r="D20" s="119"/>
      <c r="E20" s="334"/>
      <c r="F20" s="334"/>
      <c r="G20" s="121"/>
      <c r="H20" s="122"/>
      <c r="I20" s="130"/>
      <c r="J20" s="123"/>
      <c r="K20" s="16"/>
    </row>
    <row r="21" spans="2:11" s="3" customFormat="1" ht="18" customHeight="1">
      <c r="B21" s="193" t="s">
        <v>7</v>
      </c>
      <c r="C21" s="194"/>
      <c r="D21" s="194"/>
      <c r="E21" s="207" t="s">
        <v>45</v>
      </c>
      <c r="F21" s="207"/>
      <c r="G21" s="143" t="s">
        <v>5</v>
      </c>
      <c r="H21" s="144" t="s">
        <v>6</v>
      </c>
      <c r="I21" s="145" t="s">
        <v>54</v>
      </c>
      <c r="J21" s="146" t="s">
        <v>1</v>
      </c>
      <c r="K21" s="16"/>
    </row>
    <row r="22" spans="2:10" s="3" customFormat="1" ht="18">
      <c r="B22" s="202" t="s">
        <v>69</v>
      </c>
      <c r="C22" s="200"/>
      <c r="D22" s="201"/>
      <c r="E22" s="208" t="s">
        <v>71</v>
      </c>
      <c r="F22" s="209"/>
      <c r="G22" s="156">
        <v>2</v>
      </c>
      <c r="H22" s="148" t="s">
        <v>47</v>
      </c>
      <c r="I22" s="260">
        <f>$E$15</f>
        <v>20000</v>
      </c>
      <c r="J22" s="178">
        <f aca="true" t="shared" si="0" ref="J22:J27">G22*I22</f>
        <v>40000</v>
      </c>
    </row>
    <row r="23" spans="2:10" s="3" customFormat="1" ht="18">
      <c r="B23" s="205" t="s">
        <v>37</v>
      </c>
      <c r="C23" s="176"/>
      <c r="D23" s="177"/>
      <c r="E23" s="210" t="s">
        <v>125</v>
      </c>
      <c r="F23" s="211"/>
      <c r="G23" s="157">
        <v>5</v>
      </c>
      <c r="H23" s="150" t="s">
        <v>47</v>
      </c>
      <c r="I23" s="261">
        <f>$E$15</f>
        <v>20000</v>
      </c>
      <c r="J23" s="10">
        <f t="shared" si="0"/>
        <v>100000</v>
      </c>
    </row>
    <row r="24" spans="2:10" s="3" customFormat="1" ht="18">
      <c r="B24" s="203" t="s">
        <v>38</v>
      </c>
      <c r="C24" s="165"/>
      <c r="D24" s="199"/>
      <c r="E24" s="210" t="s">
        <v>70</v>
      </c>
      <c r="F24" s="211"/>
      <c r="G24" s="157">
        <v>1</v>
      </c>
      <c r="H24" s="150" t="s">
        <v>47</v>
      </c>
      <c r="I24" s="261">
        <f>$E$15</f>
        <v>20000</v>
      </c>
      <c r="J24" s="10">
        <f t="shared" si="0"/>
        <v>20000</v>
      </c>
    </row>
    <row r="25" spans="2:10" s="3" customFormat="1" ht="18">
      <c r="B25" s="203" t="s">
        <v>72</v>
      </c>
      <c r="C25" s="184"/>
      <c r="D25" s="185"/>
      <c r="E25" s="210" t="s">
        <v>129</v>
      </c>
      <c r="F25" s="211"/>
      <c r="G25" s="157">
        <v>3</v>
      </c>
      <c r="H25" s="150" t="s">
        <v>47</v>
      </c>
      <c r="I25" s="261">
        <f>$E$15</f>
        <v>20000</v>
      </c>
      <c r="J25" s="10">
        <f t="shared" si="0"/>
        <v>60000</v>
      </c>
    </row>
    <row r="26" spans="2:10" s="3" customFormat="1" ht="18">
      <c r="B26" s="203" t="s">
        <v>39</v>
      </c>
      <c r="C26" s="165"/>
      <c r="D26" s="199"/>
      <c r="E26" s="210" t="s">
        <v>126</v>
      </c>
      <c r="F26" s="211"/>
      <c r="G26" s="157">
        <v>2</v>
      </c>
      <c r="H26" s="150" t="s">
        <v>47</v>
      </c>
      <c r="I26" s="261">
        <f>$E$15</f>
        <v>20000</v>
      </c>
      <c r="J26" s="10">
        <f t="shared" si="0"/>
        <v>40000</v>
      </c>
    </row>
    <row r="27" spans="2:10" s="3" customFormat="1" ht="17.25" customHeight="1">
      <c r="B27" s="204" t="s">
        <v>109</v>
      </c>
      <c r="C27" s="129"/>
      <c r="D27" s="83"/>
      <c r="E27" s="212" t="s">
        <v>127</v>
      </c>
      <c r="F27" s="213"/>
      <c r="G27" s="159">
        <f>E13</f>
        <v>490</v>
      </c>
      <c r="H27" s="152" t="s">
        <v>73</v>
      </c>
      <c r="I27" s="262">
        <v>5000</v>
      </c>
      <c r="J27" s="179">
        <f t="shared" si="0"/>
        <v>2450000</v>
      </c>
    </row>
    <row r="28" spans="2:11" ht="18">
      <c r="B28" s="195" t="s">
        <v>8</v>
      </c>
      <c r="C28" s="196"/>
      <c r="D28" s="196"/>
      <c r="E28" s="196"/>
      <c r="F28" s="196"/>
      <c r="G28" s="196"/>
      <c r="H28" s="196"/>
      <c r="I28" s="196"/>
      <c r="J28" s="104">
        <f>SUM(J22:J27)</f>
        <v>2710000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93" t="s">
        <v>110</v>
      </c>
      <c r="C30" s="194"/>
      <c r="D30" s="194"/>
      <c r="E30" s="207" t="s">
        <v>45</v>
      </c>
      <c r="F30" s="207"/>
      <c r="G30" s="143" t="s">
        <v>5</v>
      </c>
      <c r="H30" s="144" t="s">
        <v>6</v>
      </c>
      <c r="I30" s="145" t="s">
        <v>54</v>
      </c>
      <c r="J30" s="146" t="s">
        <v>1</v>
      </c>
      <c r="K30" s="3"/>
    </row>
    <row r="31" spans="2:10" s="3" customFormat="1" ht="18">
      <c r="B31" s="214" t="s">
        <v>40</v>
      </c>
      <c r="C31" s="215"/>
      <c r="D31" s="216"/>
      <c r="E31" s="208" t="s">
        <v>128</v>
      </c>
      <c r="F31" s="209"/>
      <c r="G31" s="160">
        <v>1</v>
      </c>
      <c r="H31" s="147" t="s">
        <v>49</v>
      </c>
      <c r="I31" s="263">
        <v>80000</v>
      </c>
      <c r="J31" s="127">
        <f>I31*G31</f>
        <v>80000</v>
      </c>
    </row>
    <row r="32" spans="2:10" s="3" customFormat="1" ht="18">
      <c r="B32" s="203" t="s">
        <v>26</v>
      </c>
      <c r="C32" s="187"/>
      <c r="D32" s="217"/>
      <c r="E32" s="210" t="s">
        <v>128</v>
      </c>
      <c r="F32" s="211"/>
      <c r="G32" s="161">
        <v>2</v>
      </c>
      <c r="H32" s="149" t="s">
        <v>49</v>
      </c>
      <c r="I32" s="264">
        <v>35000</v>
      </c>
      <c r="J32" s="128">
        <f aca="true" t="shared" si="1" ref="J32:J39">I32*G32</f>
        <v>70000</v>
      </c>
    </row>
    <row r="33" spans="2:10" s="3" customFormat="1" ht="18">
      <c r="B33" s="203" t="s">
        <v>41</v>
      </c>
      <c r="C33" s="187"/>
      <c r="D33" s="217"/>
      <c r="E33" s="210" t="s">
        <v>71</v>
      </c>
      <c r="F33" s="211"/>
      <c r="G33" s="161">
        <v>1</v>
      </c>
      <c r="H33" s="149" t="s">
        <v>49</v>
      </c>
      <c r="I33" s="264">
        <v>6000</v>
      </c>
      <c r="J33" s="128">
        <f t="shared" si="1"/>
        <v>6000</v>
      </c>
    </row>
    <row r="34" spans="2:10" s="3" customFormat="1" ht="18">
      <c r="B34" s="203" t="s">
        <v>75</v>
      </c>
      <c r="C34" s="187"/>
      <c r="D34" s="217"/>
      <c r="E34" s="210" t="s">
        <v>71</v>
      </c>
      <c r="F34" s="211"/>
      <c r="G34" s="161">
        <v>1</v>
      </c>
      <c r="H34" s="149" t="s">
        <v>49</v>
      </c>
      <c r="I34" s="264">
        <v>40000</v>
      </c>
      <c r="J34" s="128">
        <f t="shared" si="1"/>
        <v>40000</v>
      </c>
    </row>
    <row r="35" spans="2:10" s="3" customFormat="1" ht="18">
      <c r="B35" s="203" t="s">
        <v>97</v>
      </c>
      <c r="C35" s="187"/>
      <c r="D35" s="217"/>
      <c r="E35" s="210" t="s">
        <v>130</v>
      </c>
      <c r="F35" s="211"/>
      <c r="G35" s="161">
        <v>1</v>
      </c>
      <c r="H35" s="149" t="s">
        <v>49</v>
      </c>
      <c r="I35" s="264">
        <v>25000</v>
      </c>
      <c r="J35" s="128">
        <f t="shared" si="1"/>
        <v>25000</v>
      </c>
    </row>
    <row r="36" spans="2:10" s="3" customFormat="1" ht="18">
      <c r="B36" s="203" t="s">
        <v>98</v>
      </c>
      <c r="C36" s="187"/>
      <c r="D36" s="217"/>
      <c r="E36" s="210" t="s">
        <v>70</v>
      </c>
      <c r="F36" s="211"/>
      <c r="G36" s="161">
        <v>3</v>
      </c>
      <c r="H36" s="149" t="s">
        <v>49</v>
      </c>
      <c r="I36" s="265">
        <v>20000</v>
      </c>
      <c r="J36" s="128">
        <f t="shared" si="1"/>
        <v>60000</v>
      </c>
    </row>
    <row r="37" spans="2:10" s="3" customFormat="1" ht="18">
      <c r="B37" s="203" t="s">
        <v>99</v>
      </c>
      <c r="C37" s="243"/>
      <c r="D37" s="217"/>
      <c r="E37" s="210" t="s">
        <v>100</v>
      </c>
      <c r="F37" s="211"/>
      <c r="G37" s="161">
        <v>1</v>
      </c>
      <c r="H37" s="149" t="s">
        <v>49</v>
      </c>
      <c r="I37" s="265">
        <v>35000</v>
      </c>
      <c r="J37" s="128">
        <f t="shared" si="1"/>
        <v>35000</v>
      </c>
    </row>
    <row r="38" spans="2:10" s="3" customFormat="1" ht="18">
      <c r="B38" s="203" t="s">
        <v>33</v>
      </c>
      <c r="C38" s="187"/>
      <c r="D38" s="217"/>
      <c r="E38" s="210" t="s">
        <v>126</v>
      </c>
      <c r="F38" s="211"/>
      <c r="G38" s="161">
        <v>1</v>
      </c>
      <c r="H38" s="149" t="s">
        <v>49</v>
      </c>
      <c r="I38" s="265">
        <v>60000</v>
      </c>
      <c r="J38" s="128">
        <f t="shared" si="1"/>
        <v>60000</v>
      </c>
    </row>
    <row r="39" spans="2:10" s="3" customFormat="1" ht="18">
      <c r="B39" s="203" t="s">
        <v>42</v>
      </c>
      <c r="C39" s="187"/>
      <c r="D39" s="187"/>
      <c r="E39" s="212" t="s">
        <v>127</v>
      </c>
      <c r="F39" s="213"/>
      <c r="G39" s="180">
        <f>E13</f>
        <v>490</v>
      </c>
      <c r="H39" s="181" t="s">
        <v>73</v>
      </c>
      <c r="I39" s="266">
        <v>200</v>
      </c>
      <c r="J39" s="132">
        <f t="shared" si="1"/>
        <v>98000</v>
      </c>
    </row>
    <row r="40" spans="2:12" ht="15.75" customHeight="1">
      <c r="B40" s="195" t="s">
        <v>10</v>
      </c>
      <c r="C40" s="196"/>
      <c r="D40" s="196"/>
      <c r="E40" s="196"/>
      <c r="F40" s="196"/>
      <c r="G40" s="196"/>
      <c r="H40" s="196"/>
      <c r="I40" s="196"/>
      <c r="J40" s="124">
        <f>SUM(J31:J39)</f>
        <v>474000</v>
      </c>
      <c r="K40" s="3"/>
      <c r="L40" s="16"/>
    </row>
    <row r="41" spans="2:12" s="3" customFormat="1" ht="18">
      <c r="B41" s="84"/>
      <c r="C41" s="84"/>
      <c r="D41" s="84"/>
      <c r="E41" s="84"/>
      <c r="F41" s="84"/>
      <c r="G41" s="25"/>
      <c r="H41" s="84"/>
      <c r="I41" s="84"/>
      <c r="J41" s="27"/>
      <c r="L41" s="19"/>
    </row>
    <row r="42" spans="2:12" s="3" customFormat="1" ht="18" customHeight="1">
      <c r="B42" s="193" t="s">
        <v>111</v>
      </c>
      <c r="C42" s="194"/>
      <c r="D42" s="194"/>
      <c r="E42" s="207" t="s">
        <v>45</v>
      </c>
      <c r="F42" s="207"/>
      <c r="G42" s="143" t="s">
        <v>5</v>
      </c>
      <c r="H42" s="144" t="s">
        <v>6</v>
      </c>
      <c r="I42" s="145" t="s">
        <v>54</v>
      </c>
      <c r="J42" s="146" t="s">
        <v>1</v>
      </c>
      <c r="L42" s="24"/>
    </row>
    <row r="43" spans="2:12" s="3" customFormat="1" ht="18">
      <c r="B43" s="170" t="s">
        <v>76</v>
      </c>
      <c r="C43" s="171"/>
      <c r="D43" s="171"/>
      <c r="E43" s="219" t="s">
        <v>74</v>
      </c>
      <c r="F43" s="220"/>
      <c r="G43" s="175">
        <v>120</v>
      </c>
      <c r="H43" s="153" t="s">
        <v>50</v>
      </c>
      <c r="I43" s="267">
        <v>6000</v>
      </c>
      <c r="J43" s="127">
        <f>G43*I43</f>
        <v>720000</v>
      </c>
      <c r="L43" s="24"/>
    </row>
    <row r="44" spans="2:12" s="3" customFormat="1" ht="18">
      <c r="B44" s="270" t="s">
        <v>24</v>
      </c>
      <c r="C44" s="271"/>
      <c r="D44" s="271"/>
      <c r="E44" s="221"/>
      <c r="F44" s="222"/>
      <c r="G44" s="172"/>
      <c r="H44" s="154"/>
      <c r="I44" s="268"/>
      <c r="J44" s="128"/>
      <c r="L44" s="24"/>
    </row>
    <row r="45" spans="2:12" s="3" customFormat="1" ht="18">
      <c r="B45" s="258" t="s">
        <v>77</v>
      </c>
      <c r="C45" s="167"/>
      <c r="D45" s="167"/>
      <c r="E45" s="221" t="s">
        <v>71</v>
      </c>
      <c r="F45" s="222"/>
      <c r="G45" s="158">
        <v>400</v>
      </c>
      <c r="H45" s="151" t="s">
        <v>50</v>
      </c>
      <c r="I45" s="268">
        <v>572</v>
      </c>
      <c r="J45" s="128">
        <f>G45*I45</f>
        <v>228800</v>
      </c>
      <c r="L45" s="24"/>
    </row>
    <row r="46" spans="2:12" s="3" customFormat="1" ht="18">
      <c r="B46" s="258" t="s">
        <v>36</v>
      </c>
      <c r="C46" s="272"/>
      <c r="D46" s="272"/>
      <c r="E46" s="221" t="s">
        <v>129</v>
      </c>
      <c r="F46" s="222"/>
      <c r="G46" s="158">
        <v>150</v>
      </c>
      <c r="H46" s="151" t="s">
        <v>50</v>
      </c>
      <c r="I46" s="268">
        <v>510</v>
      </c>
      <c r="J46" s="128">
        <f>G46*I46</f>
        <v>76500</v>
      </c>
      <c r="L46" s="24"/>
    </row>
    <row r="47" spans="2:12" s="3" customFormat="1" ht="18">
      <c r="B47" s="270" t="s">
        <v>95</v>
      </c>
      <c r="C47" s="272"/>
      <c r="D47" s="272"/>
      <c r="E47" s="221"/>
      <c r="F47" s="222"/>
      <c r="G47" s="158"/>
      <c r="H47" s="151"/>
      <c r="I47" s="268"/>
      <c r="J47" s="128"/>
      <c r="L47" s="24"/>
    </row>
    <row r="48" spans="2:12" s="3" customFormat="1" ht="18">
      <c r="B48" s="258" t="s">
        <v>119</v>
      </c>
      <c r="C48" s="272"/>
      <c r="D48" s="272"/>
      <c r="E48" s="221" t="s">
        <v>96</v>
      </c>
      <c r="F48" s="222"/>
      <c r="G48" s="158">
        <v>3</v>
      </c>
      <c r="H48" s="151" t="s">
        <v>51</v>
      </c>
      <c r="I48" s="268">
        <v>5420</v>
      </c>
      <c r="J48" s="128">
        <f>G48*I48</f>
        <v>16260</v>
      </c>
      <c r="L48" s="24"/>
    </row>
    <row r="49" spans="2:12" s="3" customFormat="1" ht="18">
      <c r="B49" s="258" t="s">
        <v>101</v>
      </c>
      <c r="C49" s="272"/>
      <c r="D49" s="272"/>
      <c r="E49" s="221" t="s">
        <v>100</v>
      </c>
      <c r="F49" s="222"/>
      <c r="G49" s="158">
        <v>3</v>
      </c>
      <c r="H49" s="151" t="s">
        <v>51</v>
      </c>
      <c r="I49" s="268">
        <v>10550</v>
      </c>
      <c r="J49" s="128">
        <f>G49*I49</f>
        <v>31650</v>
      </c>
      <c r="L49" s="24"/>
    </row>
    <row r="50" spans="2:12" s="3" customFormat="1" ht="18">
      <c r="B50" s="273" t="s">
        <v>65</v>
      </c>
      <c r="C50" s="169"/>
      <c r="D50" s="169"/>
      <c r="E50" s="221"/>
      <c r="F50" s="222"/>
      <c r="G50" s="158"/>
      <c r="H50" s="151"/>
      <c r="I50" s="268"/>
      <c r="J50" s="128"/>
      <c r="L50" s="24"/>
    </row>
    <row r="51" spans="2:12" s="3" customFormat="1" ht="18">
      <c r="B51" s="164" t="s">
        <v>86</v>
      </c>
      <c r="C51" s="26"/>
      <c r="D51" s="259"/>
      <c r="E51" s="221" t="s">
        <v>129</v>
      </c>
      <c r="F51" s="222"/>
      <c r="G51" s="158">
        <v>3</v>
      </c>
      <c r="H51" s="151" t="s">
        <v>50</v>
      </c>
      <c r="I51" s="268">
        <v>15320</v>
      </c>
      <c r="J51" s="128">
        <f>G51*I51</f>
        <v>45960</v>
      </c>
      <c r="L51" s="24"/>
    </row>
    <row r="52" spans="2:12" s="3" customFormat="1" ht="18">
      <c r="B52" s="164" t="s">
        <v>102</v>
      </c>
      <c r="C52" s="26"/>
      <c r="D52" s="259"/>
      <c r="E52" s="221" t="s">
        <v>130</v>
      </c>
      <c r="F52" s="222"/>
      <c r="G52" s="158">
        <v>2</v>
      </c>
      <c r="H52" s="151" t="s">
        <v>50</v>
      </c>
      <c r="I52" s="268">
        <v>6950</v>
      </c>
      <c r="J52" s="128">
        <f>G52*I52</f>
        <v>13900</v>
      </c>
      <c r="L52" s="24"/>
    </row>
    <row r="53" spans="2:12" s="3" customFormat="1" ht="18">
      <c r="B53" s="270" t="s">
        <v>64</v>
      </c>
      <c r="C53" s="26"/>
      <c r="D53" s="259"/>
      <c r="E53" s="221"/>
      <c r="F53" s="222"/>
      <c r="G53" s="158"/>
      <c r="H53" s="151"/>
      <c r="I53" s="268"/>
      <c r="J53" s="128"/>
      <c r="L53" s="24"/>
    </row>
    <row r="54" spans="2:12" s="3" customFormat="1" ht="18">
      <c r="B54" s="247" t="s">
        <v>136</v>
      </c>
      <c r="C54" s="274"/>
      <c r="D54" s="259"/>
      <c r="E54" s="221" t="s">
        <v>131</v>
      </c>
      <c r="F54" s="222"/>
      <c r="G54" s="158">
        <v>2.5</v>
      </c>
      <c r="H54" s="151" t="s">
        <v>51</v>
      </c>
      <c r="I54" s="268">
        <v>17830</v>
      </c>
      <c r="J54" s="128">
        <f>G54*I54</f>
        <v>44575</v>
      </c>
      <c r="L54" s="24"/>
    </row>
    <row r="55" spans="2:12" s="3" customFormat="1" ht="18">
      <c r="B55" s="258" t="s">
        <v>78</v>
      </c>
      <c r="C55" s="26"/>
      <c r="D55" s="259"/>
      <c r="E55" s="221" t="s">
        <v>129</v>
      </c>
      <c r="F55" s="222"/>
      <c r="G55" s="158">
        <v>2</v>
      </c>
      <c r="H55" s="151" t="s">
        <v>51</v>
      </c>
      <c r="I55" s="268">
        <v>21520</v>
      </c>
      <c r="J55" s="128">
        <f aca="true" t="shared" si="2" ref="J55:J63">G55*I55</f>
        <v>43040</v>
      </c>
      <c r="L55" s="24"/>
    </row>
    <row r="56" spans="2:12" s="3" customFormat="1" ht="18">
      <c r="B56" s="258" t="s">
        <v>94</v>
      </c>
      <c r="C56" s="26"/>
      <c r="D56" s="259"/>
      <c r="E56" s="221" t="s">
        <v>132</v>
      </c>
      <c r="F56" s="222"/>
      <c r="G56" s="158">
        <v>1</v>
      </c>
      <c r="H56" s="151" t="s">
        <v>51</v>
      </c>
      <c r="I56" s="268">
        <v>34200</v>
      </c>
      <c r="J56" s="128">
        <f>G56*I56</f>
        <v>34200</v>
      </c>
      <c r="L56" s="24"/>
    </row>
    <row r="57" spans="2:12" s="3" customFormat="1" ht="18">
      <c r="B57" s="273" t="s">
        <v>25</v>
      </c>
      <c r="C57" s="169"/>
      <c r="D57" s="169"/>
      <c r="E57" s="221"/>
      <c r="F57" s="222"/>
      <c r="G57" s="158"/>
      <c r="H57" s="151"/>
      <c r="I57" s="268"/>
      <c r="J57" s="128"/>
      <c r="L57" s="24"/>
    </row>
    <row r="58" spans="2:12" s="182" customFormat="1" ht="18">
      <c r="B58" s="164" t="s">
        <v>87</v>
      </c>
      <c r="C58" s="169"/>
      <c r="D58" s="169"/>
      <c r="E58" s="221" t="s">
        <v>71</v>
      </c>
      <c r="F58" s="222"/>
      <c r="G58" s="158">
        <v>1</v>
      </c>
      <c r="H58" s="151" t="s">
        <v>51</v>
      </c>
      <c r="I58" s="268">
        <v>8950</v>
      </c>
      <c r="J58" s="128">
        <f t="shared" si="2"/>
        <v>8950</v>
      </c>
      <c r="L58" s="183"/>
    </row>
    <row r="59" spans="2:12" s="3" customFormat="1" ht="18">
      <c r="B59" s="164" t="s">
        <v>137</v>
      </c>
      <c r="C59" s="165"/>
      <c r="D59" s="165"/>
      <c r="E59" s="221" t="s">
        <v>129</v>
      </c>
      <c r="F59" s="222"/>
      <c r="G59" s="172">
        <v>0.2</v>
      </c>
      <c r="H59" s="154" t="s">
        <v>51</v>
      </c>
      <c r="I59" s="268">
        <v>34200</v>
      </c>
      <c r="J59" s="128">
        <f t="shared" si="2"/>
        <v>6840</v>
      </c>
      <c r="L59" s="24"/>
    </row>
    <row r="60" spans="2:12" s="3" customFormat="1" ht="18">
      <c r="B60" s="164" t="s">
        <v>138</v>
      </c>
      <c r="C60" s="165"/>
      <c r="D60" s="165"/>
      <c r="E60" s="221" t="s">
        <v>133</v>
      </c>
      <c r="F60" s="222"/>
      <c r="G60" s="172">
        <v>0.3</v>
      </c>
      <c r="H60" s="154" t="s">
        <v>51</v>
      </c>
      <c r="I60" s="268">
        <v>64200</v>
      </c>
      <c r="J60" s="128">
        <f>G60*I60</f>
        <v>19260</v>
      </c>
      <c r="L60" s="24"/>
    </row>
    <row r="61" spans="2:12" s="3" customFormat="1" ht="18">
      <c r="B61" s="162" t="s">
        <v>34</v>
      </c>
      <c r="C61" s="163"/>
      <c r="D61" s="174"/>
      <c r="E61" s="221"/>
      <c r="F61" s="222"/>
      <c r="G61" s="172"/>
      <c r="H61" s="154"/>
      <c r="I61" s="268"/>
      <c r="J61" s="128"/>
      <c r="L61" s="24"/>
    </row>
    <row r="62" spans="2:12" s="3" customFormat="1" ht="18">
      <c r="B62" s="258" t="s">
        <v>79</v>
      </c>
      <c r="C62" s="165"/>
      <c r="D62" s="165"/>
      <c r="E62" s="221" t="s">
        <v>127</v>
      </c>
      <c r="F62" s="222"/>
      <c r="G62" s="172">
        <f>E13</f>
        <v>490</v>
      </c>
      <c r="H62" s="154" t="s">
        <v>48</v>
      </c>
      <c r="I62" s="268">
        <v>300</v>
      </c>
      <c r="J62" s="128">
        <f t="shared" si="2"/>
        <v>147000</v>
      </c>
      <c r="L62" s="24"/>
    </row>
    <row r="63" spans="2:12" s="3" customFormat="1" ht="18">
      <c r="B63" s="258" t="s">
        <v>80</v>
      </c>
      <c r="C63" s="165"/>
      <c r="D63" s="165"/>
      <c r="E63" s="221" t="s">
        <v>127</v>
      </c>
      <c r="F63" s="222"/>
      <c r="G63" s="172">
        <v>2</v>
      </c>
      <c r="H63" s="154" t="s">
        <v>48</v>
      </c>
      <c r="I63" s="268">
        <v>4000</v>
      </c>
      <c r="J63" s="128">
        <f t="shared" si="2"/>
        <v>8000</v>
      </c>
      <c r="L63" s="24"/>
    </row>
    <row r="64" spans="2:12" s="3" customFormat="1" ht="18">
      <c r="B64" s="258" t="s">
        <v>117</v>
      </c>
      <c r="C64" s="167"/>
      <c r="D64" s="167"/>
      <c r="E64" s="223" t="s">
        <v>81</v>
      </c>
      <c r="F64" s="223"/>
      <c r="G64" s="172">
        <v>1</v>
      </c>
      <c r="H64" s="154" t="s">
        <v>49</v>
      </c>
      <c r="I64" s="268">
        <v>40000</v>
      </c>
      <c r="J64" s="128">
        <f>G64*I64</f>
        <v>40000</v>
      </c>
      <c r="L64" s="24"/>
    </row>
    <row r="65" spans="2:12" s="3" customFormat="1" ht="18" customHeight="1">
      <c r="B65" s="275" t="s">
        <v>112</v>
      </c>
      <c r="C65" s="168"/>
      <c r="D65" s="168"/>
      <c r="E65" s="224" t="s">
        <v>82</v>
      </c>
      <c r="F65" s="224"/>
      <c r="G65" s="173">
        <v>1</v>
      </c>
      <c r="H65" s="155" t="s">
        <v>52</v>
      </c>
      <c r="I65" s="269">
        <v>30000</v>
      </c>
      <c r="J65" s="132">
        <f>G65*I65</f>
        <v>30000</v>
      </c>
      <c r="L65" s="24"/>
    </row>
    <row r="66" spans="2:14" ht="18">
      <c r="B66" s="191" t="s">
        <v>11</v>
      </c>
      <c r="C66" s="192"/>
      <c r="D66" s="192"/>
      <c r="E66" s="192"/>
      <c r="F66" s="192"/>
      <c r="G66" s="192"/>
      <c r="H66" s="192"/>
      <c r="I66" s="192"/>
      <c r="J66" s="125">
        <f>SUM(J43:J65)</f>
        <v>1514935</v>
      </c>
      <c r="K66" s="16"/>
      <c r="M66" s="16"/>
      <c r="N66" s="16"/>
    </row>
    <row r="67" spans="2:14" s="3" customFormat="1" ht="18">
      <c r="B67" s="29"/>
      <c r="C67" s="29"/>
      <c r="D67" s="29"/>
      <c r="E67" s="29"/>
      <c r="F67" s="29"/>
      <c r="G67" s="30"/>
      <c r="H67" s="29"/>
      <c r="I67" s="29"/>
      <c r="J67" s="31"/>
      <c r="K67" s="16"/>
      <c r="M67" s="16"/>
      <c r="N67" s="16"/>
    </row>
    <row r="68" spans="2:16" ht="18" customHeight="1">
      <c r="B68" s="193" t="s">
        <v>55</v>
      </c>
      <c r="C68" s="194"/>
      <c r="D68" s="194"/>
      <c r="E68" s="206"/>
      <c r="F68" s="206"/>
      <c r="G68" s="143" t="s">
        <v>5</v>
      </c>
      <c r="H68" s="144" t="s">
        <v>6</v>
      </c>
      <c r="I68" s="145"/>
      <c r="J68" s="146" t="s">
        <v>1</v>
      </c>
      <c r="K68" s="16"/>
      <c r="M68" s="16"/>
      <c r="N68" s="16"/>
      <c r="O68" s="9"/>
      <c r="P68" s="9"/>
    </row>
    <row r="69" spans="2:14" s="3" customFormat="1" ht="18">
      <c r="B69" s="236" t="s">
        <v>63</v>
      </c>
      <c r="C69" s="237"/>
      <c r="D69" s="238"/>
      <c r="E69" s="239"/>
      <c r="F69" s="240"/>
      <c r="G69" s="257">
        <v>0.05</v>
      </c>
      <c r="H69" s="241" t="s">
        <v>46</v>
      </c>
      <c r="I69" s="242"/>
      <c r="J69" s="242">
        <f>(J28+J40+J66)*G69</f>
        <v>234946.75</v>
      </c>
      <c r="K69" s="16"/>
      <c r="M69" s="16"/>
      <c r="N69" s="16"/>
    </row>
    <row r="70" spans="11:14" s="3" customFormat="1" ht="18">
      <c r="K70" s="16"/>
      <c r="M70" s="16"/>
      <c r="N70" s="16"/>
    </row>
    <row r="71" spans="2:14" s="3" customFormat="1" ht="18">
      <c r="B71" s="225" t="s">
        <v>56</v>
      </c>
      <c r="C71" s="226"/>
      <c r="D71" s="226"/>
      <c r="E71" s="226"/>
      <c r="F71" s="226"/>
      <c r="G71" s="226"/>
      <c r="H71" s="226"/>
      <c r="I71" s="226"/>
      <c r="J71" s="104">
        <f>J28+J40+J66+J69</f>
        <v>4933881.75</v>
      </c>
      <c r="K71" s="16"/>
      <c r="M71" s="16"/>
      <c r="N71" s="16"/>
    </row>
    <row r="72" spans="2:14" s="3" customFormat="1" ht="18">
      <c r="B72" s="131"/>
      <c r="C72" s="131"/>
      <c r="D72" s="131"/>
      <c r="E72" s="131"/>
      <c r="F72" s="131"/>
      <c r="G72" s="32"/>
      <c r="H72" s="131"/>
      <c r="I72" s="131"/>
      <c r="J72" s="27"/>
      <c r="K72" s="16"/>
      <c r="M72" s="16"/>
      <c r="N72" s="16"/>
    </row>
    <row r="73" spans="2:14" s="3" customFormat="1" ht="20.25">
      <c r="B73" s="120" t="s">
        <v>58</v>
      </c>
      <c r="C73" s="119"/>
      <c r="D73" s="119"/>
      <c r="E73" s="20"/>
      <c r="F73" s="20"/>
      <c r="G73" s="21"/>
      <c r="H73" s="22"/>
      <c r="I73" s="23"/>
      <c r="J73" s="23"/>
      <c r="K73" s="16"/>
      <c r="M73" s="16"/>
      <c r="N73" s="16"/>
    </row>
    <row r="74" spans="2:14" s="3" customFormat="1" ht="18" customHeight="1">
      <c r="B74" s="227" t="s">
        <v>32</v>
      </c>
      <c r="C74" s="206"/>
      <c r="D74" s="206"/>
      <c r="E74" s="206"/>
      <c r="F74" s="206"/>
      <c r="G74" s="143" t="s">
        <v>5</v>
      </c>
      <c r="H74" s="144" t="s">
        <v>6</v>
      </c>
      <c r="I74" s="145"/>
      <c r="J74" s="146" t="s">
        <v>1</v>
      </c>
      <c r="K74" s="16"/>
      <c r="M74" s="16"/>
      <c r="N74" s="16"/>
    </row>
    <row r="75" spans="2:15" s="3" customFormat="1" ht="18" customHeight="1">
      <c r="B75" s="228" t="s">
        <v>113</v>
      </c>
      <c r="C75" s="229"/>
      <c r="D75" s="229"/>
      <c r="E75" s="218"/>
      <c r="F75" s="246"/>
      <c r="G75" s="251">
        <f>E16</f>
        <v>0.015</v>
      </c>
      <c r="H75" s="153" t="s">
        <v>46</v>
      </c>
      <c r="I75" s="254"/>
      <c r="J75" s="244">
        <f>J71*E16*E17*0.5</f>
        <v>185020.565625</v>
      </c>
      <c r="K75" s="16"/>
      <c r="L75" s="332"/>
      <c r="M75" s="332"/>
      <c r="N75" s="332"/>
      <c r="O75" s="332"/>
    </row>
    <row r="76" spans="2:15" s="3" customFormat="1" ht="18" customHeight="1">
      <c r="B76" s="164" t="s">
        <v>89</v>
      </c>
      <c r="C76" s="229"/>
      <c r="D76" s="229"/>
      <c r="E76" s="247"/>
      <c r="F76" s="248"/>
      <c r="G76" s="252"/>
      <c r="H76" s="151"/>
      <c r="I76" s="255"/>
      <c r="J76" s="11"/>
      <c r="K76" s="16"/>
      <c r="L76" s="188"/>
      <c r="M76" s="188"/>
      <c r="N76" s="188"/>
      <c r="O76" s="188"/>
    </row>
    <row r="77" spans="2:15" s="3" customFormat="1" ht="18" customHeight="1">
      <c r="B77" s="164" t="s">
        <v>90</v>
      </c>
      <c r="C77" s="229"/>
      <c r="D77" s="229"/>
      <c r="E77" s="247"/>
      <c r="F77" s="248"/>
      <c r="G77" s="252"/>
      <c r="H77" s="151"/>
      <c r="I77" s="255"/>
      <c r="J77" s="11"/>
      <c r="K77" s="16"/>
      <c r="L77" s="188"/>
      <c r="M77" s="188"/>
      <c r="N77" s="188"/>
      <c r="O77" s="188"/>
    </row>
    <row r="78" spans="2:15" s="3" customFormat="1" ht="18" customHeight="1">
      <c r="B78" s="82" t="s">
        <v>91</v>
      </c>
      <c r="C78" s="229"/>
      <c r="D78" s="229"/>
      <c r="E78" s="249"/>
      <c r="F78" s="250"/>
      <c r="G78" s="253"/>
      <c r="H78" s="152"/>
      <c r="I78" s="256"/>
      <c r="J78" s="245"/>
      <c r="K78" s="16"/>
      <c r="L78" s="188"/>
      <c r="M78" s="188"/>
      <c r="N78" s="188"/>
      <c r="O78" s="188"/>
    </row>
    <row r="79" spans="2:14" ht="18">
      <c r="B79" s="195" t="s">
        <v>29</v>
      </c>
      <c r="C79" s="196"/>
      <c r="D79" s="196"/>
      <c r="E79" s="196"/>
      <c r="F79" s="196"/>
      <c r="G79" s="196"/>
      <c r="H79" s="196"/>
      <c r="I79" s="196"/>
      <c r="J79" s="104">
        <f>SUM(J75:J75)</f>
        <v>185020.565625</v>
      </c>
      <c r="K79" s="16"/>
      <c r="M79" s="16"/>
      <c r="N79" s="16"/>
    </row>
    <row r="80" spans="2:12" s="3" customFormat="1" ht="18">
      <c r="B80" s="84"/>
      <c r="C80" s="84"/>
      <c r="D80" s="84"/>
      <c r="E80" s="84"/>
      <c r="F80" s="84"/>
      <c r="G80" s="25"/>
      <c r="H80" s="84"/>
      <c r="I80" s="84"/>
      <c r="J80" s="27"/>
      <c r="K80" s="16"/>
      <c r="L80" s="16"/>
    </row>
    <row r="81" spans="2:12" ht="18">
      <c r="B81" s="230" t="s">
        <v>13</v>
      </c>
      <c r="C81" s="231"/>
      <c r="D81" s="231"/>
      <c r="E81" s="231"/>
      <c r="F81" s="231"/>
      <c r="G81" s="231"/>
      <c r="H81" s="231"/>
      <c r="I81" s="231"/>
      <c r="J81" s="234">
        <f>J71+J79</f>
        <v>5118902.315625</v>
      </c>
      <c r="K81" s="16"/>
      <c r="L81" s="16"/>
    </row>
    <row r="82" spans="2:12" s="3" customFormat="1" ht="18">
      <c r="B82" s="232"/>
      <c r="C82" s="233"/>
      <c r="D82" s="233"/>
      <c r="E82" s="233"/>
      <c r="F82" s="233"/>
      <c r="G82" s="233"/>
      <c r="H82" s="233"/>
      <c r="I82" s="233"/>
      <c r="J82" s="235"/>
      <c r="K82" s="16"/>
      <c r="L82" s="16"/>
    </row>
    <row r="83" spans="2:12" s="3" customFormat="1" ht="18" customHeight="1">
      <c r="B83" s="134"/>
      <c r="C83" s="134"/>
      <c r="D83" s="134"/>
      <c r="E83" s="134"/>
      <c r="F83" s="134"/>
      <c r="G83" s="134"/>
      <c r="H83" s="134"/>
      <c r="I83" s="134"/>
      <c r="J83" s="135"/>
      <c r="K83" s="16"/>
      <c r="L83" s="16"/>
    </row>
    <row r="84" spans="2:12" s="3" customFormat="1" ht="18" customHeight="1">
      <c r="B84" s="134"/>
      <c r="C84" s="134"/>
      <c r="D84" s="134"/>
      <c r="E84" s="134"/>
      <c r="F84" s="134"/>
      <c r="G84" s="134"/>
      <c r="H84" s="134"/>
      <c r="I84" s="134"/>
      <c r="J84" s="135"/>
      <c r="K84" s="16"/>
      <c r="L84" s="16"/>
    </row>
    <row r="85" spans="2:12" s="3" customFormat="1" ht="18" customHeight="1">
      <c r="B85" s="134"/>
      <c r="C85" s="134"/>
      <c r="D85" s="134"/>
      <c r="E85" s="134"/>
      <c r="F85" s="134"/>
      <c r="G85" s="134"/>
      <c r="H85" s="134"/>
      <c r="I85" s="134"/>
      <c r="J85" s="135"/>
      <c r="K85" s="16"/>
      <c r="L85" s="16"/>
    </row>
    <row r="86" spans="2:12" ht="18" customHeight="1">
      <c r="B86" s="314" t="s">
        <v>114</v>
      </c>
      <c r="C86" s="315"/>
      <c r="D86" s="315"/>
      <c r="E86" s="315"/>
      <c r="F86" s="315"/>
      <c r="G86" s="315"/>
      <c r="H86" s="315"/>
      <c r="I86" s="315"/>
      <c r="J86" s="316"/>
      <c r="K86" s="16"/>
      <c r="L86" s="24"/>
    </row>
    <row r="87" spans="2:12" ht="18" customHeight="1">
      <c r="B87" s="276" t="s">
        <v>53</v>
      </c>
      <c r="C87" s="277"/>
      <c r="D87" s="277"/>
      <c r="E87" s="277"/>
      <c r="F87" s="277"/>
      <c r="G87" s="277"/>
      <c r="H87" s="277"/>
      <c r="I87" s="277"/>
      <c r="J87" s="278"/>
      <c r="K87" s="16"/>
      <c r="L87" s="24"/>
    </row>
    <row r="88" spans="2:12" s="3" customFormat="1" ht="18" customHeight="1">
      <c r="B88" s="333" t="s">
        <v>83</v>
      </c>
      <c r="C88" s="333"/>
      <c r="D88" s="333"/>
      <c r="E88" s="328" t="s">
        <v>84</v>
      </c>
      <c r="F88" s="329"/>
      <c r="G88" s="329"/>
      <c r="H88" s="329"/>
      <c r="I88" s="329"/>
      <c r="J88" s="330"/>
      <c r="K88" s="16"/>
      <c r="L88" s="24"/>
    </row>
    <row r="89" spans="2:12" s="3" customFormat="1" ht="18" customHeight="1">
      <c r="B89" s="333"/>
      <c r="C89" s="333"/>
      <c r="D89" s="333"/>
      <c r="E89" s="283">
        <f>G89*0.9</f>
        <v>13500</v>
      </c>
      <c r="F89" s="283"/>
      <c r="G89" s="331">
        <f>E14</f>
        <v>15000</v>
      </c>
      <c r="H89" s="331"/>
      <c r="I89" s="283">
        <f>G89*1.1</f>
        <v>16500</v>
      </c>
      <c r="J89" s="283"/>
      <c r="K89" s="16"/>
      <c r="L89" s="24"/>
    </row>
    <row r="90" spans="2:12" s="3" customFormat="1" ht="18" customHeight="1">
      <c r="B90" s="283">
        <f>B91*0.9</f>
        <v>441</v>
      </c>
      <c r="C90" s="283"/>
      <c r="D90" s="283"/>
      <c r="E90" s="300">
        <f>E$89*$B$90-$J$81</f>
        <v>834597.6843750002</v>
      </c>
      <c r="F90" s="300"/>
      <c r="G90" s="300">
        <f>G$89*$B$90-$J$81</f>
        <v>1496097.6843750002</v>
      </c>
      <c r="H90" s="300"/>
      <c r="I90" s="300">
        <f>I$89*$B$90-$J$81</f>
        <v>2157597.684375</v>
      </c>
      <c r="J90" s="300"/>
      <c r="K90" s="16"/>
      <c r="L90" s="24"/>
    </row>
    <row r="91" spans="2:12" s="3" customFormat="1" ht="18" customHeight="1">
      <c r="B91" s="283">
        <f>E13</f>
        <v>490</v>
      </c>
      <c r="C91" s="283"/>
      <c r="D91" s="283"/>
      <c r="E91" s="300">
        <f>E$89*$B$91-$J$81</f>
        <v>1496097.6843750002</v>
      </c>
      <c r="F91" s="300"/>
      <c r="G91" s="300">
        <f>G$89*$B$91-$J$81</f>
        <v>2231097.684375</v>
      </c>
      <c r="H91" s="300"/>
      <c r="I91" s="300">
        <f>I$89*$B$91-$J$81</f>
        <v>2966097.684375</v>
      </c>
      <c r="J91" s="300"/>
      <c r="K91" s="16"/>
      <c r="L91" s="24"/>
    </row>
    <row r="92" spans="2:12" s="3" customFormat="1" ht="18" customHeight="1">
      <c r="B92" s="283">
        <f>B91*1.1</f>
        <v>539</v>
      </c>
      <c r="C92" s="283"/>
      <c r="D92" s="283"/>
      <c r="E92" s="300">
        <f>E$89*$B$92-$J$81</f>
        <v>2157597.684375</v>
      </c>
      <c r="F92" s="300"/>
      <c r="G92" s="300">
        <f>G$89*$B$92-$J$81</f>
        <v>2966097.684375</v>
      </c>
      <c r="H92" s="300"/>
      <c r="I92" s="300">
        <f>I$89*$B$92-$J$81</f>
        <v>3774597.684375</v>
      </c>
      <c r="J92" s="300"/>
      <c r="K92" s="16"/>
      <c r="L92" s="24"/>
    </row>
    <row r="93" spans="2:12" s="3" customFormat="1" ht="18" customHeight="1">
      <c r="B93" s="34"/>
      <c r="C93" s="34"/>
      <c r="D93" s="35"/>
      <c r="E93" s="35"/>
      <c r="F93" s="35"/>
      <c r="G93" s="36"/>
      <c r="H93" s="12"/>
      <c r="I93" s="15"/>
      <c r="J93" s="15"/>
      <c r="K93" s="16"/>
      <c r="L93" s="24"/>
    </row>
    <row r="94" spans="2:12" s="3" customFormat="1" ht="18" customHeight="1">
      <c r="B94" s="301" t="s">
        <v>115</v>
      </c>
      <c r="C94" s="302"/>
      <c r="D94" s="302"/>
      <c r="E94" s="302"/>
      <c r="F94" s="302"/>
      <c r="G94" s="302"/>
      <c r="H94" s="302"/>
      <c r="I94" s="302"/>
      <c r="J94" s="303"/>
      <c r="K94" s="16"/>
      <c r="L94" s="24"/>
    </row>
    <row r="95" spans="2:12" s="3" customFormat="1" ht="18" customHeight="1">
      <c r="B95" s="337"/>
      <c r="C95" s="338"/>
      <c r="D95" s="338"/>
      <c r="E95" s="338"/>
      <c r="F95" s="338"/>
      <c r="G95" s="338"/>
      <c r="H95" s="338"/>
      <c r="I95" s="338"/>
      <c r="J95" s="339"/>
      <c r="K95" s="16"/>
      <c r="L95" s="24"/>
    </row>
    <row r="96" spans="2:12" s="3" customFormat="1" ht="18" customHeight="1">
      <c r="B96" s="298" t="s">
        <v>83</v>
      </c>
      <c r="C96" s="279"/>
      <c r="D96" s="279"/>
      <c r="E96" s="279">
        <f>B90</f>
        <v>441</v>
      </c>
      <c r="F96" s="279"/>
      <c r="G96" s="279">
        <f>E13</f>
        <v>490</v>
      </c>
      <c r="H96" s="279"/>
      <c r="I96" s="279">
        <f>B92</f>
        <v>539</v>
      </c>
      <c r="J96" s="280"/>
      <c r="K96" s="16"/>
      <c r="L96" s="24"/>
    </row>
    <row r="97" spans="2:12" ht="18" customHeight="1">
      <c r="B97" s="299"/>
      <c r="C97" s="281"/>
      <c r="D97" s="281"/>
      <c r="E97" s="281"/>
      <c r="F97" s="281"/>
      <c r="G97" s="281"/>
      <c r="H97" s="281"/>
      <c r="I97" s="281"/>
      <c r="J97" s="282"/>
      <c r="K97" s="16"/>
      <c r="L97" s="24"/>
    </row>
    <row r="98" spans="2:12" ht="18" customHeight="1">
      <c r="B98" s="324" t="s">
        <v>85</v>
      </c>
      <c r="C98" s="325"/>
      <c r="D98" s="325"/>
      <c r="E98" s="317">
        <f>$J$81/E96</f>
        <v>11607.48824404762</v>
      </c>
      <c r="F98" s="317"/>
      <c r="G98" s="319">
        <f>$J$81/G96</f>
        <v>10446.739419642856</v>
      </c>
      <c r="H98" s="319"/>
      <c r="I98" s="317">
        <f>$J$81/I96</f>
        <v>9497.03583603896</v>
      </c>
      <c r="J98" s="318"/>
      <c r="K98" s="16"/>
      <c r="L98" s="24"/>
    </row>
    <row r="99" spans="2:12" ht="18" customHeight="1">
      <c r="B99" s="326"/>
      <c r="C99" s="327"/>
      <c r="D99" s="327"/>
      <c r="E99" s="319"/>
      <c r="F99" s="319"/>
      <c r="G99" s="319"/>
      <c r="H99" s="319"/>
      <c r="I99" s="319"/>
      <c r="J99" s="320"/>
      <c r="K99" s="16"/>
      <c r="L99" s="24"/>
    </row>
    <row r="100" spans="2:12" ht="18" customHeight="1">
      <c r="B100" s="46"/>
      <c r="C100" s="1"/>
      <c r="D100" s="3"/>
      <c r="E100" s="3"/>
      <c r="F100" s="105"/>
      <c r="G100" s="105"/>
      <c r="H100" s="105"/>
      <c r="I100" s="15"/>
      <c r="J100" s="15"/>
      <c r="K100" s="16"/>
      <c r="L100" s="24"/>
    </row>
    <row r="101" spans="2:11" s="3" customFormat="1" ht="18" customHeight="1">
      <c r="B101" s="321" t="s">
        <v>15</v>
      </c>
      <c r="C101" s="322"/>
      <c r="D101" s="322"/>
      <c r="E101" s="322"/>
      <c r="F101" s="322"/>
      <c r="G101" s="322"/>
      <c r="H101" s="322"/>
      <c r="I101" s="322"/>
      <c r="J101" s="323"/>
      <c r="K101" s="80"/>
    </row>
    <row r="102" spans="2:11" s="3" customFormat="1" ht="18" customHeight="1">
      <c r="B102" s="340" t="s">
        <v>93</v>
      </c>
      <c r="C102" s="341"/>
      <c r="D102" s="341"/>
      <c r="E102" s="341"/>
      <c r="F102" s="341"/>
      <c r="G102" s="341"/>
      <c r="H102" s="341"/>
      <c r="I102" s="341"/>
      <c r="J102" s="342"/>
      <c r="K102" s="80"/>
    </row>
    <row r="103" spans="2:14" s="3" customFormat="1" ht="18.75" customHeight="1">
      <c r="B103" s="295" t="s">
        <v>122</v>
      </c>
      <c r="C103" s="296"/>
      <c r="D103" s="296"/>
      <c r="E103" s="296"/>
      <c r="F103" s="296"/>
      <c r="G103" s="296"/>
      <c r="H103" s="296"/>
      <c r="I103" s="296"/>
      <c r="J103" s="297"/>
      <c r="K103" s="80"/>
      <c r="N103" s="106"/>
    </row>
    <row r="104" spans="2:11" s="3" customFormat="1" ht="18.75">
      <c r="B104" s="295" t="s">
        <v>103</v>
      </c>
      <c r="C104" s="296"/>
      <c r="D104" s="296"/>
      <c r="E104" s="296"/>
      <c r="F104" s="296"/>
      <c r="G104" s="296"/>
      <c r="H104" s="296"/>
      <c r="I104" s="296"/>
      <c r="J104" s="297"/>
      <c r="K104" s="81"/>
    </row>
    <row r="105" spans="2:11" s="3" customFormat="1" ht="15.75" customHeight="1">
      <c r="B105" s="295" t="s">
        <v>134</v>
      </c>
      <c r="C105" s="296"/>
      <c r="D105" s="296"/>
      <c r="E105" s="296"/>
      <c r="F105" s="296"/>
      <c r="G105" s="296"/>
      <c r="H105" s="296"/>
      <c r="I105" s="296"/>
      <c r="J105" s="297"/>
      <c r="K105" s="81"/>
    </row>
    <row r="106" spans="2:11" s="3" customFormat="1" ht="30.75" customHeight="1">
      <c r="B106" s="305" t="s">
        <v>104</v>
      </c>
      <c r="C106" s="306"/>
      <c r="D106" s="306"/>
      <c r="E106" s="306"/>
      <c r="F106" s="306"/>
      <c r="G106" s="306"/>
      <c r="H106" s="306"/>
      <c r="I106" s="306"/>
      <c r="J106" s="307"/>
      <c r="K106" s="80"/>
    </row>
    <row r="107" spans="2:11" s="3" customFormat="1" ht="18" customHeight="1">
      <c r="B107" s="295" t="s">
        <v>105</v>
      </c>
      <c r="C107" s="296"/>
      <c r="D107" s="296"/>
      <c r="E107" s="296"/>
      <c r="F107" s="296"/>
      <c r="G107" s="296"/>
      <c r="H107" s="296"/>
      <c r="I107" s="296"/>
      <c r="J107" s="297"/>
      <c r="K107" s="80"/>
    </row>
    <row r="108" spans="2:11" s="3" customFormat="1" ht="18" customHeight="1">
      <c r="B108" s="295" t="s">
        <v>135</v>
      </c>
      <c r="C108" s="296"/>
      <c r="D108" s="296"/>
      <c r="E108" s="296"/>
      <c r="F108" s="296"/>
      <c r="G108" s="296"/>
      <c r="H108" s="296"/>
      <c r="I108" s="296"/>
      <c r="J108" s="297"/>
      <c r="K108" s="80"/>
    </row>
    <row r="109" spans="2:11" s="3" customFormat="1" ht="18">
      <c r="B109" s="308" t="s">
        <v>106</v>
      </c>
      <c r="C109" s="309"/>
      <c r="D109" s="309"/>
      <c r="E109" s="309"/>
      <c r="F109" s="309"/>
      <c r="G109" s="309"/>
      <c r="H109" s="309"/>
      <c r="I109" s="309"/>
      <c r="J109" s="310"/>
      <c r="K109" s="80"/>
    </row>
    <row r="110" spans="2:11" s="3" customFormat="1" ht="18" customHeight="1">
      <c r="B110" s="311" t="s">
        <v>107</v>
      </c>
      <c r="C110" s="312"/>
      <c r="D110" s="312"/>
      <c r="E110" s="312"/>
      <c r="F110" s="312"/>
      <c r="G110" s="312"/>
      <c r="H110" s="312"/>
      <c r="I110" s="312"/>
      <c r="J110" s="313"/>
      <c r="K110" s="81"/>
    </row>
    <row r="111" spans="2:11" s="3" customFormat="1" ht="18" customHeight="1">
      <c r="B111" s="137"/>
      <c r="C111" s="137"/>
      <c r="D111" s="137"/>
      <c r="E111" s="137"/>
      <c r="F111" s="137"/>
      <c r="G111" s="137"/>
      <c r="H111" s="137"/>
      <c r="I111" s="137"/>
      <c r="J111" s="137"/>
      <c r="K111" s="81"/>
    </row>
    <row r="112" spans="2:11" s="3" customFormat="1" ht="18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3"/>
    </row>
    <row r="113" spans="2:11" s="3" customFormat="1" ht="16.5" customHeight="1">
      <c r="B113" s="39"/>
      <c r="C113" s="39"/>
      <c r="D113" s="39"/>
      <c r="E113" s="39"/>
      <c r="F113" s="39"/>
      <c r="G113" s="40"/>
      <c r="H113" s="39"/>
      <c r="I113" s="39"/>
      <c r="J113" s="39"/>
      <c r="K113" s="9"/>
    </row>
    <row r="114" spans="2:11" s="3" customFormat="1" ht="15">
      <c r="B114" s="4"/>
      <c r="C114" s="4"/>
      <c r="D114" s="4"/>
      <c r="E114" s="4"/>
      <c r="F114" s="4"/>
      <c r="G114" s="5"/>
      <c r="H114" s="4"/>
      <c r="I114" s="4"/>
      <c r="J114" s="4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9"/>
    </row>
    <row r="117" spans="2:11" s="3" customFormat="1" ht="15">
      <c r="B117" s="6"/>
      <c r="C117" s="6"/>
      <c r="D117" s="6"/>
      <c r="E117" s="6"/>
      <c r="F117" s="6"/>
      <c r="G117" s="7"/>
      <c r="H117" s="6"/>
      <c r="I117" s="6"/>
      <c r="J117" s="6"/>
      <c r="K117" s="9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s="3" customFormat="1" ht="15">
      <c r="B120" s="67"/>
      <c r="C120" s="67"/>
      <c r="D120" s="67"/>
      <c r="E120" s="67"/>
      <c r="F120" s="67"/>
      <c r="G120" s="68"/>
      <c r="H120" s="67"/>
      <c r="I120" s="67"/>
      <c r="J120" s="67"/>
      <c r="K120" s="69"/>
      <c r="L120" s="67"/>
    </row>
    <row r="121" spans="2:12" s="3" customFormat="1" ht="15">
      <c r="B121" s="67"/>
      <c r="C121" s="67"/>
      <c r="D121" s="67"/>
      <c r="E121" s="67"/>
      <c r="F121" s="67"/>
      <c r="G121" s="68"/>
      <c r="H121" s="67"/>
      <c r="I121" s="67"/>
      <c r="J121" s="67"/>
      <c r="K121" s="69"/>
      <c r="L121" s="67"/>
    </row>
    <row r="122" spans="2:12" ht="18">
      <c r="B122" s="56"/>
      <c r="C122" s="56"/>
      <c r="D122" s="57"/>
      <c r="E122" s="57"/>
      <c r="F122" s="58"/>
      <c r="G122" s="58"/>
      <c r="H122" s="58"/>
      <c r="I122" s="67"/>
      <c r="J122" s="67"/>
      <c r="K122" s="69"/>
      <c r="L122" s="67"/>
    </row>
    <row r="123" spans="2:12" ht="18">
      <c r="B123" s="56"/>
      <c r="C123" s="59"/>
      <c r="D123" s="59"/>
      <c r="E123" s="60"/>
      <c r="F123" s="59"/>
      <c r="G123" s="61"/>
      <c r="H123" s="62"/>
      <c r="I123" s="67"/>
      <c r="J123" s="67"/>
      <c r="K123" s="69"/>
      <c r="L123" s="67"/>
    </row>
    <row r="124" spans="2:12" ht="18">
      <c r="B124" s="57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56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ht="18">
      <c r="B126" s="70"/>
      <c r="C126" s="71"/>
      <c r="D126" s="71"/>
      <c r="E126" s="63"/>
      <c r="F126" s="63"/>
      <c r="G126" s="63"/>
      <c r="H126" s="63"/>
      <c r="I126" s="67"/>
      <c r="J126" s="69"/>
      <c r="K126" s="69"/>
      <c r="L126" s="67"/>
    </row>
    <row r="127" spans="2:12" ht="18">
      <c r="B127" s="70"/>
      <c r="C127" s="71"/>
      <c r="D127" s="71"/>
      <c r="E127" s="63"/>
      <c r="F127" s="63"/>
      <c r="G127" s="63"/>
      <c r="H127" s="63"/>
      <c r="I127" s="67"/>
      <c r="J127" s="69"/>
      <c r="K127" s="69"/>
      <c r="L127" s="67"/>
    </row>
    <row r="128" spans="2:12" ht="18">
      <c r="B128" s="64"/>
      <c r="C128" s="65"/>
      <c r="D128" s="65"/>
      <c r="E128" s="64"/>
      <c r="F128" s="64"/>
      <c r="G128" s="64"/>
      <c r="H128" s="66"/>
      <c r="I128" s="67"/>
      <c r="J128" s="67"/>
      <c r="K128" s="69"/>
      <c r="L128" s="67"/>
    </row>
    <row r="129" spans="2:12" ht="18">
      <c r="B129" s="57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8">
      <c r="B130" s="56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304"/>
      <c r="C133" s="304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64"/>
      <c r="C144" s="65"/>
      <c r="D144" s="65"/>
      <c r="E144" s="64"/>
      <c r="F144" s="64"/>
      <c r="G144" s="64"/>
      <c r="H144" s="66"/>
      <c r="I144" s="67"/>
      <c r="J144" s="67"/>
      <c r="K144" s="69"/>
      <c r="L144" s="67"/>
    </row>
    <row r="145" spans="2:12" ht="18">
      <c r="B145" s="57"/>
      <c r="C145" s="57"/>
      <c r="D145" s="57"/>
      <c r="E145" s="57"/>
      <c r="F145" s="57"/>
      <c r="G145" s="57"/>
      <c r="H145" s="57"/>
      <c r="I145" s="67"/>
      <c r="J145" s="67"/>
      <c r="K145" s="69"/>
      <c r="L145" s="67"/>
    </row>
    <row r="146" spans="2:12" ht="18">
      <c r="B146" s="64"/>
      <c r="C146" s="65"/>
      <c r="D146" s="65"/>
      <c r="E146" s="64"/>
      <c r="F146" s="64"/>
      <c r="G146" s="64"/>
      <c r="H146" s="66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77"/>
      <c r="C157" s="77"/>
      <c r="D157" s="77"/>
      <c r="E157" s="77"/>
      <c r="F157" s="7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9"/>
      <c r="D160" s="69"/>
      <c r="E160" s="69"/>
      <c r="F160" s="69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9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9"/>
      <c r="D167" s="69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8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9"/>
      <c r="C180" s="69"/>
      <c r="D180" s="69"/>
      <c r="E180" s="69"/>
      <c r="F180" s="69"/>
      <c r="G180" s="69"/>
      <c r="H180" s="69"/>
      <c r="I180" s="69"/>
      <c r="J180" s="67"/>
      <c r="K180" s="69"/>
      <c r="L180" s="67"/>
    </row>
    <row r="181" spans="2:12" s="3" customFormat="1" ht="15">
      <c r="B181" s="69"/>
      <c r="C181" s="69"/>
      <c r="D181" s="69"/>
      <c r="E181" s="69"/>
      <c r="F181" s="69"/>
      <c r="G181" s="78"/>
      <c r="H181" s="69"/>
      <c r="I181" s="69"/>
      <c r="J181" s="67"/>
      <c r="K181" s="69"/>
      <c r="L181" s="78"/>
    </row>
    <row r="182" spans="2:12" s="3" customFormat="1" ht="15">
      <c r="B182" s="69"/>
      <c r="C182" s="69"/>
      <c r="D182" s="69"/>
      <c r="E182" s="69"/>
      <c r="F182" s="69"/>
      <c r="G182" s="69"/>
      <c r="H182" s="69"/>
      <c r="I182" s="7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9"/>
      <c r="I191" s="69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9"/>
      <c r="I200" s="69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</sheetData>
  <sheetProtection/>
  <mergeCells count="47">
    <mergeCell ref="L75:O75"/>
    <mergeCell ref="E98:F99"/>
    <mergeCell ref="B88:D89"/>
    <mergeCell ref="E20:F20"/>
    <mergeCell ref="B91:D91"/>
    <mergeCell ref="E90:F90"/>
    <mergeCell ref="I91:J91"/>
    <mergeCell ref="E91:F91"/>
    <mergeCell ref="E92:F92"/>
    <mergeCell ref="E96:F97"/>
    <mergeCell ref="B110:J110"/>
    <mergeCell ref="B86:J86"/>
    <mergeCell ref="I98:J99"/>
    <mergeCell ref="I90:J90"/>
    <mergeCell ref="B101:J101"/>
    <mergeCell ref="B98:D99"/>
    <mergeCell ref="G98:H99"/>
    <mergeCell ref="G91:H91"/>
    <mergeCell ref="E88:J88"/>
    <mergeCell ref="G89:H89"/>
    <mergeCell ref="B133:C133"/>
    <mergeCell ref="B103:J103"/>
    <mergeCell ref="B92:D92"/>
    <mergeCell ref="E89:F89"/>
    <mergeCell ref="B106:J106"/>
    <mergeCell ref="B109:J109"/>
    <mergeCell ref="B108:J108"/>
    <mergeCell ref="B104:J104"/>
    <mergeCell ref="G96:H97"/>
    <mergeCell ref="G90:H90"/>
    <mergeCell ref="B107:J107"/>
    <mergeCell ref="B96:D97"/>
    <mergeCell ref="G92:H92"/>
    <mergeCell ref="B105:J105"/>
    <mergeCell ref="I92:J92"/>
    <mergeCell ref="B94:J95"/>
    <mergeCell ref="B102:J102"/>
    <mergeCell ref="B87:J87"/>
    <mergeCell ref="I96:J97"/>
    <mergeCell ref="I89:J89"/>
    <mergeCell ref="D2:J2"/>
    <mergeCell ref="D3:J3"/>
    <mergeCell ref="D4:J4"/>
    <mergeCell ref="B12:E12"/>
    <mergeCell ref="G12:J12"/>
    <mergeCell ref="D6:J6"/>
    <mergeCell ref="B90:D9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(('Poroto_verde_rm_2020-21'!E13-45000)/45000)+1</f>
        <v>0.010888888888888837</v>
      </c>
    </row>
    <row r="3" ht="18">
      <c r="B3" s="13"/>
    </row>
    <row r="4" spans="2:3" ht="18">
      <c r="B4" s="335" t="s">
        <v>18</v>
      </c>
      <c r="C4" s="335"/>
    </row>
    <row r="5" spans="2:5" ht="18">
      <c r="B5" s="82" t="s">
        <v>35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36" t="s">
        <v>14</v>
      </c>
      <c r="C14" s="336"/>
      <c r="D14" s="336"/>
    </row>
    <row r="16" spans="2:4" ht="18">
      <c r="B16" s="49" t="s">
        <v>16</v>
      </c>
      <c r="C16" s="48">
        <f>'Poroto_verde_rm_2020-21'!B90</f>
        <v>441</v>
      </c>
      <c r="D16" s="48">
        <f>'Poroto_verde_rm_2020-21'!B92</f>
        <v>539</v>
      </c>
    </row>
    <row r="17" ht="15">
      <c r="B17" s="24"/>
    </row>
    <row r="18" spans="2:4" ht="15">
      <c r="B18" s="47" t="s">
        <v>17</v>
      </c>
      <c r="C18" s="50">
        <f>((C16-'Poroto_verde_rm_2020-21'!E13)/'Poroto_verde_rm_2020-21'!E13)+1</f>
        <v>0.9</v>
      </c>
      <c r="D18" s="50">
        <f>((D16-'Poroto_verde_rm_2020-21'!E13)/'Poroto_verde_rm_2020-21'!E13)+1</f>
        <v>1.1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SUM('Poroto_verde_rm_2020-21'!J22:J26)</f>
        <v>260000</v>
      </c>
      <c r="D21" s="9">
        <f>SUM('Poroto_verde_rm_2020-21'!J22:J26)</f>
        <v>260000</v>
      </c>
    </row>
    <row r="22" spans="2:4" ht="18">
      <c r="B22" s="51" t="s">
        <v>20</v>
      </c>
      <c r="C22" s="52">
        <f>C18*'Poroto_verde_rm_2020-21'!G27*'Poroto_verde_rm_2020-21'!I27</f>
        <v>2205000</v>
      </c>
      <c r="D22" s="52">
        <f>D18*'Poroto_verde_rm_2020-21'!G27*'Poroto_verde_rm_2020-21'!I27</f>
        <v>2695000</v>
      </c>
    </row>
    <row r="23" spans="2:4" ht="18">
      <c r="B23" s="17" t="s">
        <v>21</v>
      </c>
      <c r="C23" s="9">
        <f>SUM(C21:C22)</f>
        <v>2465000</v>
      </c>
      <c r="D23" s="9">
        <f>SUM(D21:D22)</f>
        <v>2955000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SUM('Poroto_verde_rm_2020-21'!J31:J39)</f>
        <v>474000</v>
      </c>
      <c r="D26" s="9">
        <f>SUM('Poroto_verde_rm_2020-21'!J31:J39)</f>
        <v>474000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474000</v>
      </c>
      <c r="D28" s="9">
        <f>SUM(D26:D27)</f>
        <v>474000</v>
      </c>
    </row>
    <row r="30" ht="18">
      <c r="B30" s="49" t="s">
        <v>22</v>
      </c>
    </row>
    <row r="31" spans="2:4" ht="18">
      <c r="B31" s="17" t="s">
        <v>19</v>
      </c>
      <c r="C31" s="9">
        <f>SUM('Poroto_verde_rm_2020-21'!J43:J65)</f>
        <v>1514935</v>
      </c>
      <c r="D31" s="9">
        <f>SUM('Poroto_verde_rm_2020-21'!J43:J65)</f>
        <v>1514935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1514935</v>
      </c>
      <c r="D33" s="9">
        <f>SUM(D31:D32)</f>
        <v>1514935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4453935</v>
      </c>
      <c r="D35" s="55">
        <f>D23+D28+D33</f>
        <v>4943935</v>
      </c>
    </row>
    <row r="36" ht="15">
      <c r="B36" s="24"/>
    </row>
    <row r="37" spans="2:4" ht="18">
      <c r="B37" s="53" t="s">
        <v>0</v>
      </c>
      <c r="C37" s="9">
        <f>C35*'Poroto_verde_rm_2020-21'!G69</f>
        <v>222696.75</v>
      </c>
      <c r="D37" s="9">
        <f>D35*D18*'Poroto_verde_rm_2020-21'!G69</f>
        <v>271916.425</v>
      </c>
    </row>
    <row r="38" spans="2:4" ht="18">
      <c r="B38" s="53" t="s">
        <v>12</v>
      </c>
      <c r="C38" s="9">
        <f>C35*'Poroto_verde_rm_2020-21'!E16*'Poroto_verde_rm_2020-21'!E17*0.5</f>
        <v>167022.5625</v>
      </c>
      <c r="D38" s="9">
        <f>D35*'Poroto_verde_rm_2020-21'!E16*'Poroto_verde_rm_2020-21'!E17*0.5</f>
        <v>185397.5625</v>
      </c>
    </row>
    <row r="39" ht="15">
      <c r="B39" s="24"/>
    </row>
    <row r="40" spans="2:4" ht="18">
      <c r="B40" s="54" t="s">
        <v>13</v>
      </c>
      <c r="C40" s="55">
        <f>C35+C37+C38</f>
        <v>4843654.3125</v>
      </c>
      <c r="D40" s="55">
        <f>D35+D37+D38</f>
        <v>5401248.9875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2019-07-01T20:25:17Z</cp:lastPrinted>
  <dcterms:created xsi:type="dcterms:W3CDTF">2012-07-09T18:51:50Z</dcterms:created>
  <dcterms:modified xsi:type="dcterms:W3CDTF">2021-07-26T22:35:20Z</dcterms:modified>
  <cp:category/>
  <cp:version/>
  <cp:contentType/>
  <cp:contentStatus/>
</cp:coreProperties>
</file>