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sandía" sheetId="1" r:id="rId1"/>
    <sheet name="rdto_variable" sheetId="2" r:id="rId2"/>
  </sheets>
  <definedNames>
    <definedName name="_xlfn.IFERROR" hidden="1">#NAME?</definedName>
    <definedName name="_xlnm.Print_Area" localSheetId="0">'sandía'!$A$1:$K$110</definedName>
    <definedName name="costo_financiero">'sandía'!$J$76</definedName>
    <definedName name="imprevistos">'sandía'!$J$72</definedName>
    <definedName name="meses_financiamiento">'sandía'!$E$17</definedName>
    <definedName name="precio_de_venta">'sandía'!$E$14</definedName>
    <definedName name="rendimiento">'sandía'!$E$13</definedName>
    <definedName name="tasa_interes_mensual">'sandía'!$E$16</definedName>
    <definedName name="total_costos">'sandía'!$J$82</definedName>
    <definedName name="total_costos_directos">'sandía'!$J$70</definedName>
    <definedName name="total_costos_indirectos">'sandía'!$J$80</definedName>
    <definedName name="total_insumos">'sandía'!$J$68</definedName>
    <definedName name="total_mano_obra">'sandía'!$J$31</definedName>
    <definedName name="total_maquinaria">'sandía'!$J$41</definedName>
  </definedNames>
  <calcPr fullCalcOnLoad="1"/>
</workbook>
</file>

<file path=xl/sharedStrings.xml><?xml version="1.0" encoding="utf-8"?>
<sst xmlns="http://schemas.openxmlformats.org/spreadsheetml/2006/main" count="206" uniqueCount="134">
  <si>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</si>
  <si>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</si>
  <si>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</si>
  <si>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</si>
  <si>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</si>
  <si>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</si>
  <si>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</si>
  <si>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</si>
  <si>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</si>
  <si>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</si>
  <si>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</si>
  <si>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</si>
  <si>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</si>
  <si>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</si>
  <si>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</si>
  <si>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</si>
  <si>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</si>
  <si>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</si>
  <si>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</si>
  <si>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</si>
  <si>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</si>
  <si>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</si>
  <si>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</si>
  <si>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</si>
  <si>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</si>
  <si>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</si>
  <si>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</si>
  <si>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</si>
  <si>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</si>
  <si>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</si>
  <si>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</si>
  <si>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</si>
  <si>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</si>
  <si>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</si>
  <si>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</si>
  <si>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</si>
  <si>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</si>
  <si>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</si>
  <si>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</si>
  <si>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</si>
  <si>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</si>
  <si>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Kg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</si>
  <si>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</si>
  <si>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</si>
  <si>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</si>
  <si>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</si>
  <si>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</si>
  <si>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</si>
  <si>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</si>
  <si>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</si>
  <si>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</si>
  <si>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</si>
  <si>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</si>
  <si>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Análisis</t>
  </si>
  <si>
    <t>Urea</t>
  </si>
  <si>
    <t>Nitrato de Potasio</t>
  </si>
  <si>
    <t>Rdto original ficha</t>
  </si>
  <si>
    <t>Ponderador/variación</t>
  </si>
  <si>
    <t>Mano de Obra</t>
  </si>
  <si>
    <t>Maquinaria</t>
  </si>
  <si>
    <t>Insumos</t>
  </si>
  <si>
    <t>Cantidad (Q)</t>
  </si>
  <si>
    <t xml:space="preserve">Densidad (Plantas/ha): 7.000 </t>
  </si>
  <si>
    <t>Región Maule</t>
  </si>
  <si>
    <t>Rendimiento (Un/ha):</t>
  </si>
  <si>
    <t>Colocar mulch</t>
  </si>
  <si>
    <t>Octubre</t>
  </si>
  <si>
    <t>Plantación</t>
  </si>
  <si>
    <t>Octubre-febrero</t>
  </si>
  <si>
    <t>Control malezas manual</t>
  </si>
  <si>
    <t>Octubre-noviembre</t>
  </si>
  <si>
    <t>Aplicación fertilizantes</t>
  </si>
  <si>
    <t>Noviembre</t>
  </si>
  <si>
    <t>Aplicación agroquímicos</t>
  </si>
  <si>
    <t>Octubre-enero</t>
  </si>
  <si>
    <t>Cortador de sandía</t>
  </si>
  <si>
    <t>Enero-febrero</t>
  </si>
  <si>
    <t>Cosecha (2)</t>
  </si>
  <si>
    <t xml:space="preserve">Aradura </t>
  </si>
  <si>
    <t>Septiembre-octubre</t>
  </si>
  <si>
    <t>Rastraje</t>
  </si>
  <si>
    <t>Acequiadura</t>
  </si>
  <si>
    <t>Surco de riego definitivo</t>
  </si>
  <si>
    <t>Octubre-diciembre</t>
  </si>
  <si>
    <t>Acarreo de insumos</t>
  </si>
  <si>
    <t>Plántula</t>
  </si>
  <si>
    <t>Noviembre-diciembre</t>
  </si>
  <si>
    <t>Topas 200 EW</t>
  </si>
  <si>
    <t>Octubre-Noviembre</t>
  </si>
  <si>
    <t>Fosfimax 40 - 20</t>
  </si>
  <si>
    <t>Terrasorb foliar</t>
  </si>
  <si>
    <t>Plástico mulch</t>
  </si>
  <si>
    <t>Junio-julio</t>
  </si>
  <si>
    <t>Cinta riego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</si>
  <si>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</si>
  <si>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</si>
  <si>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</si>
  <si>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</si>
  <si>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Manto térmico</t>
  </si>
  <si>
    <t>Fertiriego y Riegos</t>
  </si>
  <si>
    <t>1 ha febrero 2016</t>
  </si>
  <si>
    <t>Rendimiento (Un/ha)</t>
  </si>
  <si>
    <t>Precio ($/Un)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</si>
  <si>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</si>
  <si>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>Costo Unitario ($/Un)</t>
  </si>
  <si>
    <r>
      <t xml:space="preserve">Precio de venta a productor ($/Un): </t>
    </r>
    <r>
      <rPr>
        <b/>
        <vertAlign val="superscript"/>
        <sz val="14"/>
        <rFont val="Arial"/>
        <family val="2"/>
      </rPr>
      <t>(1)</t>
    </r>
  </si>
  <si>
    <t>Fungicidas:</t>
  </si>
  <si>
    <t>Insecticidas:</t>
  </si>
  <si>
    <t>Otros:</t>
  </si>
  <si>
    <t>Fecha cosecha: enero-febrero</t>
  </si>
  <si>
    <t>Fecha plantación: octubre</t>
  </si>
  <si>
    <t>Tecnología: media</t>
  </si>
  <si>
    <t>Sandía en túnel, con mulch</t>
  </si>
  <si>
    <r>
      <t xml:space="preserve">Cosecha </t>
    </r>
    <r>
      <rPr>
        <vertAlign val="superscript"/>
        <sz val="14"/>
        <rFont val="Arial"/>
        <family val="2"/>
      </rPr>
      <t>(2)</t>
    </r>
  </si>
  <si>
    <t>Envolver guías (dos veces)</t>
  </si>
  <si>
    <t>Plástico túnel (dos temporadas)</t>
  </si>
  <si>
    <t>Muriato de Potasio</t>
  </si>
  <si>
    <t>Benomyl 50 PM</t>
  </si>
  <si>
    <t>Karate con tecnología Zeon</t>
  </si>
  <si>
    <t>(1) El precio de la sandía para temprano utilizado en el análisis de sensibilidad, corresponde al promedio de la región durante el periodo de cosecha en el predio en la temporada 2015/16, precio al productor.</t>
  </si>
  <si>
    <t>(2) Sacar sandía con coloso, se lleva a la ramada, seleccionar y cargar el camión.</t>
  </si>
  <si>
    <t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</si>
  <si>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(4) Las dosis y tipos de fertilizantes recomendados son sólo referenciales, deben definirse según un análisis específico del terreno.</t>
  </si>
  <si>
    <t>(5) 1,5% mensual simple sobre el 50% de los costos totales.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</si>
  <si>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</si>
  <si>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</si>
  <si>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t>Régimen hídrico: por goteo y surco</t>
  </si>
  <si>
    <t>Melgadura - confección de mesa - rotovator</t>
  </si>
  <si>
    <t>Trigard 75 WP</t>
  </si>
  <si>
    <t>Manzate WG</t>
  </si>
  <si>
    <t xml:space="preserve">Fertilizantes: </t>
  </si>
  <si>
    <t>Plantas</t>
  </si>
  <si>
    <t>Destino de producción: consumo fresco</t>
  </si>
  <si>
    <t>Variedad: Catira; Delta; Lady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</si>
</sst>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29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3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3" fillId="34" borderId="0" xfId="0" applyNumberFormat="1" applyFont="1" applyFill="1" applyAlignment="1">
      <alignment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8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8" applyFont="1" applyFill="1" applyBorder="1" applyAlignment="1" applyProtection="1">
      <alignment horizontal="center"/>
      <protection/>
    </xf>
    <xf numFmtId="4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7" fillId="0" borderId="0" xfId="58" applyFont="1" applyFill="1" applyBorder="1" applyAlignment="1">
      <alignment horizontal="left"/>
      <protection/>
    </xf>
    <xf numFmtId="0" fontId="67" fillId="0" borderId="0" xfId="58" applyFont="1" applyFill="1" applyBorder="1" applyAlignment="1">
      <alignment horizontal="center"/>
      <protection/>
    </xf>
    <xf numFmtId="180" fontId="67" fillId="0" borderId="0" xfId="69" applyFont="1" applyFill="1" applyBorder="1" applyAlignment="1" applyProtection="1">
      <alignment horizontal="left"/>
      <protection/>
    </xf>
    <xf numFmtId="0" fontId="67" fillId="0" borderId="0" xfId="58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180" fontId="67" fillId="0" borderId="0" xfId="69" applyFont="1" applyFill="1" applyBorder="1" applyAlignment="1" applyProtection="1">
      <alignment horizontal="right"/>
      <protection/>
    </xf>
    <xf numFmtId="3" fontId="67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7" fillId="23" borderId="21" xfId="58" applyNumberFormat="1" applyFont="1" applyFill="1" applyBorder="1" applyAlignment="1" applyProtection="1">
      <alignment horizontal="center" vertical="center" wrapText="1"/>
      <protection/>
    </xf>
    <xf numFmtId="0" fontId="67" fillId="23" borderId="21" xfId="58" applyFont="1" applyFill="1" applyBorder="1" applyAlignment="1" applyProtection="1">
      <alignment horizontal="center" vertical="center" wrapText="1"/>
      <protection/>
    </xf>
    <xf numFmtId="3" fontId="67" fillId="23" borderId="21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3" fillId="34" borderId="0" xfId="0" applyNumberFormat="1" applyFont="1" applyFill="1" applyBorder="1" applyAlignment="1">
      <alignment/>
    </xf>
    <xf numFmtId="2" fontId="64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8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180" fontId="68" fillId="34" borderId="11" xfId="69" applyFont="1" applyFill="1" applyBorder="1" applyAlignment="1" applyProtection="1">
      <alignment/>
      <protection/>
    </xf>
    <xf numFmtId="180" fontId="68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8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69" fillId="34" borderId="21" xfId="69" applyNumberFormat="1" applyFont="1" applyFill="1" applyBorder="1" applyAlignment="1" applyProtection="1">
      <alignment horizontal="left"/>
      <protection/>
    </xf>
    <xf numFmtId="0" fontId="69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7" fillId="23" borderId="19" xfId="58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5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5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80" fontId="10" fillId="0" borderId="20" xfId="69" applyFont="1" applyFill="1" applyBorder="1" applyAlignment="1" applyProtection="1">
      <alignment/>
      <protection/>
    </xf>
    <xf numFmtId="180" fontId="10" fillId="0" borderId="0" xfId="69" applyFont="1" applyFill="1" applyBorder="1" applyAlignment="1" applyProtection="1">
      <alignment/>
      <protection/>
    </xf>
    <xf numFmtId="0" fontId="63" fillId="0" borderId="0" xfId="0" applyFont="1" applyBorder="1" applyAlignment="1">
      <alignment/>
    </xf>
    <xf numFmtId="0" fontId="64" fillId="34" borderId="18" xfId="0" applyFont="1" applyFill="1" applyBorder="1" applyAlignment="1">
      <alignment/>
    </xf>
    <xf numFmtId="2" fontId="8" fillId="34" borderId="13" xfId="69" applyNumberFormat="1" applyFont="1" applyFill="1" applyBorder="1" applyAlignment="1">
      <alignment/>
      <protection/>
    </xf>
    <xf numFmtId="2" fontId="8" fillId="0" borderId="13" xfId="69" applyNumberFormat="1" applyFont="1" applyFill="1" applyBorder="1" applyAlignment="1">
      <alignment/>
      <protection/>
    </xf>
    <xf numFmtId="0" fontId="0" fillId="0" borderId="13" xfId="0" applyBorder="1" applyAlignment="1">
      <alignment/>
    </xf>
    <xf numFmtId="181" fontId="10" fillId="34" borderId="19" xfId="58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81" fontId="10" fillId="34" borderId="24" xfId="58" applyNumberFormat="1" applyFont="1" applyFill="1" applyBorder="1" applyAlignment="1" applyProtection="1">
      <alignment horizontal="right"/>
      <protection/>
    </xf>
    <xf numFmtId="2" fontId="10" fillId="34" borderId="17" xfId="58" applyNumberFormat="1" applyFont="1" applyFill="1" applyBorder="1" applyAlignment="1" applyProtection="1">
      <alignment horizontal="right"/>
      <protection/>
    </xf>
    <xf numFmtId="3" fontId="10" fillId="34" borderId="14" xfId="69" applyNumberFormat="1" applyFont="1" applyFill="1" applyBorder="1" applyAlignment="1" applyProtection="1">
      <alignment horizontal="right"/>
      <protection/>
    </xf>
    <xf numFmtId="2" fontId="10" fillId="34" borderId="22" xfId="58" applyNumberFormat="1" applyFont="1" applyFill="1" applyBorder="1" applyAlignment="1" applyProtection="1">
      <alignment horizontal="right"/>
      <protection/>
    </xf>
    <xf numFmtId="3" fontId="10" fillId="34" borderId="0" xfId="69" applyNumberFormat="1" applyFont="1" applyFill="1" applyBorder="1" applyAlignment="1" applyProtection="1">
      <alignment horizontal="right"/>
      <protection/>
    </xf>
    <xf numFmtId="2" fontId="10" fillId="34" borderId="24" xfId="58" applyNumberFormat="1" applyFont="1" applyFill="1" applyBorder="1" applyAlignment="1" applyProtection="1">
      <alignment horizontal="right"/>
      <protection/>
    </xf>
    <xf numFmtId="3" fontId="10" fillId="34" borderId="13" xfId="69" applyNumberFormat="1" applyFont="1" applyFill="1" applyBorder="1" applyAlignment="1" applyProtection="1">
      <alignment horizontal="right"/>
      <protection/>
    </xf>
    <xf numFmtId="0" fontId="10" fillId="34" borderId="19" xfId="58" applyFont="1" applyFill="1" applyBorder="1" applyAlignment="1" applyProtection="1">
      <alignment horizontal="right"/>
      <protection/>
    </xf>
    <xf numFmtId="3" fontId="10" fillId="34" borderId="19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horizontal="right"/>
      <protection/>
    </xf>
    <xf numFmtId="181" fontId="10" fillId="34" borderId="22" xfId="69" applyNumberFormat="1" applyFont="1" applyFill="1" applyBorder="1" applyAlignment="1" applyProtection="1">
      <alignment horizontal="right"/>
      <protection/>
    </xf>
    <xf numFmtId="180" fontId="10" fillId="34" borderId="11" xfId="69" applyFont="1" applyFill="1" applyBorder="1" applyAlignment="1">
      <alignment horizontal="right"/>
      <protection/>
    </xf>
    <xf numFmtId="180" fontId="10" fillId="34" borderId="20" xfId="69" applyFont="1" applyFill="1" applyBorder="1" applyAlignment="1" applyProtection="1">
      <alignment horizontal="left"/>
      <protection/>
    </xf>
    <xf numFmtId="180" fontId="10" fillId="34" borderId="0" xfId="69" applyFont="1" applyFill="1" applyBorder="1" applyAlignment="1" applyProtection="1">
      <alignment horizontal="left"/>
      <protection/>
    </xf>
    <xf numFmtId="180" fontId="10" fillId="34" borderId="13" xfId="69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right"/>
      <protection/>
    </xf>
    <xf numFmtId="3" fontId="10" fillId="34" borderId="16" xfId="58" applyNumberFormat="1" applyFont="1" applyFill="1" applyBorder="1" applyAlignment="1" applyProtection="1">
      <alignment horizontal="right"/>
      <protection/>
    </xf>
    <xf numFmtId="180" fontId="8" fillId="0" borderId="0" xfId="69" applyFont="1" applyFill="1" applyBorder="1" applyAlignment="1" applyProtection="1">
      <alignment/>
      <protection/>
    </xf>
    <xf numFmtId="3" fontId="10" fillId="0" borderId="13" xfId="58" applyNumberFormat="1" applyFont="1" applyFill="1" applyBorder="1" applyAlignment="1">
      <alignment/>
      <protection/>
    </xf>
    <xf numFmtId="3" fontId="68" fillId="34" borderId="11" xfId="69" applyNumberFormat="1" applyFont="1" applyFill="1" applyBorder="1" applyAlignment="1">
      <alignment/>
      <protection/>
    </xf>
    <xf numFmtId="0" fontId="64" fillId="0" borderId="0" xfId="0" applyFont="1" applyBorder="1" applyAlignment="1">
      <alignment/>
    </xf>
    <xf numFmtId="2" fontId="10" fillId="0" borderId="0" xfId="69" applyNumberFormat="1" applyFont="1" applyFill="1" applyBorder="1" applyAlignment="1">
      <alignment/>
      <protection/>
    </xf>
    <xf numFmtId="3" fontId="8" fillId="0" borderId="0" xfId="69" applyNumberFormat="1" applyFont="1" applyFill="1" applyBorder="1" applyAlignment="1">
      <alignment/>
      <protection/>
    </xf>
    <xf numFmtId="181" fontId="10" fillId="34" borderId="14" xfId="58" applyNumberFormat="1" applyFont="1" applyFill="1" applyBorder="1" applyAlignment="1" applyProtection="1">
      <alignment horizontal="right"/>
      <protection/>
    </xf>
    <xf numFmtId="181" fontId="10" fillId="34" borderId="0" xfId="58" applyNumberFormat="1" applyFont="1" applyFill="1" applyBorder="1" applyAlignment="1" applyProtection="1">
      <alignment horizontal="right"/>
      <protection/>
    </xf>
    <xf numFmtId="181" fontId="10" fillId="34" borderId="20" xfId="58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67" fillId="23" borderId="14" xfId="58" applyNumberFormat="1" applyFont="1" applyFill="1" applyBorder="1" applyAlignment="1" applyProtection="1">
      <alignment horizontal="center" vertical="center" wrapText="1"/>
      <protection/>
    </xf>
    <xf numFmtId="181" fontId="10" fillId="34" borderId="18" xfId="58" applyNumberFormat="1" applyFont="1" applyFill="1" applyBorder="1" applyAlignment="1" applyProtection="1">
      <alignment horizontal="right"/>
      <protection/>
    </xf>
    <xf numFmtId="3" fontId="10" fillId="34" borderId="16" xfId="69" applyNumberFormat="1" applyFont="1" applyFill="1" applyBorder="1" applyAlignment="1" applyProtection="1">
      <alignment horizontal="right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7" xfId="69" applyNumberFormat="1" applyFont="1" applyFill="1" applyBorder="1" applyAlignment="1" applyProtection="1">
      <alignment/>
      <protection/>
    </xf>
    <xf numFmtId="0" fontId="10" fillId="34" borderId="14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3" fontId="10" fillId="0" borderId="17" xfId="55" applyNumberFormat="1" applyFont="1" applyFill="1" applyBorder="1" applyAlignment="1">
      <alignment horizontal="left" vertical="top" wrapText="1"/>
      <protection/>
    </xf>
    <xf numFmtId="3" fontId="10" fillId="0" borderId="14" xfId="55" applyNumberFormat="1" applyFont="1" applyFill="1" applyBorder="1" applyAlignment="1">
      <alignment horizontal="left" vertical="top" wrapText="1"/>
      <protection/>
    </xf>
    <xf numFmtId="3" fontId="10" fillId="0" borderId="19" xfId="55" applyNumberFormat="1" applyFont="1" applyFill="1" applyBorder="1" applyAlignment="1">
      <alignment horizontal="left" vertical="top" wrapText="1"/>
      <protection/>
    </xf>
    <xf numFmtId="3" fontId="10" fillId="34" borderId="20" xfId="55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3" fontId="10" fillId="0" borderId="20" xfId="55" applyNumberFormat="1" applyFont="1" applyFill="1" applyBorder="1" applyAlignment="1">
      <alignment horizontal="left" vertical="top" wrapText="1"/>
      <protection/>
    </xf>
    <xf numFmtId="0" fontId="10" fillId="0" borderId="20" xfId="58" applyFont="1" applyFill="1" applyBorder="1" applyAlignment="1">
      <alignment horizontal="left" vertical="top" wrapText="1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12" xfId="58" applyFont="1" applyFill="1" applyBorder="1" applyAlignment="1">
      <alignment horizontal="center"/>
      <protection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center" vertical="center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0" fontId="66" fillId="40" borderId="17" xfId="0" applyFont="1" applyFill="1" applyBorder="1" applyAlignment="1">
      <alignment horizontal="center" vertical="center"/>
    </xf>
    <xf numFmtId="0" fontId="66" fillId="40" borderId="14" xfId="0" applyFont="1" applyFill="1" applyBorder="1" applyAlignment="1">
      <alignment horizontal="center" vertical="center"/>
    </xf>
    <xf numFmtId="0" fontId="66" fillId="40" borderId="19" xfId="0" applyFont="1" applyFill="1" applyBorder="1" applyAlignment="1">
      <alignment horizontal="center" vertical="center"/>
    </xf>
    <xf numFmtId="0" fontId="66" fillId="40" borderId="18" xfId="0" applyFont="1" applyFill="1" applyBorder="1" applyAlignment="1">
      <alignment horizontal="center" vertical="center"/>
    </xf>
    <xf numFmtId="0" fontId="66" fillId="40" borderId="13" xfId="0" applyFont="1" applyFill="1" applyBorder="1" applyAlignment="1">
      <alignment horizontal="center" vertical="center"/>
    </xf>
    <xf numFmtId="0" fontId="66" fillId="40" borderId="16" xfId="0" applyFont="1" applyFill="1" applyBorder="1" applyAlignment="1">
      <alignment horizontal="center" vertical="center"/>
    </xf>
    <xf numFmtId="0" fontId="66" fillId="40" borderId="17" xfId="0" applyFont="1" applyFill="1" applyBorder="1" applyAlignment="1">
      <alignment horizontal="center"/>
    </xf>
    <xf numFmtId="0" fontId="66" fillId="40" borderId="14" xfId="0" applyFont="1" applyFill="1" applyBorder="1" applyAlignment="1">
      <alignment horizontal="center"/>
    </xf>
    <xf numFmtId="0" fontId="66" fillId="40" borderId="19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6" fillId="40" borderId="18" xfId="0" applyFont="1" applyFill="1" applyBorder="1" applyAlignment="1">
      <alignment horizontal="center"/>
    </xf>
    <xf numFmtId="0" fontId="66" fillId="40" borderId="13" xfId="0" applyFont="1" applyFill="1" applyBorder="1" applyAlignment="1">
      <alignment horizontal="center"/>
    </xf>
    <xf numFmtId="0" fontId="66" fillId="40" borderId="16" xfId="0" applyFont="1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80" fontId="67" fillId="0" borderId="0" xfId="69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0" fontId="10" fillId="0" borderId="18" xfId="58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0" fillId="34" borderId="17" xfId="58" applyFont="1" applyFill="1" applyBorder="1" applyAlignment="1">
      <alignment horizontal="center"/>
      <protection/>
    </xf>
    <xf numFmtId="0" fontId="10" fillId="34" borderId="14" xfId="58" applyFont="1" applyFill="1" applyBorder="1" applyAlignment="1">
      <alignment horizont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10" fillId="34" borderId="18" xfId="58" applyFont="1" applyFill="1" applyBorder="1" applyAlignment="1">
      <alignment horizontal="center"/>
      <protection/>
    </xf>
    <xf numFmtId="0" fontId="10" fillId="34" borderId="13" xfId="58" applyFont="1" applyFill="1" applyBorder="1" applyAlignment="1">
      <alignment horizontal="center"/>
      <protection/>
    </xf>
    <xf numFmtId="0" fontId="66" fillId="23" borderId="25" xfId="58" applyFont="1" applyFill="1" applyBorder="1" applyAlignment="1" applyProtection="1">
      <alignment horizontal="left"/>
      <protection/>
    </xf>
    <xf numFmtId="0" fontId="66" fillId="23" borderId="2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 vertical="center"/>
      <protection/>
    </xf>
    <xf numFmtId="0" fontId="10" fillId="34" borderId="0" xfId="58" applyFont="1" applyFill="1" applyBorder="1" applyAlignment="1">
      <alignment horizontal="center" vertical="center"/>
      <protection/>
    </xf>
    <xf numFmtId="0" fontId="10" fillId="34" borderId="17" xfId="58" applyFont="1" applyFill="1" applyBorder="1" applyAlignment="1">
      <alignment horizontal="center" vertical="top" wrapText="1"/>
      <protection/>
    </xf>
    <xf numFmtId="0" fontId="10" fillId="34" borderId="19" xfId="58" applyFont="1" applyFill="1" applyBorder="1" applyAlignment="1">
      <alignment horizontal="center" vertical="top" wrapText="1"/>
      <protection/>
    </xf>
    <xf numFmtId="17" fontId="66" fillId="41" borderId="25" xfId="69" applyNumberFormat="1" applyFont="1" applyFill="1" applyBorder="1" applyAlignment="1" applyProtection="1">
      <alignment horizontal="center"/>
      <protection/>
    </xf>
    <xf numFmtId="17" fontId="66" fillId="41" borderId="21" xfId="69" applyNumberFormat="1" applyFont="1" applyFill="1" applyBorder="1" applyAlignment="1" applyProtection="1">
      <alignment horizontal="center"/>
      <protection/>
    </xf>
    <xf numFmtId="17" fontId="66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6" fillId="41" borderId="17" xfId="57" applyFont="1" applyFill="1" applyBorder="1" applyAlignment="1">
      <alignment horizontal="center"/>
      <protection/>
    </xf>
    <xf numFmtId="0" fontId="66" fillId="41" borderId="14" xfId="57" applyFont="1" applyFill="1" applyBorder="1" applyAlignment="1">
      <alignment horizontal="center"/>
      <protection/>
    </xf>
    <xf numFmtId="0" fontId="66" fillId="41" borderId="19" xfId="57" applyFont="1" applyFill="1" applyBorder="1" applyAlignment="1">
      <alignment horizontal="center"/>
      <protection/>
    </xf>
    <xf numFmtId="0" fontId="66" fillId="41" borderId="25" xfId="57" applyFont="1" applyFill="1" applyBorder="1" applyAlignment="1">
      <alignment horizontal="center"/>
      <protection/>
    </xf>
    <xf numFmtId="0" fontId="66" fillId="41" borderId="21" xfId="57" applyFont="1" applyFill="1" applyBorder="1" applyAlignment="1">
      <alignment horizontal="center"/>
      <protection/>
    </xf>
    <xf numFmtId="0" fontId="66" fillId="41" borderId="15" xfId="57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 wrapText="1"/>
      <protection/>
    </xf>
    <xf numFmtId="0" fontId="10" fillId="34" borderId="19" xfId="58" applyFont="1" applyFill="1" applyBorder="1" applyAlignment="1">
      <alignment horizontal="center" wrapText="1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>
      <alignment horizontal="center"/>
      <protection/>
    </xf>
    <xf numFmtId="0" fontId="67" fillId="23" borderId="25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5898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2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12" t="s">
        <v>8</v>
      </c>
      <c r="C2" s="312"/>
      <c r="D2" s="312"/>
      <c r="E2" s="312"/>
      <c r="F2" s="312"/>
      <c r="G2" s="312"/>
      <c r="H2" s="312"/>
      <c r="I2" s="312"/>
      <c r="J2" s="312"/>
    </row>
    <row r="3" spans="2:11" s="3" customFormat="1" ht="18" customHeight="1">
      <c r="B3" s="83"/>
      <c r="C3" s="106"/>
      <c r="D3" s="106"/>
      <c r="E3" s="313" t="s">
        <v>112</v>
      </c>
      <c r="F3" s="313"/>
      <c r="G3" s="313"/>
      <c r="H3" s="106"/>
      <c r="I3" s="107"/>
      <c r="J3" s="106"/>
      <c r="K3" s="14"/>
    </row>
    <row r="4" spans="2:11" s="3" customFormat="1" ht="18" customHeight="1">
      <c r="B4" s="83"/>
      <c r="C4" s="106"/>
      <c r="D4" s="313" t="s">
        <v>63</v>
      </c>
      <c r="E4" s="313"/>
      <c r="F4" s="313"/>
      <c r="G4" s="313"/>
      <c r="H4" s="313"/>
      <c r="I4" s="106"/>
      <c r="J4" s="106"/>
      <c r="K4" s="14"/>
    </row>
    <row r="5" spans="2:11" s="3" customFormat="1" ht="18" customHeight="1">
      <c r="B5" s="40"/>
      <c r="C5" s="40"/>
      <c r="D5" s="108"/>
      <c r="E5" s="42"/>
      <c r="F5" s="42"/>
      <c r="G5" s="91"/>
      <c r="H5" s="42"/>
      <c r="I5" s="40"/>
      <c r="J5" s="109"/>
      <c r="K5" s="16"/>
    </row>
    <row r="6" spans="2:11" s="3" customFormat="1" ht="18" customHeight="1">
      <c r="B6" s="40"/>
      <c r="C6" s="40"/>
      <c r="D6" s="306" t="s">
        <v>45</v>
      </c>
      <c r="E6" s="307"/>
      <c r="F6" s="307"/>
      <c r="G6" s="307"/>
      <c r="H6" s="307"/>
      <c r="I6" s="307"/>
      <c r="J6" s="308"/>
      <c r="K6" s="16"/>
    </row>
    <row r="7" spans="2:11" s="3" customFormat="1" ht="18" customHeight="1">
      <c r="B7" s="40"/>
      <c r="C7" s="40"/>
      <c r="D7" s="165" t="s">
        <v>100</v>
      </c>
      <c r="E7" s="194"/>
      <c r="F7" s="194"/>
      <c r="G7" s="195" t="s">
        <v>133</v>
      </c>
      <c r="H7" s="167"/>
      <c r="I7" s="196"/>
      <c r="J7" s="193"/>
      <c r="K7" s="16"/>
    </row>
    <row r="8" spans="2:11" s="3" customFormat="1" ht="18" customHeight="1">
      <c r="B8" s="40"/>
      <c r="C8" s="40"/>
      <c r="D8" s="165" t="s">
        <v>126</v>
      </c>
      <c r="E8" s="166"/>
      <c r="F8" s="166"/>
      <c r="G8" s="166" t="s">
        <v>132</v>
      </c>
      <c r="H8" s="167"/>
      <c r="I8" s="191"/>
      <c r="J8" s="119"/>
      <c r="K8" s="16"/>
    </row>
    <row r="9" spans="2:11" s="3" customFormat="1" ht="18" customHeight="1">
      <c r="B9" s="40"/>
      <c r="C9" s="40"/>
      <c r="D9" s="165" t="s">
        <v>62</v>
      </c>
      <c r="E9" s="166"/>
      <c r="F9" s="166"/>
      <c r="G9" s="166" t="s">
        <v>111</v>
      </c>
      <c r="H9" s="167"/>
      <c r="I9" s="191"/>
      <c r="J9" s="119"/>
      <c r="K9" s="18"/>
    </row>
    <row r="10" spans="2:11" s="3" customFormat="1" ht="18" customHeight="1">
      <c r="B10" s="40"/>
      <c r="C10" s="40"/>
      <c r="D10" s="168" t="s">
        <v>110</v>
      </c>
      <c r="E10" s="169"/>
      <c r="F10" s="170"/>
      <c r="G10" s="85" t="s">
        <v>109</v>
      </c>
      <c r="H10" s="171"/>
      <c r="I10" s="192"/>
      <c r="J10" s="120"/>
      <c r="K10" s="18"/>
    </row>
    <row r="11" spans="2:11" s="3" customFormat="1" ht="18" customHeight="1">
      <c r="B11" s="40"/>
      <c r="C11" s="40"/>
      <c r="D11" s="26"/>
      <c r="E11" s="82"/>
      <c r="F11" s="82"/>
      <c r="G11" s="26"/>
      <c r="H11" s="83"/>
      <c r="I11" s="84"/>
      <c r="J11" s="116"/>
      <c r="K11" s="18"/>
    </row>
    <row r="12" spans="2:11" ht="18">
      <c r="B12" s="314" t="s">
        <v>46</v>
      </c>
      <c r="C12" s="315"/>
      <c r="D12" s="315"/>
      <c r="E12" s="316"/>
      <c r="F12" s="39"/>
      <c r="G12" s="317" t="s">
        <v>14</v>
      </c>
      <c r="H12" s="318"/>
      <c r="I12" s="318"/>
      <c r="J12" s="319"/>
      <c r="K12" s="16"/>
    </row>
    <row r="13" spans="2:11" ht="18">
      <c r="B13" s="94" t="s">
        <v>64</v>
      </c>
      <c r="C13" s="95"/>
      <c r="D13" s="81"/>
      <c r="E13" s="121">
        <v>9000</v>
      </c>
      <c r="F13" s="40"/>
      <c r="G13" s="98" t="s">
        <v>7</v>
      </c>
      <c r="H13" s="81"/>
      <c r="I13" s="81"/>
      <c r="J13" s="99">
        <f>rendimiento*precio_de_venta</f>
        <v>8100000</v>
      </c>
      <c r="K13" s="16"/>
    </row>
    <row r="14" spans="2:11" ht="21">
      <c r="B14" s="310" t="s">
        <v>105</v>
      </c>
      <c r="C14" s="311"/>
      <c r="D14" s="311"/>
      <c r="E14" s="122">
        <v>900</v>
      </c>
      <c r="F14" s="40"/>
      <c r="G14" s="100" t="s">
        <v>10</v>
      </c>
      <c r="H14" s="40"/>
      <c r="I14" s="40"/>
      <c r="J14" s="101">
        <f>total_mano_obra+total_maquinaria+total_insumos+imprevistos</f>
        <v>3651930.2399999998</v>
      </c>
      <c r="K14" s="16"/>
    </row>
    <row r="15" spans="2:11" ht="18">
      <c r="B15" s="118" t="s">
        <v>9</v>
      </c>
      <c r="C15" s="41"/>
      <c r="D15" s="40"/>
      <c r="E15" s="122">
        <v>13000</v>
      </c>
      <c r="F15" s="40"/>
      <c r="G15" s="100" t="s">
        <v>11</v>
      </c>
      <c r="H15" s="42"/>
      <c r="I15" s="40"/>
      <c r="J15" s="101">
        <f>total_mano_obra+total_maquinaria+total_insumos+imprevistos+total_costos_indirectos</f>
        <v>3782356.32</v>
      </c>
      <c r="K15" s="16"/>
    </row>
    <row r="16" spans="2:11" ht="18">
      <c r="B16" s="118" t="s">
        <v>4</v>
      </c>
      <c r="C16" s="43"/>
      <c r="D16" s="40"/>
      <c r="E16" s="123">
        <v>0.015</v>
      </c>
      <c r="F16" s="40"/>
      <c r="G16" s="100" t="s">
        <v>12</v>
      </c>
      <c r="H16" s="40"/>
      <c r="I16" s="40"/>
      <c r="J16" s="101">
        <f>J13-J14</f>
        <v>4448069.76</v>
      </c>
      <c r="K16" s="16"/>
    </row>
    <row r="17" spans="2:11" ht="18">
      <c r="B17" s="96" t="s">
        <v>5</v>
      </c>
      <c r="C17" s="97"/>
      <c r="D17" s="85"/>
      <c r="E17" s="124">
        <v>5</v>
      </c>
      <c r="F17" s="40"/>
      <c r="G17" s="100" t="s">
        <v>13</v>
      </c>
      <c r="H17" s="40"/>
      <c r="I17" s="40"/>
      <c r="J17" s="101">
        <f>J13-J15</f>
        <v>4317643.68</v>
      </c>
      <c r="K17" s="16"/>
    </row>
    <row r="18" spans="2:11" ht="18">
      <c r="B18" s="125"/>
      <c r="C18" s="43"/>
      <c r="D18" s="40"/>
      <c r="E18" s="126"/>
      <c r="F18" s="40"/>
      <c r="G18" s="127" t="s">
        <v>42</v>
      </c>
      <c r="H18" s="85"/>
      <c r="I18" s="128"/>
      <c r="J18" s="129">
        <f>total_costos/rendimiento</f>
        <v>420.2618133333333</v>
      </c>
      <c r="K18" s="16"/>
    </row>
    <row r="19" spans="2:11" s="3" customFormat="1" ht="18">
      <c r="B19" s="40"/>
      <c r="C19" s="40"/>
      <c r="D19" s="40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1" t="s">
        <v>43</v>
      </c>
      <c r="C20" s="110"/>
      <c r="D20" s="110"/>
      <c r="E20" s="309" t="s">
        <v>15</v>
      </c>
      <c r="F20" s="309"/>
      <c r="G20" s="130" t="s">
        <v>16</v>
      </c>
      <c r="H20" s="131" t="s">
        <v>17</v>
      </c>
      <c r="I20" s="132" t="s">
        <v>50</v>
      </c>
      <c r="J20" s="133" t="s">
        <v>3</v>
      </c>
      <c r="K20" s="16"/>
    </row>
    <row r="21" spans="2:11" s="3" customFormat="1" ht="18">
      <c r="B21" s="300" t="s">
        <v>19</v>
      </c>
      <c r="C21" s="301"/>
      <c r="D21" s="301"/>
      <c r="E21" s="237"/>
      <c r="F21" s="237"/>
      <c r="G21" s="102"/>
      <c r="H21" s="103"/>
      <c r="I21" s="202"/>
      <c r="J21" s="105"/>
      <c r="K21" s="16"/>
    </row>
    <row r="22" spans="2:11" s="3" customFormat="1" ht="18">
      <c r="B22" s="322" t="s">
        <v>65</v>
      </c>
      <c r="C22" s="323"/>
      <c r="D22" s="324"/>
      <c r="E22" s="320" t="s">
        <v>66</v>
      </c>
      <c r="F22" s="321"/>
      <c r="G22" s="172">
        <v>8</v>
      </c>
      <c r="H22" s="197" t="s">
        <v>6</v>
      </c>
      <c r="I22" s="137">
        <f>$E$15</f>
        <v>13000</v>
      </c>
      <c r="J22" s="200">
        <f>G22*I22</f>
        <v>104000</v>
      </c>
      <c r="K22" s="16"/>
    </row>
    <row r="23" spans="2:11" s="3" customFormat="1" ht="18">
      <c r="B23" s="162" t="s">
        <v>67</v>
      </c>
      <c r="C23" s="163"/>
      <c r="D23" s="164"/>
      <c r="E23" s="229" t="s">
        <v>66</v>
      </c>
      <c r="F23" s="231"/>
      <c r="G23" s="77">
        <v>7</v>
      </c>
      <c r="H23" s="198" t="s">
        <v>6</v>
      </c>
      <c r="I23" s="135">
        <f aca="true" t="shared" si="0" ref="I23:I28">$E$15</f>
        <v>13000</v>
      </c>
      <c r="J23" s="201">
        <f aca="true" t="shared" si="1" ref="J23:J30">G23*I23</f>
        <v>91000</v>
      </c>
      <c r="K23" s="16"/>
    </row>
    <row r="24" spans="2:11" s="3" customFormat="1" ht="18">
      <c r="B24" s="280" t="s">
        <v>99</v>
      </c>
      <c r="C24" s="281"/>
      <c r="D24" s="282"/>
      <c r="E24" s="229" t="s">
        <v>68</v>
      </c>
      <c r="F24" s="231"/>
      <c r="G24" s="134">
        <v>12</v>
      </c>
      <c r="H24" s="199" t="s">
        <v>6</v>
      </c>
      <c r="I24" s="135">
        <f t="shared" si="0"/>
        <v>13000</v>
      </c>
      <c r="J24" s="201">
        <f t="shared" si="1"/>
        <v>156000</v>
      </c>
      <c r="K24" s="16"/>
    </row>
    <row r="25" spans="2:11" s="3" customFormat="1" ht="18">
      <c r="B25" s="280" t="s">
        <v>69</v>
      </c>
      <c r="C25" s="281"/>
      <c r="D25" s="282"/>
      <c r="E25" s="229" t="s">
        <v>70</v>
      </c>
      <c r="F25" s="231"/>
      <c r="G25" s="134">
        <v>6</v>
      </c>
      <c r="H25" s="199" t="s">
        <v>6</v>
      </c>
      <c r="I25" s="135">
        <f t="shared" si="0"/>
        <v>13000</v>
      </c>
      <c r="J25" s="201">
        <f t="shared" si="1"/>
        <v>78000</v>
      </c>
      <c r="K25" s="16"/>
    </row>
    <row r="26" spans="2:11" s="3" customFormat="1" ht="18">
      <c r="B26" s="280" t="s">
        <v>71</v>
      </c>
      <c r="C26" s="281"/>
      <c r="D26" s="282"/>
      <c r="E26" s="229" t="s">
        <v>70</v>
      </c>
      <c r="F26" s="231"/>
      <c r="G26" s="134">
        <v>3</v>
      </c>
      <c r="H26" s="199" t="s">
        <v>6</v>
      </c>
      <c r="I26" s="135">
        <f t="shared" si="0"/>
        <v>13000</v>
      </c>
      <c r="J26" s="201">
        <f t="shared" si="1"/>
        <v>39000</v>
      </c>
      <c r="K26" s="16"/>
    </row>
    <row r="27" spans="2:11" s="3" customFormat="1" ht="18">
      <c r="B27" s="280" t="s">
        <v>114</v>
      </c>
      <c r="C27" s="281"/>
      <c r="D27" s="282"/>
      <c r="E27" s="229" t="s">
        <v>72</v>
      </c>
      <c r="F27" s="231"/>
      <c r="G27" s="134">
        <v>4</v>
      </c>
      <c r="H27" s="199" t="s">
        <v>6</v>
      </c>
      <c r="I27" s="135">
        <f t="shared" si="0"/>
        <v>13000</v>
      </c>
      <c r="J27" s="201">
        <f t="shared" si="1"/>
        <v>52000</v>
      </c>
      <c r="K27" s="16"/>
    </row>
    <row r="28" spans="2:11" s="3" customFormat="1" ht="18">
      <c r="B28" s="280" t="s">
        <v>73</v>
      </c>
      <c r="C28" s="281"/>
      <c r="D28" s="282"/>
      <c r="E28" s="229" t="s">
        <v>74</v>
      </c>
      <c r="F28" s="231"/>
      <c r="G28" s="134">
        <v>4</v>
      </c>
      <c r="H28" s="199" t="s">
        <v>6</v>
      </c>
      <c r="I28" s="135">
        <f t="shared" si="0"/>
        <v>13000</v>
      </c>
      <c r="J28" s="201">
        <f t="shared" si="1"/>
        <v>52000</v>
      </c>
      <c r="K28" s="16"/>
    </row>
    <row r="29" spans="2:11" s="3" customFormat="1" ht="18">
      <c r="B29" s="162" t="s">
        <v>75</v>
      </c>
      <c r="C29" s="163"/>
      <c r="D29" s="173"/>
      <c r="E29" s="230" t="s">
        <v>76</v>
      </c>
      <c r="F29" s="231"/>
      <c r="G29" s="134">
        <f>rdto_variable!E5*rdto_variable!C2</f>
        <v>9000</v>
      </c>
      <c r="H29" s="199" t="s">
        <v>17</v>
      </c>
      <c r="I29" s="135">
        <v>12</v>
      </c>
      <c r="J29" s="201">
        <f t="shared" si="1"/>
        <v>108000</v>
      </c>
      <c r="K29" s="16"/>
    </row>
    <row r="30" spans="2:11" s="3" customFormat="1" ht="21">
      <c r="B30" s="276" t="s">
        <v>113</v>
      </c>
      <c r="C30" s="277"/>
      <c r="D30" s="278"/>
      <c r="E30" s="298" t="s">
        <v>76</v>
      </c>
      <c r="F30" s="325"/>
      <c r="G30" s="174">
        <f>rdto_variable!E6*rdto_variable!C2</f>
        <v>9000</v>
      </c>
      <c r="H30" s="203" t="s">
        <v>17</v>
      </c>
      <c r="I30" s="138">
        <v>70</v>
      </c>
      <c r="J30" s="204">
        <f t="shared" si="1"/>
        <v>630000</v>
      </c>
      <c r="K30" s="16"/>
    </row>
    <row r="31" spans="2:11" ht="18">
      <c r="B31" s="296" t="s">
        <v>20</v>
      </c>
      <c r="C31" s="297"/>
      <c r="D31" s="297"/>
      <c r="E31" s="297"/>
      <c r="F31" s="297"/>
      <c r="G31" s="297"/>
      <c r="H31" s="297"/>
      <c r="I31" s="297"/>
      <c r="J31" s="86">
        <f>SUM(J22:J30)</f>
        <v>1310000</v>
      </c>
      <c r="K31" s="16"/>
    </row>
    <row r="32" spans="2:11" s="3" customFormat="1" ht="18">
      <c r="B32" s="20"/>
      <c r="C32" s="20"/>
      <c r="D32" s="20"/>
      <c r="E32" s="20"/>
      <c r="F32" s="20"/>
      <c r="G32" s="139"/>
      <c r="H32" s="20"/>
      <c r="I32" s="20"/>
      <c r="J32" s="140"/>
      <c r="K32" s="16"/>
    </row>
    <row r="33" spans="2:11" s="28" customFormat="1" ht="18">
      <c r="B33" s="300" t="s">
        <v>21</v>
      </c>
      <c r="C33" s="301"/>
      <c r="D33" s="301"/>
      <c r="E33" s="237"/>
      <c r="F33" s="237"/>
      <c r="G33" s="102"/>
      <c r="H33" s="103"/>
      <c r="I33" s="104"/>
      <c r="J33" s="147"/>
      <c r="K33" s="16"/>
    </row>
    <row r="34" spans="2:11" s="3" customFormat="1" ht="18">
      <c r="B34" s="322" t="s">
        <v>78</v>
      </c>
      <c r="C34" s="323"/>
      <c r="D34" s="323"/>
      <c r="E34" s="304" t="s">
        <v>79</v>
      </c>
      <c r="F34" s="305"/>
      <c r="G34" s="175">
        <v>1</v>
      </c>
      <c r="H34" s="136" t="s">
        <v>51</v>
      </c>
      <c r="I34" s="176">
        <v>60000</v>
      </c>
      <c r="J34" s="137">
        <f aca="true" t="shared" si="2" ref="J34:J40">G34*I34</f>
        <v>60000</v>
      </c>
      <c r="K34" s="16"/>
    </row>
    <row r="35" spans="2:11" s="3" customFormat="1" ht="18">
      <c r="B35" s="280" t="s">
        <v>80</v>
      </c>
      <c r="C35" s="281"/>
      <c r="D35" s="282"/>
      <c r="E35" s="229" t="s">
        <v>66</v>
      </c>
      <c r="F35" s="231"/>
      <c r="G35" s="177">
        <v>2</v>
      </c>
      <c r="H35" s="134" t="s">
        <v>51</v>
      </c>
      <c r="I35" s="178">
        <v>30000</v>
      </c>
      <c r="J35" s="135">
        <f t="shared" si="2"/>
        <v>60000</v>
      </c>
      <c r="K35" s="16"/>
    </row>
    <row r="36" spans="2:11" s="3" customFormat="1" ht="18">
      <c r="B36" s="280" t="s">
        <v>127</v>
      </c>
      <c r="C36" s="281"/>
      <c r="D36" s="282"/>
      <c r="E36" s="229" t="s">
        <v>66</v>
      </c>
      <c r="F36" s="231"/>
      <c r="G36" s="177">
        <v>1</v>
      </c>
      <c r="H36" s="134" t="s">
        <v>51</v>
      </c>
      <c r="I36" s="178">
        <v>60000</v>
      </c>
      <c r="J36" s="135">
        <f t="shared" si="2"/>
        <v>60000</v>
      </c>
      <c r="K36" s="16"/>
    </row>
    <row r="37" spans="2:11" s="3" customFormat="1" ht="18">
      <c r="B37" s="162" t="s">
        <v>81</v>
      </c>
      <c r="C37" s="163"/>
      <c r="D37" s="164"/>
      <c r="E37" s="229" t="s">
        <v>66</v>
      </c>
      <c r="F37" s="231"/>
      <c r="G37" s="177">
        <v>2</v>
      </c>
      <c r="H37" s="134" t="s">
        <v>51</v>
      </c>
      <c r="I37" s="178">
        <v>6000</v>
      </c>
      <c r="J37" s="135">
        <f t="shared" si="2"/>
        <v>12000</v>
      </c>
      <c r="K37" s="16"/>
    </row>
    <row r="38" spans="2:11" s="3" customFormat="1" ht="18">
      <c r="B38" s="280" t="s">
        <v>82</v>
      </c>
      <c r="C38" s="281"/>
      <c r="D38" s="282"/>
      <c r="E38" s="229" t="s">
        <v>72</v>
      </c>
      <c r="F38" s="231"/>
      <c r="G38" s="177">
        <v>1</v>
      </c>
      <c r="H38" s="134" t="s">
        <v>51</v>
      </c>
      <c r="I38" s="178">
        <v>20000</v>
      </c>
      <c r="J38" s="135">
        <f t="shared" si="2"/>
        <v>20000</v>
      </c>
      <c r="K38" s="16"/>
    </row>
    <row r="39" spans="2:11" s="3" customFormat="1" ht="18">
      <c r="B39" s="162" t="s">
        <v>73</v>
      </c>
      <c r="C39" s="163"/>
      <c r="D39" s="173"/>
      <c r="E39" s="230" t="s">
        <v>83</v>
      </c>
      <c r="F39" s="231"/>
      <c r="G39" s="177">
        <v>3</v>
      </c>
      <c r="H39" s="134" t="s">
        <v>51</v>
      </c>
      <c r="I39" s="178">
        <v>15000</v>
      </c>
      <c r="J39" s="135">
        <f t="shared" si="2"/>
        <v>45000</v>
      </c>
      <c r="K39" s="16"/>
    </row>
    <row r="40" spans="2:11" s="3" customFormat="1" ht="18">
      <c r="B40" s="276" t="s">
        <v>84</v>
      </c>
      <c r="C40" s="277"/>
      <c r="D40" s="277"/>
      <c r="E40" s="298" t="s">
        <v>74</v>
      </c>
      <c r="F40" s="325"/>
      <c r="G40" s="179">
        <v>1</v>
      </c>
      <c r="H40" s="174" t="s">
        <v>51</v>
      </c>
      <c r="I40" s="180">
        <v>80000</v>
      </c>
      <c r="J40" s="138">
        <f t="shared" si="2"/>
        <v>80000</v>
      </c>
      <c r="K40" s="16"/>
    </row>
    <row r="41" spans="2:12" ht="18">
      <c r="B41" s="296" t="s">
        <v>22</v>
      </c>
      <c r="C41" s="297"/>
      <c r="D41" s="297"/>
      <c r="E41" s="297"/>
      <c r="F41" s="297"/>
      <c r="G41" s="297"/>
      <c r="H41" s="297"/>
      <c r="I41" s="297"/>
      <c r="J41" s="112">
        <f>SUM(J34:J40)</f>
        <v>337000</v>
      </c>
      <c r="K41" s="16"/>
      <c r="L41" s="16"/>
    </row>
    <row r="42" spans="2:12" s="3" customFormat="1" ht="18">
      <c r="B42" s="79"/>
      <c r="C42" s="79"/>
      <c r="D42" s="79"/>
      <c r="E42" s="79"/>
      <c r="F42" s="79"/>
      <c r="G42" s="25" t="s">
        <v>52</v>
      </c>
      <c r="H42" s="79"/>
      <c r="I42" s="79"/>
      <c r="J42" s="27"/>
      <c r="K42" s="16"/>
      <c r="L42" s="19"/>
    </row>
    <row r="43" spans="2:12" s="3" customFormat="1" ht="21">
      <c r="B43" s="300" t="s">
        <v>94</v>
      </c>
      <c r="C43" s="301"/>
      <c r="D43" s="301"/>
      <c r="E43" s="237"/>
      <c r="F43" s="237"/>
      <c r="G43" s="102"/>
      <c r="H43" s="103"/>
      <c r="I43" s="104"/>
      <c r="J43" s="105"/>
      <c r="K43" s="16"/>
      <c r="L43" s="24"/>
    </row>
    <row r="44" spans="2:12" s="3" customFormat="1" ht="18">
      <c r="B44" s="211" t="s">
        <v>131</v>
      </c>
      <c r="C44" s="212"/>
      <c r="D44" s="212"/>
      <c r="E44" s="289" t="s">
        <v>66</v>
      </c>
      <c r="F44" s="290"/>
      <c r="G44" s="136">
        <v>7000</v>
      </c>
      <c r="H44" s="181" t="s">
        <v>85</v>
      </c>
      <c r="I44" s="182">
        <v>90</v>
      </c>
      <c r="J44" s="182">
        <f>G44*I44</f>
        <v>630000</v>
      </c>
      <c r="K44" s="16"/>
      <c r="L44" s="24"/>
    </row>
    <row r="45" spans="2:12" s="3" customFormat="1" ht="18">
      <c r="B45" s="205"/>
      <c r="C45" s="206"/>
      <c r="D45" s="206"/>
      <c r="E45" s="210"/>
      <c r="F45" s="209"/>
      <c r="G45" s="134"/>
      <c r="H45" s="183"/>
      <c r="I45" s="11"/>
      <c r="J45" s="11"/>
      <c r="K45" s="16"/>
      <c r="L45" s="24"/>
    </row>
    <row r="46" spans="2:12" s="3" customFormat="1" ht="18">
      <c r="B46" s="213" t="s">
        <v>130</v>
      </c>
      <c r="C46" s="214"/>
      <c r="D46" s="214"/>
      <c r="E46" s="229"/>
      <c r="F46" s="230"/>
      <c r="G46" s="184"/>
      <c r="H46" s="185"/>
      <c r="I46" s="11"/>
      <c r="J46" s="11"/>
      <c r="K46" s="16"/>
      <c r="L46" s="24"/>
    </row>
    <row r="47" spans="2:12" s="3" customFormat="1" ht="18">
      <c r="B47" s="215" t="s">
        <v>55</v>
      </c>
      <c r="C47" s="216"/>
      <c r="D47" s="216"/>
      <c r="E47" s="229" t="s">
        <v>66</v>
      </c>
      <c r="F47" s="230"/>
      <c r="G47" s="134">
        <v>200</v>
      </c>
      <c r="H47" s="183" t="s">
        <v>41</v>
      </c>
      <c r="I47" s="11">
        <v>390</v>
      </c>
      <c r="J47" s="11">
        <f>G47*I47</f>
        <v>78000</v>
      </c>
      <c r="K47" s="16"/>
      <c r="L47" s="24"/>
    </row>
    <row r="48" spans="2:12" s="3" customFormat="1" ht="18">
      <c r="B48" s="215" t="s">
        <v>54</v>
      </c>
      <c r="C48" s="216"/>
      <c r="D48" s="216"/>
      <c r="E48" s="229" t="s">
        <v>70</v>
      </c>
      <c r="F48" s="230"/>
      <c r="G48" s="134">
        <v>200</v>
      </c>
      <c r="H48" s="183" t="s">
        <v>41</v>
      </c>
      <c r="I48" s="11">
        <v>314</v>
      </c>
      <c r="J48" s="11">
        <f>G48*I48</f>
        <v>62800</v>
      </c>
      <c r="K48" s="16"/>
      <c r="L48" s="24"/>
    </row>
    <row r="49" spans="2:12" s="3" customFormat="1" ht="18">
      <c r="B49" s="217" t="s">
        <v>116</v>
      </c>
      <c r="C49" s="218"/>
      <c r="D49" s="218"/>
      <c r="E49" s="229" t="s">
        <v>86</v>
      </c>
      <c r="F49" s="230"/>
      <c r="G49" s="134">
        <v>300</v>
      </c>
      <c r="H49" s="183" t="s">
        <v>41</v>
      </c>
      <c r="I49" s="11">
        <v>575</v>
      </c>
      <c r="J49" s="11">
        <f>G49*I49</f>
        <v>172500</v>
      </c>
      <c r="K49" s="16"/>
      <c r="L49" s="24"/>
    </row>
    <row r="50" spans="2:12" s="3" customFormat="1" ht="18">
      <c r="B50" s="207"/>
      <c r="C50" s="208"/>
      <c r="D50" s="208"/>
      <c r="E50" s="210"/>
      <c r="F50" s="209"/>
      <c r="G50" s="134"/>
      <c r="H50" s="183"/>
      <c r="I50" s="11"/>
      <c r="J50" s="11"/>
      <c r="K50" s="16"/>
      <c r="L50" s="24"/>
    </row>
    <row r="51" spans="2:12" s="3" customFormat="1" ht="18">
      <c r="B51" s="219" t="s">
        <v>106</v>
      </c>
      <c r="C51" s="220"/>
      <c r="D51" s="220"/>
      <c r="E51" s="229"/>
      <c r="F51" s="230"/>
      <c r="G51" s="134"/>
      <c r="H51" s="183"/>
      <c r="I51" s="11"/>
      <c r="J51" s="11"/>
      <c r="K51" s="16"/>
      <c r="L51" s="24"/>
    </row>
    <row r="52" spans="2:12" s="3" customFormat="1" ht="18">
      <c r="B52" s="217" t="s">
        <v>129</v>
      </c>
      <c r="C52" s="218"/>
      <c r="D52" s="218"/>
      <c r="E52" s="229" t="s">
        <v>83</v>
      </c>
      <c r="F52" s="230"/>
      <c r="G52" s="134">
        <v>1</v>
      </c>
      <c r="H52" s="183" t="s">
        <v>41</v>
      </c>
      <c r="I52" s="11">
        <v>3720</v>
      </c>
      <c r="J52" s="11">
        <f>G52*I52</f>
        <v>3720</v>
      </c>
      <c r="K52" s="16"/>
      <c r="L52" s="24"/>
    </row>
    <row r="53" spans="2:12" s="3" customFormat="1" ht="18">
      <c r="B53" s="205" t="s">
        <v>87</v>
      </c>
      <c r="C53" s="206"/>
      <c r="D53" s="206"/>
      <c r="E53" s="229" t="s">
        <v>74</v>
      </c>
      <c r="F53" s="230"/>
      <c r="G53" s="184">
        <v>0.4</v>
      </c>
      <c r="H53" s="185" t="s">
        <v>40</v>
      </c>
      <c r="I53" s="11">
        <v>75712</v>
      </c>
      <c r="J53" s="11">
        <f>G53*I53</f>
        <v>30284.800000000003</v>
      </c>
      <c r="K53" s="16"/>
      <c r="L53" s="24"/>
    </row>
    <row r="54" spans="2:12" s="3" customFormat="1" ht="18">
      <c r="B54" s="205" t="s">
        <v>117</v>
      </c>
      <c r="C54" s="206"/>
      <c r="D54" s="206"/>
      <c r="E54" s="229" t="s">
        <v>70</v>
      </c>
      <c r="F54" s="231"/>
      <c r="G54" s="184">
        <v>2</v>
      </c>
      <c r="H54" s="185" t="s">
        <v>41</v>
      </c>
      <c r="I54" s="11">
        <v>9878</v>
      </c>
      <c r="J54" s="11"/>
      <c r="K54" s="16"/>
      <c r="L54" s="24"/>
    </row>
    <row r="55" spans="2:12" s="3" customFormat="1" ht="18">
      <c r="B55" s="207"/>
      <c r="C55" s="208"/>
      <c r="D55" s="208"/>
      <c r="E55" s="210"/>
      <c r="F55" s="209"/>
      <c r="G55" s="134"/>
      <c r="H55" s="183"/>
      <c r="I55" s="11"/>
      <c r="J55" s="11"/>
      <c r="K55" s="16"/>
      <c r="L55" s="24"/>
    </row>
    <row r="56" spans="2:12" s="3" customFormat="1" ht="18">
      <c r="B56" s="219" t="s">
        <v>107</v>
      </c>
      <c r="C56" s="220"/>
      <c r="D56" s="220"/>
      <c r="E56" s="229"/>
      <c r="F56" s="230"/>
      <c r="G56" s="134"/>
      <c r="H56" s="183"/>
      <c r="I56" s="11"/>
      <c r="J56" s="11"/>
      <c r="K56" s="16"/>
      <c r="L56" s="24"/>
    </row>
    <row r="57" spans="2:12" s="3" customFormat="1" ht="18">
      <c r="B57" s="207" t="s">
        <v>128</v>
      </c>
      <c r="C57" s="208"/>
      <c r="D57" s="208"/>
      <c r="E57" s="229" t="s">
        <v>88</v>
      </c>
      <c r="F57" s="230"/>
      <c r="G57" s="184">
        <v>0.5</v>
      </c>
      <c r="H57" s="185" t="s">
        <v>41</v>
      </c>
      <c r="I57" s="11">
        <v>184500</v>
      </c>
      <c r="J57" s="11">
        <f>G57*I57</f>
        <v>92250</v>
      </c>
      <c r="K57" s="16"/>
      <c r="L57" s="24"/>
    </row>
    <row r="58" spans="2:12" s="3" customFormat="1" ht="18">
      <c r="B58" s="207" t="s">
        <v>118</v>
      </c>
      <c r="C58" s="208"/>
      <c r="D58" s="208"/>
      <c r="E58" s="229" t="s">
        <v>86</v>
      </c>
      <c r="F58" s="230"/>
      <c r="G58" s="184">
        <v>0.5</v>
      </c>
      <c r="H58" s="185" t="s">
        <v>40</v>
      </c>
      <c r="I58" s="11">
        <v>33000</v>
      </c>
      <c r="J58" s="11">
        <f>G58*I58</f>
        <v>16500</v>
      </c>
      <c r="K58" s="16"/>
      <c r="L58" s="24"/>
    </row>
    <row r="59" spans="2:12" s="3" customFormat="1" ht="18">
      <c r="B59" s="207"/>
      <c r="C59" s="208"/>
      <c r="D59" s="208"/>
      <c r="E59" s="210"/>
      <c r="F59" s="209"/>
      <c r="G59" s="184"/>
      <c r="H59" s="185"/>
      <c r="I59" s="11"/>
      <c r="J59" s="11"/>
      <c r="K59" s="16"/>
      <c r="L59" s="24"/>
    </row>
    <row r="60" spans="2:12" s="3" customFormat="1" ht="18">
      <c r="B60" s="213" t="s">
        <v>108</v>
      </c>
      <c r="C60" s="214"/>
      <c r="D60" s="214"/>
      <c r="E60" s="229"/>
      <c r="F60" s="230"/>
      <c r="G60" s="184"/>
      <c r="H60" s="185"/>
      <c r="I60" s="11"/>
      <c r="J60" s="11"/>
      <c r="K60" s="16"/>
      <c r="L60" s="24"/>
    </row>
    <row r="61" spans="2:12" s="3" customFormat="1" ht="18">
      <c r="B61" s="205" t="s">
        <v>89</v>
      </c>
      <c r="C61" s="206"/>
      <c r="D61" s="206"/>
      <c r="E61" s="302" t="s">
        <v>83</v>
      </c>
      <c r="F61" s="303"/>
      <c r="G61" s="184">
        <v>5</v>
      </c>
      <c r="H61" s="185" t="s">
        <v>40</v>
      </c>
      <c r="I61" s="11">
        <v>6870</v>
      </c>
      <c r="J61" s="11">
        <f aca="true" t="shared" si="3" ref="J61:J67">G61*I61</f>
        <v>34350</v>
      </c>
      <c r="K61" s="16"/>
      <c r="L61" s="24"/>
    </row>
    <row r="62" spans="2:12" s="3" customFormat="1" ht="18">
      <c r="B62" s="205" t="s">
        <v>90</v>
      </c>
      <c r="C62" s="206"/>
      <c r="D62" s="206"/>
      <c r="E62" s="229" t="s">
        <v>83</v>
      </c>
      <c r="F62" s="230"/>
      <c r="G62" s="184">
        <v>4</v>
      </c>
      <c r="H62" s="185" t="s">
        <v>40</v>
      </c>
      <c r="I62" s="11">
        <v>6406</v>
      </c>
      <c r="J62" s="11">
        <f t="shared" si="3"/>
        <v>25624</v>
      </c>
      <c r="K62" s="16"/>
      <c r="L62" s="24"/>
    </row>
    <row r="63" spans="2:12" s="3" customFormat="1" ht="18">
      <c r="B63" s="215" t="s">
        <v>91</v>
      </c>
      <c r="C63" s="216"/>
      <c r="D63" s="216"/>
      <c r="E63" s="229" t="s">
        <v>66</v>
      </c>
      <c r="F63" s="230"/>
      <c r="G63" s="184">
        <v>1</v>
      </c>
      <c r="H63" s="185" t="s">
        <v>51</v>
      </c>
      <c r="I63" s="11">
        <v>120000</v>
      </c>
      <c r="J63" s="11">
        <f t="shared" si="3"/>
        <v>120000</v>
      </c>
      <c r="K63" s="16"/>
      <c r="L63" s="24"/>
    </row>
    <row r="64" spans="2:12" s="3" customFormat="1" ht="18">
      <c r="B64" s="205" t="s">
        <v>98</v>
      </c>
      <c r="C64" s="206"/>
      <c r="D64" s="206"/>
      <c r="E64" s="229" t="s">
        <v>66</v>
      </c>
      <c r="F64" s="231"/>
      <c r="G64" s="184">
        <v>1</v>
      </c>
      <c r="H64" s="185" t="s">
        <v>51</v>
      </c>
      <c r="I64" s="11">
        <v>100000</v>
      </c>
      <c r="J64" s="11">
        <f t="shared" si="3"/>
        <v>100000</v>
      </c>
      <c r="K64" s="16"/>
      <c r="L64" s="24"/>
    </row>
    <row r="65" spans="2:12" s="3" customFormat="1" ht="18">
      <c r="B65" s="186" t="s">
        <v>93</v>
      </c>
      <c r="C65" s="187"/>
      <c r="D65" s="187"/>
      <c r="E65" s="229" t="s">
        <v>66</v>
      </c>
      <c r="F65" s="230"/>
      <c r="G65" s="184">
        <v>1</v>
      </c>
      <c r="H65" s="185" t="s">
        <v>51</v>
      </c>
      <c r="I65" s="11">
        <v>140000</v>
      </c>
      <c r="J65" s="11">
        <f t="shared" si="3"/>
        <v>140000</v>
      </c>
      <c r="K65" s="16"/>
      <c r="L65" s="24"/>
    </row>
    <row r="66" spans="2:12" s="3" customFormat="1" ht="18">
      <c r="B66" s="186" t="s">
        <v>115</v>
      </c>
      <c r="C66" s="187"/>
      <c r="D66" s="187"/>
      <c r="E66" s="229" t="s">
        <v>66</v>
      </c>
      <c r="F66" s="231"/>
      <c r="G66" s="184">
        <v>300</v>
      </c>
      <c r="H66" s="185" t="s">
        <v>41</v>
      </c>
      <c r="I66" s="11">
        <v>2000</v>
      </c>
      <c r="J66" s="11">
        <f>G66*I66/2</f>
        <v>300000</v>
      </c>
      <c r="K66" s="16"/>
      <c r="L66" s="24"/>
    </row>
    <row r="67" spans="2:12" s="3" customFormat="1" ht="21">
      <c r="B67" s="205" t="s">
        <v>95</v>
      </c>
      <c r="C67" s="188"/>
      <c r="D67" s="188"/>
      <c r="E67" s="298" t="s">
        <v>92</v>
      </c>
      <c r="F67" s="299"/>
      <c r="G67" s="174">
        <v>1</v>
      </c>
      <c r="H67" s="189" t="s">
        <v>53</v>
      </c>
      <c r="I67" s="190">
        <v>25000</v>
      </c>
      <c r="J67" s="190">
        <f t="shared" si="3"/>
        <v>25000</v>
      </c>
      <c r="K67" s="16"/>
      <c r="L67" s="24"/>
    </row>
    <row r="68" spans="2:14" ht="18">
      <c r="B68" s="235" t="s">
        <v>23</v>
      </c>
      <c r="C68" s="236"/>
      <c r="D68" s="236"/>
      <c r="E68" s="236"/>
      <c r="F68" s="236"/>
      <c r="G68" s="236"/>
      <c r="H68" s="236"/>
      <c r="I68" s="236"/>
      <c r="J68" s="115">
        <f>SUM(J44:J67)</f>
        <v>1831028.8</v>
      </c>
      <c r="K68" s="16"/>
      <c r="M68" s="16"/>
      <c r="N68" s="16"/>
    </row>
    <row r="69" spans="2:14" s="3" customFormat="1" ht="18">
      <c r="B69" s="29"/>
      <c r="C69" s="29"/>
      <c r="D69" s="29"/>
      <c r="E69" s="29"/>
      <c r="F69" s="29"/>
      <c r="G69" s="30"/>
      <c r="H69" s="29"/>
      <c r="I69" s="29"/>
      <c r="J69" s="31"/>
      <c r="K69" s="16"/>
      <c r="M69" s="16"/>
      <c r="N69" s="16"/>
    </row>
    <row r="70" spans="2:16" ht="18">
      <c r="B70" s="233" t="s">
        <v>24</v>
      </c>
      <c r="C70" s="234"/>
      <c r="D70" s="234"/>
      <c r="E70" s="234"/>
      <c r="F70" s="234"/>
      <c r="G70" s="234"/>
      <c r="H70" s="234"/>
      <c r="I70" s="234"/>
      <c r="J70" s="86">
        <f>total_mano_obra+total_maquinaria+total_insumos</f>
        <v>3478028.8</v>
      </c>
      <c r="K70" s="16"/>
      <c r="M70" s="16"/>
      <c r="N70" s="16"/>
      <c r="O70" s="10"/>
      <c r="P70" s="10"/>
    </row>
    <row r="71" spans="2:14" s="3" customFormat="1" ht="18">
      <c r="B71" s="80"/>
      <c r="C71" s="80"/>
      <c r="D71" s="80"/>
      <c r="E71" s="80"/>
      <c r="F71" s="80"/>
      <c r="G71" s="32"/>
      <c r="H71" s="80"/>
      <c r="I71" s="80"/>
      <c r="J71" s="27"/>
      <c r="K71" s="16"/>
      <c r="M71" s="16"/>
      <c r="N71" s="16"/>
    </row>
    <row r="72" spans="2:14" s="3" customFormat="1" ht="18">
      <c r="B72" s="141" t="s">
        <v>49</v>
      </c>
      <c r="C72" s="142"/>
      <c r="D72" s="143"/>
      <c r="E72" s="232" t="s">
        <v>74</v>
      </c>
      <c r="F72" s="232"/>
      <c r="G72" s="144">
        <v>0.05</v>
      </c>
      <c r="H72" s="145" t="s">
        <v>1</v>
      </c>
      <c r="I72" s="146"/>
      <c r="J72" s="146">
        <f>total_costos_directos*G72</f>
        <v>173901.44</v>
      </c>
      <c r="K72" s="16"/>
      <c r="M72" s="16"/>
      <c r="N72" s="16"/>
    </row>
    <row r="73" spans="2:14" s="3" customFormat="1" ht="18">
      <c r="B73" s="117"/>
      <c r="C73" s="117"/>
      <c r="D73" s="117"/>
      <c r="E73" s="117"/>
      <c r="F73" s="117"/>
      <c r="G73" s="32"/>
      <c r="H73" s="117"/>
      <c r="I73" s="117"/>
      <c r="J73" s="27"/>
      <c r="K73" s="16"/>
      <c r="M73" s="16"/>
      <c r="N73" s="16"/>
    </row>
    <row r="74" spans="2:14" s="3" customFormat="1" ht="20.25">
      <c r="B74" s="111" t="s">
        <v>48</v>
      </c>
      <c r="C74" s="110"/>
      <c r="D74" s="110"/>
      <c r="E74" s="20"/>
      <c r="F74" s="20"/>
      <c r="G74" s="21"/>
      <c r="H74" s="22"/>
      <c r="I74" s="23"/>
      <c r="J74" s="23"/>
      <c r="K74" s="16"/>
      <c r="M74" s="16"/>
      <c r="N74" s="16"/>
    </row>
    <row r="75" spans="2:14" s="3" customFormat="1" ht="18">
      <c r="B75" s="326" t="s">
        <v>47</v>
      </c>
      <c r="C75" s="237"/>
      <c r="D75" s="237"/>
      <c r="E75" s="237" t="s">
        <v>15</v>
      </c>
      <c r="F75" s="237"/>
      <c r="G75" s="102" t="s">
        <v>16</v>
      </c>
      <c r="H75" s="103" t="s">
        <v>17</v>
      </c>
      <c r="I75" s="104" t="s">
        <v>18</v>
      </c>
      <c r="J75" s="105" t="s">
        <v>3</v>
      </c>
      <c r="K75" s="16"/>
      <c r="M75" s="16"/>
      <c r="N75" s="16"/>
    </row>
    <row r="76" spans="2:15" s="3" customFormat="1" ht="21">
      <c r="B76" s="280" t="s">
        <v>96</v>
      </c>
      <c r="C76" s="281"/>
      <c r="D76" s="282"/>
      <c r="E76" s="229" t="s">
        <v>74</v>
      </c>
      <c r="F76" s="231"/>
      <c r="G76" s="113">
        <f>E16</f>
        <v>0.015</v>
      </c>
      <c r="H76" s="9" t="s">
        <v>1</v>
      </c>
      <c r="I76" s="114"/>
      <c r="J76" s="11">
        <f>total_costos_directos*tasa_interes_mensual*meses_financiamiento*0.5</f>
        <v>130426.07999999999</v>
      </c>
      <c r="K76" s="16"/>
      <c r="L76" s="281"/>
      <c r="M76" s="281"/>
      <c r="N76" s="281"/>
      <c r="O76" s="281"/>
    </row>
    <row r="77" spans="2:14" s="3" customFormat="1" ht="18">
      <c r="B77" s="280" t="s">
        <v>26</v>
      </c>
      <c r="C77" s="281"/>
      <c r="D77" s="282"/>
      <c r="E77" s="271"/>
      <c r="F77" s="272"/>
      <c r="G77" s="87"/>
      <c r="H77" s="87"/>
      <c r="I77" s="87"/>
      <c r="J77" s="89"/>
      <c r="K77" s="16"/>
      <c r="M77" s="16"/>
      <c r="N77" s="16"/>
    </row>
    <row r="78" spans="2:14" s="3" customFormat="1" ht="18">
      <c r="B78" s="280" t="s">
        <v>2</v>
      </c>
      <c r="C78" s="281"/>
      <c r="D78" s="282"/>
      <c r="E78" s="271"/>
      <c r="F78" s="272"/>
      <c r="G78" s="87"/>
      <c r="H78" s="87"/>
      <c r="I78" s="87"/>
      <c r="J78" s="89"/>
      <c r="K78" s="16"/>
      <c r="M78" s="16"/>
      <c r="N78" s="16"/>
    </row>
    <row r="79" spans="2:14" s="3" customFormat="1" ht="18">
      <c r="B79" s="276" t="s">
        <v>27</v>
      </c>
      <c r="C79" s="277"/>
      <c r="D79" s="278"/>
      <c r="E79" s="291"/>
      <c r="F79" s="292"/>
      <c r="G79" s="88"/>
      <c r="H79" s="88"/>
      <c r="I79" s="88"/>
      <c r="J79" s="90"/>
      <c r="K79" s="16"/>
      <c r="M79" s="16"/>
      <c r="N79" s="16"/>
    </row>
    <row r="80" spans="2:14" ht="18">
      <c r="B80" s="250" t="s">
        <v>44</v>
      </c>
      <c r="C80" s="251"/>
      <c r="D80" s="251"/>
      <c r="E80" s="251"/>
      <c r="F80" s="251"/>
      <c r="G80" s="251"/>
      <c r="H80" s="251"/>
      <c r="I80" s="251"/>
      <c r="J80" s="112">
        <f>SUM(J76:J79)</f>
        <v>130426.07999999999</v>
      </c>
      <c r="K80" s="16"/>
      <c r="M80" s="16"/>
      <c r="N80" s="16"/>
    </row>
    <row r="81" spans="2:12" s="3" customFormat="1" ht="18" customHeight="1">
      <c r="B81" s="79"/>
      <c r="C81" s="79"/>
      <c r="D81" s="79"/>
      <c r="E81" s="79"/>
      <c r="F81" s="79"/>
      <c r="G81" s="25"/>
      <c r="H81" s="79"/>
      <c r="I81" s="79"/>
      <c r="J81" s="27"/>
      <c r="K81" s="16"/>
      <c r="L81" s="16"/>
    </row>
    <row r="82" spans="2:12" ht="18" customHeight="1">
      <c r="B82" s="248" t="s">
        <v>28</v>
      </c>
      <c r="C82" s="249"/>
      <c r="D82" s="249"/>
      <c r="E82" s="249"/>
      <c r="F82" s="249"/>
      <c r="G82" s="249"/>
      <c r="H82" s="249"/>
      <c r="I82" s="249"/>
      <c r="J82" s="239">
        <f>total_costos_directos+imprevistos+total_costos_indirectos</f>
        <v>3782356.32</v>
      </c>
      <c r="K82" s="16"/>
      <c r="L82" s="16"/>
    </row>
    <row r="83" spans="2:12" s="3" customFormat="1" ht="18" customHeight="1">
      <c r="B83" s="250"/>
      <c r="C83" s="251"/>
      <c r="D83" s="251"/>
      <c r="E83" s="251"/>
      <c r="F83" s="251"/>
      <c r="G83" s="251"/>
      <c r="H83" s="251"/>
      <c r="I83" s="251"/>
      <c r="J83" s="240"/>
      <c r="K83" s="16"/>
      <c r="L83" s="16"/>
    </row>
    <row r="84" spans="2:12" s="3" customFormat="1" ht="18" customHeight="1">
      <c r="B84" s="29"/>
      <c r="C84" s="29"/>
      <c r="D84" s="29"/>
      <c r="E84" s="29"/>
      <c r="F84" s="29"/>
      <c r="G84" s="30"/>
      <c r="H84" s="29"/>
      <c r="I84" s="29"/>
      <c r="J84" s="31"/>
      <c r="K84" s="16"/>
      <c r="L84" s="16"/>
    </row>
    <row r="85" spans="2:12" s="3" customFormat="1" ht="18" customHeight="1">
      <c r="B85" s="79"/>
      <c r="C85" s="79"/>
      <c r="D85" s="79"/>
      <c r="E85" s="79"/>
      <c r="F85" s="79"/>
      <c r="G85" s="25"/>
      <c r="H85" s="79"/>
      <c r="I85" s="79"/>
      <c r="J85" s="27"/>
      <c r="K85" s="16"/>
      <c r="L85" s="16"/>
    </row>
    <row r="86" spans="2:12" s="3" customFormat="1" ht="18" customHeight="1">
      <c r="B86" s="79"/>
      <c r="C86" s="79"/>
      <c r="D86" s="79"/>
      <c r="E86" s="79"/>
      <c r="F86" s="79"/>
      <c r="G86" s="25"/>
      <c r="H86" s="79"/>
      <c r="I86" s="79"/>
      <c r="J86" s="27"/>
      <c r="K86" s="16"/>
      <c r="L86" s="16"/>
    </row>
    <row r="87" spans="2:12" ht="18" customHeight="1">
      <c r="B87" s="263" t="s">
        <v>97</v>
      </c>
      <c r="C87" s="264"/>
      <c r="D87" s="264"/>
      <c r="E87" s="264"/>
      <c r="F87" s="264"/>
      <c r="G87" s="264"/>
      <c r="H87" s="264"/>
      <c r="I87" s="264"/>
      <c r="J87" s="265"/>
      <c r="K87" s="16"/>
      <c r="L87" s="24"/>
    </row>
    <row r="88" spans="2:12" ht="18" customHeight="1">
      <c r="B88" s="273" t="s">
        <v>34</v>
      </c>
      <c r="C88" s="274"/>
      <c r="D88" s="274"/>
      <c r="E88" s="274"/>
      <c r="F88" s="274"/>
      <c r="G88" s="274"/>
      <c r="H88" s="274"/>
      <c r="I88" s="274"/>
      <c r="J88" s="275"/>
      <c r="K88" s="16"/>
      <c r="L88" s="24"/>
    </row>
    <row r="89" spans="2:12" s="3" customFormat="1" ht="18" customHeight="1">
      <c r="B89" s="266" t="s">
        <v>101</v>
      </c>
      <c r="C89" s="266"/>
      <c r="D89" s="266"/>
      <c r="E89" s="293" t="s">
        <v>102</v>
      </c>
      <c r="F89" s="294"/>
      <c r="G89" s="294"/>
      <c r="H89" s="294"/>
      <c r="I89" s="294"/>
      <c r="J89" s="295"/>
      <c r="K89" s="16"/>
      <c r="L89" s="24"/>
    </row>
    <row r="90" spans="2:12" s="3" customFormat="1" ht="18" customHeight="1">
      <c r="B90" s="266"/>
      <c r="C90" s="266"/>
      <c r="D90" s="266"/>
      <c r="E90" s="256">
        <f>G90*0.9</f>
        <v>810</v>
      </c>
      <c r="F90" s="256"/>
      <c r="G90" s="245">
        <v>900</v>
      </c>
      <c r="H90" s="245"/>
      <c r="I90" s="256">
        <f>G90*1.1</f>
        <v>990.0000000000001</v>
      </c>
      <c r="J90" s="256"/>
      <c r="K90" s="16"/>
      <c r="L90" s="24"/>
    </row>
    <row r="91" spans="2:12" s="3" customFormat="1" ht="18" customHeight="1">
      <c r="B91" s="256">
        <f>rendimiento*0.9</f>
        <v>8100</v>
      </c>
      <c r="C91" s="256"/>
      <c r="D91" s="256"/>
      <c r="E91" s="238">
        <f>E$90*$B$91-rdto_variable!$C$44</f>
        <v>2858901.18</v>
      </c>
      <c r="F91" s="238"/>
      <c r="G91" s="238">
        <f>G$90*$B$91-rdto_variable!$C$44</f>
        <v>3587901.18</v>
      </c>
      <c r="H91" s="238"/>
      <c r="I91" s="238">
        <f>I$90*$B$91-rdto_variable!$C$44</f>
        <v>4316901.180000002</v>
      </c>
      <c r="J91" s="238"/>
      <c r="K91" s="16"/>
      <c r="L91" s="24"/>
    </row>
    <row r="92" spans="2:12" s="3" customFormat="1" ht="18" customHeight="1">
      <c r="B92" s="256">
        <v>9000</v>
      </c>
      <c r="C92" s="256"/>
      <c r="D92" s="256"/>
      <c r="E92" s="238">
        <f>E$90*$B$92-total_costos</f>
        <v>3507643.68</v>
      </c>
      <c r="F92" s="238"/>
      <c r="G92" s="238">
        <f>G$90*$B$92-total_costos</f>
        <v>4317643.68</v>
      </c>
      <c r="H92" s="238"/>
      <c r="I92" s="238">
        <f>I$90*$B$92-total_costos</f>
        <v>5127643.680000002</v>
      </c>
      <c r="J92" s="238"/>
      <c r="K92" s="16"/>
      <c r="L92" s="24"/>
    </row>
    <row r="93" spans="2:12" s="3" customFormat="1" ht="18" customHeight="1">
      <c r="B93" s="256">
        <f>rendimiento*1.1</f>
        <v>9900</v>
      </c>
      <c r="C93" s="256"/>
      <c r="D93" s="256"/>
      <c r="E93" s="238">
        <f>E$90*$B$93-rdto_variable!$D$44</f>
        <v>4156386.18</v>
      </c>
      <c r="F93" s="238"/>
      <c r="G93" s="238">
        <f>G$90*$B$93-rdto_variable!$D$44</f>
        <v>5047386.18</v>
      </c>
      <c r="H93" s="238"/>
      <c r="I93" s="238">
        <f>I$90*$B$93-rdto_variable!$D$44</f>
        <v>5938386.180000002</v>
      </c>
      <c r="J93" s="238"/>
      <c r="K93" s="16"/>
      <c r="L93" s="24"/>
    </row>
    <row r="94" spans="2:12" s="3" customFormat="1" ht="18" customHeight="1">
      <c r="B94" s="34"/>
      <c r="C94" s="34"/>
      <c r="D94" s="35"/>
      <c r="E94" s="35"/>
      <c r="F94" s="35"/>
      <c r="G94" s="36"/>
      <c r="H94" s="12"/>
      <c r="I94" s="15"/>
      <c r="J94" s="15"/>
      <c r="K94" s="16"/>
      <c r="L94" s="24"/>
    </row>
    <row r="95" spans="2:12" s="3" customFormat="1" ht="18" customHeight="1">
      <c r="B95" s="257" t="s">
        <v>103</v>
      </c>
      <c r="C95" s="258"/>
      <c r="D95" s="258"/>
      <c r="E95" s="258"/>
      <c r="F95" s="258"/>
      <c r="G95" s="258"/>
      <c r="H95" s="258"/>
      <c r="I95" s="258"/>
      <c r="J95" s="259"/>
      <c r="K95" s="16"/>
      <c r="L95" s="24"/>
    </row>
    <row r="96" spans="2:12" s="3" customFormat="1" ht="18" customHeight="1">
      <c r="B96" s="260"/>
      <c r="C96" s="261"/>
      <c r="D96" s="261"/>
      <c r="E96" s="261"/>
      <c r="F96" s="261"/>
      <c r="G96" s="261"/>
      <c r="H96" s="261"/>
      <c r="I96" s="261"/>
      <c r="J96" s="262"/>
      <c r="K96" s="16"/>
      <c r="L96" s="24"/>
    </row>
    <row r="97" spans="2:12" s="3" customFormat="1" ht="18" customHeight="1">
      <c r="B97" s="246" t="s">
        <v>101</v>
      </c>
      <c r="C97" s="241"/>
      <c r="D97" s="241"/>
      <c r="E97" s="241">
        <f>B91</f>
        <v>8100</v>
      </c>
      <c r="F97" s="241"/>
      <c r="G97" s="241">
        <f>B92</f>
        <v>9000</v>
      </c>
      <c r="H97" s="241"/>
      <c r="I97" s="241">
        <f>B93</f>
        <v>9900</v>
      </c>
      <c r="J97" s="242"/>
      <c r="K97" s="16"/>
      <c r="L97" s="24"/>
    </row>
    <row r="98" spans="2:12" ht="18" customHeight="1">
      <c r="B98" s="247"/>
      <c r="C98" s="243"/>
      <c r="D98" s="243"/>
      <c r="E98" s="243"/>
      <c r="F98" s="243"/>
      <c r="G98" s="243"/>
      <c r="H98" s="243"/>
      <c r="I98" s="243"/>
      <c r="J98" s="244"/>
      <c r="K98" s="16"/>
      <c r="L98" s="24"/>
    </row>
    <row r="99" spans="2:12" ht="18" customHeight="1">
      <c r="B99" s="267" t="s">
        <v>104</v>
      </c>
      <c r="C99" s="268"/>
      <c r="D99" s="268"/>
      <c r="E99" s="252">
        <f>rdto_variable!C44/sandía!E97</f>
        <v>457.049237037037</v>
      </c>
      <c r="F99" s="252"/>
      <c r="G99" s="254">
        <f>total_costos/$G$97</f>
        <v>420.2618133333333</v>
      </c>
      <c r="H99" s="254"/>
      <c r="I99" s="252">
        <f>rdto_variable!D44/sandía!I97</f>
        <v>390.1630121212121</v>
      </c>
      <c r="J99" s="253"/>
      <c r="K99" s="16"/>
      <c r="L99" s="24"/>
    </row>
    <row r="100" spans="2:12" ht="18" customHeight="1">
      <c r="B100" s="269"/>
      <c r="C100" s="270"/>
      <c r="D100" s="270"/>
      <c r="E100" s="254"/>
      <c r="F100" s="254"/>
      <c r="G100" s="254"/>
      <c r="H100" s="254"/>
      <c r="I100" s="254"/>
      <c r="J100" s="255"/>
      <c r="K100" s="16"/>
      <c r="L100" s="24"/>
    </row>
    <row r="101" spans="2:12" ht="18" customHeight="1">
      <c r="B101" s="44"/>
      <c r="C101" s="1"/>
      <c r="D101" s="3"/>
      <c r="E101" s="3"/>
      <c r="F101" s="92"/>
      <c r="G101" s="92"/>
      <c r="H101" s="92"/>
      <c r="I101" s="15"/>
      <c r="J101" s="15"/>
      <c r="K101" s="16"/>
      <c r="L101" s="24"/>
    </row>
    <row r="102" spans="2:11" s="3" customFormat="1" ht="18" customHeight="1">
      <c r="B102" s="283" t="s">
        <v>30</v>
      </c>
      <c r="C102" s="284"/>
      <c r="D102" s="284"/>
      <c r="E102" s="284"/>
      <c r="F102" s="284"/>
      <c r="G102" s="284"/>
      <c r="H102" s="284"/>
      <c r="I102" s="284"/>
      <c r="J102" s="285"/>
      <c r="K102" s="78"/>
    </row>
    <row r="103" spans="2:14" s="3" customFormat="1" ht="36.75" customHeight="1">
      <c r="B103" s="221" t="s">
        <v>119</v>
      </c>
      <c r="C103" s="222"/>
      <c r="D103" s="222"/>
      <c r="E103" s="222"/>
      <c r="F103" s="222"/>
      <c r="G103" s="222"/>
      <c r="H103" s="222"/>
      <c r="I103" s="222"/>
      <c r="J103" s="223"/>
      <c r="K103" s="78"/>
      <c r="N103" s="93"/>
    </row>
    <row r="104" spans="2:11" s="3" customFormat="1" ht="18">
      <c r="B104" s="224" t="s">
        <v>120</v>
      </c>
      <c r="C104" s="225"/>
      <c r="D104" s="225"/>
      <c r="E104" s="225"/>
      <c r="F104" s="225"/>
      <c r="G104" s="225"/>
      <c r="H104" s="225"/>
      <c r="I104" s="225"/>
      <c r="J104" s="226"/>
      <c r="K104" s="78"/>
    </row>
    <row r="105" spans="2:11" s="3" customFormat="1" ht="59.25" customHeight="1">
      <c r="B105" s="227" t="s">
        <v>121</v>
      </c>
      <c r="C105" s="225"/>
      <c r="D105" s="225"/>
      <c r="E105" s="225"/>
      <c r="F105" s="225"/>
      <c r="G105" s="225"/>
      <c r="H105" s="225"/>
      <c r="I105" s="225"/>
      <c r="J105" s="226"/>
      <c r="K105" s="78"/>
    </row>
    <row r="106" spans="2:11" s="3" customFormat="1" ht="18">
      <c r="B106" s="228" t="s">
        <v>122</v>
      </c>
      <c r="C106" s="225"/>
      <c r="D106" s="225"/>
      <c r="E106" s="225"/>
      <c r="F106" s="225"/>
      <c r="G106" s="225"/>
      <c r="H106" s="225"/>
      <c r="I106" s="225"/>
      <c r="J106" s="226"/>
      <c r="K106" s="78"/>
    </row>
    <row r="107" spans="2:11" s="3" customFormat="1" ht="18">
      <c r="B107" s="228" t="s">
        <v>123</v>
      </c>
      <c r="C107" s="225"/>
      <c r="D107" s="225"/>
      <c r="E107" s="225"/>
      <c r="F107" s="225"/>
      <c r="G107" s="225"/>
      <c r="H107" s="225"/>
      <c r="I107" s="225"/>
      <c r="J107" s="226"/>
      <c r="K107" s="78"/>
    </row>
    <row r="108" spans="2:11" s="3" customFormat="1" ht="18">
      <c r="B108" s="228" t="s">
        <v>124</v>
      </c>
      <c r="C108" s="225"/>
      <c r="D108" s="225"/>
      <c r="E108" s="225"/>
      <c r="F108" s="225"/>
      <c r="G108" s="225"/>
      <c r="H108" s="225"/>
      <c r="I108" s="225"/>
      <c r="J108" s="226"/>
      <c r="K108" s="78"/>
    </row>
    <row r="109" spans="2:11" s="3" customFormat="1" ht="18.75">
      <c r="B109" s="286" t="s">
        <v>125</v>
      </c>
      <c r="C109" s="287"/>
      <c r="D109" s="287"/>
      <c r="E109" s="287"/>
      <c r="F109" s="287"/>
      <c r="G109" s="287"/>
      <c r="H109" s="287"/>
      <c r="I109" s="287"/>
      <c r="J109" s="288"/>
      <c r="K109" s="33"/>
    </row>
    <row r="110" spans="2:11" s="3" customFormat="1" ht="16.5" customHeight="1">
      <c r="B110" s="37"/>
      <c r="C110" s="37"/>
      <c r="D110" s="37"/>
      <c r="E110" s="37"/>
      <c r="F110" s="37"/>
      <c r="G110" s="38"/>
      <c r="H110" s="37"/>
      <c r="I110" s="37"/>
      <c r="J110" s="37"/>
      <c r="K110" s="10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10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2" s="3" customFormat="1" ht="15">
      <c r="B115" s="64"/>
      <c r="C115" s="64"/>
      <c r="D115" s="64"/>
      <c r="E115" s="64"/>
      <c r="F115" s="64"/>
      <c r="G115" s="65"/>
      <c r="H115" s="64"/>
      <c r="I115" s="64"/>
      <c r="J115" s="64"/>
      <c r="K115" s="66"/>
      <c r="L115" s="64"/>
    </row>
    <row r="116" spans="2:12" s="3" customFormat="1" ht="15">
      <c r="B116" s="64"/>
      <c r="C116" s="64"/>
      <c r="D116" s="64"/>
      <c r="E116" s="64"/>
      <c r="F116" s="64"/>
      <c r="G116" s="65"/>
      <c r="H116" s="64"/>
      <c r="I116" s="64"/>
      <c r="J116" s="64"/>
      <c r="K116" s="66"/>
      <c r="L116" s="64"/>
    </row>
    <row r="117" spans="2:12" s="3" customFormat="1" ht="15">
      <c r="B117" s="64"/>
      <c r="C117" s="64"/>
      <c r="D117" s="64"/>
      <c r="E117" s="64"/>
      <c r="F117" s="64"/>
      <c r="G117" s="65"/>
      <c r="H117" s="64"/>
      <c r="I117" s="64"/>
      <c r="J117" s="64"/>
      <c r="K117" s="66"/>
      <c r="L117" s="64"/>
    </row>
    <row r="118" spans="2:12" s="3" customFormat="1" ht="15">
      <c r="B118" s="64"/>
      <c r="C118" s="64"/>
      <c r="D118" s="64"/>
      <c r="E118" s="64"/>
      <c r="F118" s="64"/>
      <c r="G118" s="65"/>
      <c r="H118" s="64"/>
      <c r="I118" s="64"/>
      <c r="J118" s="64"/>
      <c r="K118" s="66"/>
      <c r="L118" s="64"/>
    </row>
    <row r="119" spans="2:12" ht="18">
      <c r="B119" s="53"/>
      <c r="C119" s="53"/>
      <c r="D119" s="54"/>
      <c r="E119" s="54"/>
      <c r="F119" s="55"/>
      <c r="G119" s="55"/>
      <c r="H119" s="55"/>
      <c r="I119" s="64"/>
      <c r="J119" s="64"/>
      <c r="K119" s="66"/>
      <c r="L119" s="64"/>
    </row>
    <row r="120" spans="2:12" ht="18">
      <c r="B120" s="53"/>
      <c r="C120" s="56"/>
      <c r="D120" s="56"/>
      <c r="E120" s="57"/>
      <c r="F120" s="56"/>
      <c r="G120" s="58"/>
      <c r="H120" s="59"/>
      <c r="I120" s="64"/>
      <c r="J120" s="64"/>
      <c r="K120" s="66"/>
      <c r="L120" s="64"/>
    </row>
    <row r="121" spans="2:12" ht="18">
      <c r="B121" s="54"/>
      <c r="C121" s="54"/>
      <c r="D121" s="54"/>
      <c r="E121" s="54"/>
      <c r="F121" s="54"/>
      <c r="G121" s="54"/>
      <c r="H121" s="54"/>
      <c r="I121" s="64"/>
      <c r="J121" s="64"/>
      <c r="K121" s="66"/>
      <c r="L121" s="64"/>
    </row>
    <row r="122" spans="2:12" ht="18">
      <c r="B122" s="53"/>
      <c r="C122" s="54"/>
      <c r="D122" s="54"/>
      <c r="E122" s="54"/>
      <c r="F122" s="54"/>
      <c r="G122" s="54"/>
      <c r="H122" s="54"/>
      <c r="I122" s="64"/>
      <c r="J122" s="64"/>
      <c r="K122" s="66"/>
      <c r="L122" s="64"/>
    </row>
    <row r="123" spans="2:12" ht="18">
      <c r="B123" s="67"/>
      <c r="C123" s="68"/>
      <c r="D123" s="68"/>
      <c r="E123" s="60"/>
      <c r="F123" s="60"/>
      <c r="G123" s="60"/>
      <c r="H123" s="60"/>
      <c r="I123" s="64"/>
      <c r="J123" s="66"/>
      <c r="K123" s="66"/>
      <c r="L123" s="64"/>
    </row>
    <row r="124" spans="2:12" ht="18">
      <c r="B124" s="67"/>
      <c r="C124" s="68"/>
      <c r="D124" s="68"/>
      <c r="E124" s="60"/>
      <c r="F124" s="60"/>
      <c r="G124" s="60"/>
      <c r="H124" s="60"/>
      <c r="I124" s="64"/>
      <c r="J124" s="66"/>
      <c r="K124" s="66"/>
      <c r="L124" s="64"/>
    </row>
    <row r="125" spans="2:12" ht="18">
      <c r="B125" s="61"/>
      <c r="C125" s="62"/>
      <c r="D125" s="62"/>
      <c r="E125" s="61"/>
      <c r="F125" s="61"/>
      <c r="G125" s="61"/>
      <c r="H125" s="63"/>
      <c r="I125" s="64"/>
      <c r="J125" s="64"/>
      <c r="K125" s="66"/>
      <c r="L125" s="64"/>
    </row>
    <row r="126" spans="2:12" ht="18">
      <c r="B126" s="54"/>
      <c r="C126" s="54"/>
      <c r="D126" s="54"/>
      <c r="E126" s="54"/>
      <c r="F126" s="54"/>
      <c r="G126" s="54"/>
      <c r="H126" s="54"/>
      <c r="I126" s="64"/>
      <c r="J126" s="64"/>
      <c r="K126" s="66"/>
      <c r="L126" s="64"/>
    </row>
    <row r="127" spans="2:12" ht="18">
      <c r="B127" s="53"/>
      <c r="C127" s="54"/>
      <c r="D127" s="54"/>
      <c r="E127" s="54"/>
      <c r="F127" s="54"/>
      <c r="G127" s="54"/>
      <c r="H127" s="54"/>
      <c r="I127" s="64"/>
      <c r="J127" s="64"/>
      <c r="K127" s="66"/>
      <c r="L127" s="64"/>
    </row>
    <row r="128" spans="2:12" ht="18">
      <c r="B128" s="69"/>
      <c r="C128" s="70"/>
      <c r="D128" s="71"/>
      <c r="E128" s="72"/>
      <c r="F128" s="71"/>
      <c r="G128" s="73"/>
      <c r="H128" s="73"/>
      <c r="I128" s="64"/>
      <c r="J128" s="64"/>
      <c r="K128" s="66"/>
      <c r="L128" s="64"/>
    </row>
    <row r="129" spans="2:12" ht="18">
      <c r="B129" s="69"/>
      <c r="C129" s="70"/>
      <c r="D129" s="71"/>
      <c r="E129" s="72"/>
      <c r="F129" s="71"/>
      <c r="G129" s="73"/>
      <c r="H129" s="73"/>
      <c r="I129" s="64"/>
      <c r="J129" s="64"/>
      <c r="K129" s="66"/>
      <c r="L129" s="64"/>
    </row>
    <row r="130" spans="2:12" ht="18">
      <c r="B130" s="279"/>
      <c r="C130" s="279"/>
      <c r="D130" s="71"/>
      <c r="E130" s="72"/>
      <c r="F130" s="71"/>
      <c r="G130" s="73"/>
      <c r="H130" s="73"/>
      <c r="I130" s="64"/>
      <c r="J130" s="64"/>
      <c r="K130" s="66"/>
      <c r="L130" s="64"/>
    </row>
    <row r="131" spans="2:12" ht="18">
      <c r="B131" s="69"/>
      <c r="C131" s="70"/>
      <c r="D131" s="71"/>
      <c r="E131" s="72"/>
      <c r="F131" s="71"/>
      <c r="G131" s="73"/>
      <c r="H131" s="73"/>
      <c r="I131" s="64"/>
      <c r="J131" s="64"/>
      <c r="K131" s="66"/>
      <c r="L131" s="64"/>
    </row>
    <row r="132" spans="2:12" ht="18">
      <c r="B132" s="69"/>
      <c r="C132" s="70"/>
      <c r="D132" s="71"/>
      <c r="E132" s="72"/>
      <c r="F132" s="71"/>
      <c r="G132" s="73"/>
      <c r="H132" s="73"/>
      <c r="I132" s="64"/>
      <c r="J132" s="64"/>
      <c r="K132" s="66"/>
      <c r="L132" s="64"/>
    </row>
    <row r="133" spans="2:12" ht="18">
      <c r="B133" s="69"/>
      <c r="C133" s="70"/>
      <c r="D133" s="71"/>
      <c r="E133" s="72"/>
      <c r="F133" s="71"/>
      <c r="G133" s="73"/>
      <c r="H133" s="73"/>
      <c r="I133" s="64"/>
      <c r="J133" s="64"/>
      <c r="K133" s="66"/>
      <c r="L133" s="64"/>
    </row>
    <row r="134" spans="2:12" ht="18">
      <c r="B134" s="69"/>
      <c r="C134" s="70"/>
      <c r="D134" s="71"/>
      <c r="E134" s="72"/>
      <c r="F134" s="71"/>
      <c r="G134" s="73"/>
      <c r="H134" s="73"/>
      <c r="I134" s="64"/>
      <c r="J134" s="64"/>
      <c r="K134" s="66"/>
      <c r="L134" s="64"/>
    </row>
    <row r="135" spans="2:12" ht="18">
      <c r="B135" s="69"/>
      <c r="C135" s="70"/>
      <c r="D135" s="71"/>
      <c r="E135" s="72"/>
      <c r="F135" s="71"/>
      <c r="G135" s="73"/>
      <c r="H135" s="73"/>
      <c r="I135" s="64"/>
      <c r="J135" s="64"/>
      <c r="K135" s="66"/>
      <c r="L135" s="64"/>
    </row>
    <row r="136" spans="2:12" ht="18">
      <c r="B136" s="69"/>
      <c r="C136" s="70"/>
      <c r="D136" s="71"/>
      <c r="E136" s="72"/>
      <c r="F136" s="71"/>
      <c r="G136" s="73"/>
      <c r="H136" s="73"/>
      <c r="I136" s="64"/>
      <c r="J136" s="64"/>
      <c r="K136" s="66"/>
      <c r="L136" s="64"/>
    </row>
    <row r="137" spans="2:12" ht="18">
      <c r="B137" s="69"/>
      <c r="C137" s="70"/>
      <c r="D137" s="71"/>
      <c r="E137" s="72"/>
      <c r="F137" s="71"/>
      <c r="G137" s="73"/>
      <c r="H137" s="73"/>
      <c r="I137" s="64"/>
      <c r="J137" s="64"/>
      <c r="K137" s="66"/>
      <c r="L137" s="64"/>
    </row>
    <row r="138" spans="2:12" ht="18">
      <c r="B138" s="69"/>
      <c r="C138" s="70"/>
      <c r="D138" s="71"/>
      <c r="E138" s="72"/>
      <c r="F138" s="71"/>
      <c r="G138" s="73"/>
      <c r="H138" s="73"/>
      <c r="I138" s="64"/>
      <c r="J138" s="64"/>
      <c r="K138" s="66"/>
      <c r="L138" s="64"/>
    </row>
    <row r="139" spans="2:12" ht="18">
      <c r="B139" s="69"/>
      <c r="C139" s="70"/>
      <c r="D139" s="71"/>
      <c r="E139" s="72"/>
      <c r="F139" s="71"/>
      <c r="G139" s="73"/>
      <c r="H139" s="73"/>
      <c r="I139" s="64"/>
      <c r="J139" s="64"/>
      <c r="K139" s="66"/>
      <c r="L139" s="64"/>
    </row>
    <row r="140" spans="2:12" ht="18">
      <c r="B140" s="69"/>
      <c r="C140" s="70"/>
      <c r="D140" s="71"/>
      <c r="E140" s="72"/>
      <c r="F140" s="71"/>
      <c r="G140" s="73"/>
      <c r="H140" s="73"/>
      <c r="I140" s="64"/>
      <c r="J140" s="64"/>
      <c r="K140" s="66"/>
      <c r="L140" s="64"/>
    </row>
    <row r="141" spans="2:12" ht="18">
      <c r="B141" s="61"/>
      <c r="C141" s="62"/>
      <c r="D141" s="62"/>
      <c r="E141" s="61"/>
      <c r="F141" s="61"/>
      <c r="G141" s="61"/>
      <c r="H141" s="63"/>
      <c r="I141" s="64"/>
      <c r="J141" s="64"/>
      <c r="K141" s="66"/>
      <c r="L141" s="64"/>
    </row>
    <row r="142" spans="2:12" ht="18">
      <c r="B142" s="54"/>
      <c r="C142" s="54"/>
      <c r="D142" s="54"/>
      <c r="E142" s="54"/>
      <c r="F142" s="54"/>
      <c r="G142" s="54"/>
      <c r="H142" s="54"/>
      <c r="I142" s="64"/>
      <c r="J142" s="64"/>
      <c r="K142" s="66"/>
      <c r="L142" s="64"/>
    </row>
    <row r="143" spans="2:12" ht="18">
      <c r="B143" s="61"/>
      <c r="C143" s="62"/>
      <c r="D143" s="62"/>
      <c r="E143" s="61"/>
      <c r="F143" s="61"/>
      <c r="G143" s="61"/>
      <c r="H143" s="63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4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74"/>
      <c r="C154" s="74"/>
      <c r="D154" s="74"/>
      <c r="E154" s="74"/>
      <c r="F154" s="74"/>
      <c r="G154" s="65"/>
      <c r="H154" s="64"/>
      <c r="I154" s="64"/>
      <c r="J154" s="64"/>
      <c r="K154" s="66"/>
      <c r="L154" s="64"/>
    </row>
    <row r="155" spans="2:12" s="3" customFormat="1" ht="15">
      <c r="B155" s="64"/>
      <c r="C155" s="64"/>
      <c r="D155" s="64"/>
      <c r="E155" s="64"/>
      <c r="F155" s="64"/>
      <c r="G155" s="65"/>
      <c r="H155" s="64"/>
      <c r="I155" s="64"/>
      <c r="J155" s="64"/>
      <c r="K155" s="66"/>
      <c r="L155" s="64"/>
    </row>
    <row r="156" spans="2:12" s="3" customFormat="1" ht="15">
      <c r="B156" s="64"/>
      <c r="C156" s="64"/>
      <c r="D156" s="64"/>
      <c r="E156" s="64"/>
      <c r="F156" s="64"/>
      <c r="G156" s="65"/>
      <c r="H156" s="64"/>
      <c r="I156" s="64"/>
      <c r="J156" s="64"/>
      <c r="K156" s="66"/>
      <c r="L156" s="64"/>
    </row>
    <row r="157" spans="2:12" s="3" customFormat="1" ht="15">
      <c r="B157" s="64"/>
      <c r="C157" s="66"/>
      <c r="D157" s="66"/>
      <c r="E157" s="66"/>
      <c r="F157" s="66"/>
      <c r="G157" s="65"/>
      <c r="H157" s="64"/>
      <c r="I157" s="64"/>
      <c r="J157" s="64"/>
      <c r="K157" s="66"/>
      <c r="L157" s="64"/>
    </row>
    <row r="158" spans="2:12" s="3" customFormat="1" ht="1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6"/>
      <c r="E163" s="64"/>
      <c r="F163" s="64"/>
      <c r="G163" s="65"/>
      <c r="H163" s="64"/>
      <c r="I163" s="64"/>
      <c r="J163" s="64"/>
      <c r="K163" s="66"/>
      <c r="L163" s="64"/>
    </row>
    <row r="164" spans="2:12" s="3" customFormat="1" ht="15">
      <c r="B164" s="64"/>
      <c r="C164" s="66"/>
      <c r="D164" s="66"/>
      <c r="E164" s="64"/>
      <c r="F164" s="64"/>
      <c r="G164" s="65"/>
      <c r="H164" s="64"/>
      <c r="I164" s="64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4"/>
      <c r="I165" s="64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5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4"/>
      <c r="C172" s="64"/>
      <c r="D172" s="64"/>
      <c r="E172" s="64"/>
      <c r="F172" s="64"/>
      <c r="G172" s="65"/>
      <c r="H172" s="64"/>
      <c r="I172" s="64"/>
      <c r="J172" s="64"/>
      <c r="K172" s="66"/>
      <c r="L172" s="64"/>
    </row>
    <row r="173" spans="2:12" s="3" customFormat="1" ht="15">
      <c r="B173" s="64"/>
      <c r="C173" s="64"/>
      <c r="D173" s="64"/>
      <c r="E173" s="64"/>
      <c r="F173" s="64"/>
      <c r="G173" s="65"/>
      <c r="H173" s="64"/>
      <c r="I173" s="64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4"/>
      <c r="I174" s="64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6"/>
      <c r="C177" s="66"/>
      <c r="D177" s="66"/>
      <c r="E177" s="66"/>
      <c r="F177" s="66"/>
      <c r="G177" s="66"/>
      <c r="H177" s="66"/>
      <c r="I177" s="66"/>
      <c r="J177" s="64"/>
      <c r="K177" s="66"/>
      <c r="L177" s="64"/>
    </row>
    <row r="178" spans="2:12" s="3" customFormat="1" ht="15">
      <c r="B178" s="66"/>
      <c r="C178" s="66"/>
      <c r="D178" s="66"/>
      <c r="E178" s="66"/>
      <c r="F178" s="66"/>
      <c r="G178" s="75"/>
      <c r="H178" s="66"/>
      <c r="I178" s="66"/>
      <c r="J178" s="64"/>
      <c r="K178" s="66"/>
      <c r="L178" s="75"/>
    </row>
    <row r="179" spans="2:12" s="3" customFormat="1" ht="15">
      <c r="B179" s="66"/>
      <c r="C179" s="66"/>
      <c r="D179" s="66"/>
      <c r="E179" s="66"/>
      <c r="F179" s="66"/>
      <c r="G179" s="66"/>
      <c r="H179" s="66"/>
      <c r="I179" s="76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6"/>
      <c r="I186" s="66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6"/>
      <c r="I187" s="66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6"/>
      <c r="I188" s="66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6"/>
      <c r="I195" s="66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6"/>
      <c r="I196" s="66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6"/>
      <c r="I197" s="66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s="3" customFormat="1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s="3" customFormat="1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s="3" customFormat="1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s="3" customFormat="1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s="3" customFormat="1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s="3" customFormat="1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s="3" customFormat="1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s="3" customFormat="1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s="3" customFormat="1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s="3" customFormat="1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s="3" customFormat="1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s="3" customFormat="1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s="3" customFormat="1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s="3" customFormat="1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s="3" customFormat="1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  <row r="300" spans="2:12" s="3" customFormat="1" ht="15">
      <c r="B300" s="64"/>
      <c r="C300" s="64"/>
      <c r="D300" s="64"/>
      <c r="E300" s="64"/>
      <c r="F300" s="64"/>
      <c r="G300" s="65"/>
      <c r="H300" s="64"/>
      <c r="I300" s="64"/>
      <c r="J300" s="64"/>
      <c r="K300" s="66"/>
      <c r="L300" s="64"/>
    </row>
    <row r="301" spans="2:12" s="3" customFormat="1" ht="15">
      <c r="B301" s="64"/>
      <c r="C301" s="64"/>
      <c r="D301" s="64"/>
      <c r="E301" s="64"/>
      <c r="F301" s="64"/>
      <c r="G301" s="65"/>
      <c r="H301" s="64"/>
      <c r="I301" s="64"/>
      <c r="J301" s="64"/>
      <c r="K301" s="66"/>
      <c r="L301" s="64"/>
    </row>
    <row r="302" spans="2:12" s="3" customFormat="1" ht="15">
      <c r="B302" s="64"/>
      <c r="C302" s="64"/>
      <c r="D302" s="64"/>
      <c r="E302" s="64"/>
      <c r="F302" s="64"/>
      <c r="G302" s="65"/>
      <c r="H302" s="64"/>
      <c r="I302" s="64"/>
      <c r="J302" s="64"/>
      <c r="K302" s="66"/>
      <c r="L302" s="64"/>
    </row>
    <row r="303" spans="2:12" s="3" customFormat="1" ht="15">
      <c r="B303" s="64"/>
      <c r="C303" s="64"/>
      <c r="D303" s="64"/>
      <c r="E303" s="64"/>
      <c r="F303" s="64"/>
      <c r="G303" s="65"/>
      <c r="H303" s="64"/>
      <c r="I303" s="64"/>
      <c r="J303" s="64"/>
      <c r="K303" s="66"/>
      <c r="L303" s="64"/>
    </row>
    <row r="304" spans="2:12" s="3" customFormat="1" ht="15">
      <c r="B304" s="64"/>
      <c r="C304" s="64"/>
      <c r="D304" s="64"/>
      <c r="E304" s="64"/>
      <c r="F304" s="64"/>
      <c r="G304" s="65"/>
      <c r="H304" s="64"/>
      <c r="I304" s="64"/>
      <c r="J304" s="64"/>
      <c r="K304" s="66"/>
      <c r="L304" s="64"/>
    </row>
    <row r="305" spans="2:12" s="3" customFormat="1" ht="15">
      <c r="B305" s="64"/>
      <c r="C305" s="64"/>
      <c r="D305" s="64"/>
      <c r="E305" s="64"/>
      <c r="F305" s="64"/>
      <c r="G305" s="65"/>
      <c r="H305" s="64"/>
      <c r="I305" s="64"/>
      <c r="J305" s="64"/>
      <c r="K305" s="66"/>
      <c r="L305" s="64"/>
    </row>
    <row r="306" spans="2:12" s="3" customFormat="1" ht="15">
      <c r="B306" s="64"/>
      <c r="C306" s="64"/>
      <c r="D306" s="64"/>
      <c r="E306" s="64"/>
      <c r="F306" s="64"/>
      <c r="G306" s="65"/>
      <c r="H306" s="64"/>
      <c r="I306" s="64"/>
      <c r="J306" s="64"/>
      <c r="K306" s="66"/>
      <c r="L306" s="64"/>
    </row>
    <row r="307" spans="2:12" s="3" customFormat="1" ht="15">
      <c r="B307" s="64"/>
      <c r="C307" s="64"/>
      <c r="D307" s="64"/>
      <c r="E307" s="64"/>
      <c r="F307" s="64"/>
      <c r="G307" s="65"/>
      <c r="H307" s="64"/>
      <c r="I307" s="64"/>
      <c r="J307" s="64"/>
      <c r="K307" s="66"/>
      <c r="L307" s="64"/>
    </row>
    <row r="308" spans="2:12" ht="15">
      <c r="B308" s="64"/>
      <c r="C308" s="64"/>
      <c r="D308" s="64"/>
      <c r="E308" s="64"/>
      <c r="F308" s="64"/>
      <c r="G308" s="65"/>
      <c r="H308" s="64"/>
      <c r="I308" s="64"/>
      <c r="J308" s="64"/>
      <c r="K308" s="66"/>
      <c r="L308" s="64"/>
    </row>
    <row r="309" spans="2:12" ht="15">
      <c r="B309" s="64"/>
      <c r="C309" s="64"/>
      <c r="D309" s="64"/>
      <c r="E309" s="64"/>
      <c r="F309" s="64"/>
      <c r="G309" s="65"/>
      <c r="H309" s="64"/>
      <c r="I309" s="64"/>
      <c r="J309" s="64"/>
      <c r="K309" s="66"/>
      <c r="L309" s="64"/>
    </row>
    <row r="310" spans="2:12" ht="15">
      <c r="B310" s="64"/>
      <c r="C310" s="64"/>
      <c r="D310" s="64"/>
      <c r="E310" s="64"/>
      <c r="F310" s="64"/>
      <c r="G310" s="65"/>
      <c r="H310" s="64"/>
      <c r="I310" s="64"/>
      <c r="J310" s="64"/>
      <c r="K310" s="66"/>
      <c r="L310" s="64"/>
    </row>
    <row r="311" spans="2:12" ht="15">
      <c r="B311" s="64"/>
      <c r="C311" s="64"/>
      <c r="D311" s="64"/>
      <c r="E311" s="64"/>
      <c r="F311" s="64"/>
      <c r="G311" s="65"/>
      <c r="H311" s="64"/>
      <c r="I311" s="64"/>
      <c r="J311" s="64"/>
      <c r="K311" s="66"/>
      <c r="L311" s="64"/>
    </row>
    <row r="312" spans="2:12" ht="15">
      <c r="B312" s="64"/>
      <c r="C312" s="64"/>
      <c r="D312" s="64"/>
      <c r="E312" s="64"/>
      <c r="F312" s="64"/>
      <c r="G312" s="65"/>
      <c r="H312" s="64"/>
      <c r="I312" s="64"/>
      <c r="J312" s="64"/>
      <c r="K312" s="66"/>
      <c r="L312" s="64"/>
    </row>
    <row r="313" spans="2:12" ht="15">
      <c r="B313" s="64"/>
      <c r="C313" s="64"/>
      <c r="D313" s="64"/>
      <c r="E313" s="64"/>
      <c r="F313" s="64"/>
      <c r="G313" s="65"/>
      <c r="H313" s="64"/>
      <c r="I313" s="64"/>
      <c r="J313" s="64"/>
      <c r="K313" s="66"/>
      <c r="L313" s="64"/>
    </row>
    <row r="314" spans="2:12" ht="15">
      <c r="B314" s="64"/>
      <c r="C314" s="64"/>
      <c r="D314" s="64"/>
      <c r="E314" s="64"/>
      <c r="F314" s="64"/>
      <c r="G314" s="65"/>
      <c r="H314" s="64"/>
      <c r="I314" s="64"/>
      <c r="J314" s="64"/>
      <c r="K314" s="66"/>
      <c r="L314" s="64"/>
    </row>
    <row r="315" spans="2:12" ht="15">
      <c r="B315" s="64"/>
      <c r="C315" s="64"/>
      <c r="D315" s="64"/>
      <c r="E315" s="64"/>
      <c r="F315" s="64"/>
      <c r="G315" s="65"/>
      <c r="H315" s="64"/>
      <c r="I315" s="64"/>
      <c r="J315" s="64"/>
      <c r="K315" s="66"/>
      <c r="L315" s="64"/>
    </row>
    <row r="316" spans="2:12" ht="15">
      <c r="B316" s="64"/>
      <c r="C316" s="64"/>
      <c r="D316" s="64"/>
      <c r="E316" s="64"/>
      <c r="F316" s="64"/>
      <c r="G316" s="65"/>
      <c r="H316" s="64"/>
      <c r="I316" s="64"/>
      <c r="J316" s="64"/>
      <c r="K316" s="66"/>
      <c r="L316" s="64"/>
    </row>
    <row r="317" spans="2:12" ht="15">
      <c r="B317" s="64"/>
      <c r="C317" s="64"/>
      <c r="D317" s="64"/>
      <c r="E317" s="64"/>
      <c r="F317" s="64"/>
      <c r="G317" s="65"/>
      <c r="H317" s="64"/>
      <c r="I317" s="64"/>
      <c r="J317" s="64"/>
      <c r="K317" s="66"/>
      <c r="L317" s="64"/>
    </row>
    <row r="318" spans="2:12" ht="15">
      <c r="B318" s="64"/>
      <c r="C318" s="64"/>
      <c r="D318" s="64"/>
      <c r="E318" s="64"/>
      <c r="F318" s="64"/>
      <c r="G318" s="65"/>
      <c r="H318" s="64"/>
      <c r="I318" s="64"/>
      <c r="J318" s="64"/>
      <c r="K318" s="66"/>
      <c r="L318" s="64"/>
    </row>
    <row r="319" spans="2:12" ht="15">
      <c r="B319" s="64"/>
      <c r="C319" s="64"/>
      <c r="D319" s="64"/>
      <c r="E319" s="64"/>
      <c r="F319" s="64"/>
      <c r="G319" s="65"/>
      <c r="H319" s="64"/>
      <c r="I319" s="64"/>
      <c r="J319" s="64"/>
      <c r="K319" s="66"/>
      <c r="L319" s="64"/>
    </row>
    <row r="320" spans="2:12" ht="15">
      <c r="B320" s="64"/>
      <c r="C320" s="64"/>
      <c r="D320" s="64"/>
      <c r="E320" s="64"/>
      <c r="F320" s="64"/>
      <c r="G320" s="65"/>
      <c r="H320" s="64"/>
      <c r="I320" s="64"/>
      <c r="J320" s="64"/>
      <c r="K320" s="66"/>
      <c r="L320" s="64"/>
    </row>
    <row r="321" spans="2:12" ht="15">
      <c r="B321" s="64"/>
      <c r="C321" s="64"/>
      <c r="D321" s="64"/>
      <c r="E321" s="64"/>
      <c r="F321" s="64"/>
      <c r="G321" s="65"/>
      <c r="H321" s="64"/>
      <c r="I321" s="64"/>
      <c r="J321" s="64"/>
      <c r="K321" s="66"/>
      <c r="L321" s="64"/>
    </row>
    <row r="322" spans="2:12" ht="15">
      <c r="B322" s="64"/>
      <c r="C322" s="64"/>
      <c r="D322" s="64"/>
      <c r="E322" s="64"/>
      <c r="F322" s="64"/>
      <c r="G322" s="65"/>
      <c r="H322" s="64"/>
      <c r="I322" s="64"/>
      <c r="J322" s="64"/>
      <c r="K322" s="66"/>
      <c r="L322" s="64"/>
    </row>
  </sheetData>
  <sheetProtection/>
  <mergeCells count="118">
    <mergeCell ref="B75:D75"/>
    <mergeCell ref="E29:F29"/>
    <mergeCell ref="E30:F30"/>
    <mergeCell ref="B30:D30"/>
    <mergeCell ref="E37:F37"/>
    <mergeCell ref="E38:F38"/>
    <mergeCell ref="B34:D34"/>
    <mergeCell ref="E57:F57"/>
    <mergeCell ref="E58:F58"/>
    <mergeCell ref="E46:F46"/>
    <mergeCell ref="E39:F39"/>
    <mergeCell ref="E40:F40"/>
    <mergeCell ref="E56:F56"/>
    <mergeCell ref="E47:F47"/>
    <mergeCell ref="E48:F48"/>
    <mergeCell ref="E43:F43"/>
    <mergeCell ref="E53:F53"/>
    <mergeCell ref="E49:F49"/>
    <mergeCell ref="E51:F51"/>
    <mergeCell ref="B25:D25"/>
    <mergeCell ref="B27:D27"/>
    <mergeCell ref="B28:D28"/>
    <mergeCell ref="E23:F23"/>
    <mergeCell ref="E24:F24"/>
    <mergeCell ref="E27:F27"/>
    <mergeCell ref="E28:F28"/>
    <mergeCell ref="E25:F25"/>
    <mergeCell ref="E26:F26"/>
    <mergeCell ref="B2:J2"/>
    <mergeCell ref="E3:G3"/>
    <mergeCell ref="B12:E12"/>
    <mergeCell ref="G12:J12"/>
    <mergeCell ref="D4:H4"/>
    <mergeCell ref="E22:F22"/>
    <mergeCell ref="B22:D22"/>
    <mergeCell ref="B21:D21"/>
    <mergeCell ref="E34:F34"/>
    <mergeCell ref="D6:J6"/>
    <mergeCell ref="B24:D24"/>
    <mergeCell ref="E20:F20"/>
    <mergeCell ref="B14:D14"/>
    <mergeCell ref="E21:F21"/>
    <mergeCell ref="B33:D33"/>
    <mergeCell ref="B31:I31"/>
    <mergeCell ref="E33:F33"/>
    <mergeCell ref="B26:D26"/>
    <mergeCell ref="B38:D38"/>
    <mergeCell ref="B40:D40"/>
    <mergeCell ref="B36:D36"/>
    <mergeCell ref="B41:I41"/>
    <mergeCell ref="E67:F67"/>
    <mergeCell ref="B43:D43"/>
    <mergeCell ref="E36:F36"/>
    <mergeCell ref="E64:F64"/>
    <mergeCell ref="E60:F60"/>
    <mergeCell ref="E61:F61"/>
    <mergeCell ref="E35:F35"/>
    <mergeCell ref="E44:F44"/>
    <mergeCell ref="L76:O76"/>
    <mergeCell ref="G92:H92"/>
    <mergeCell ref="B35:D35"/>
    <mergeCell ref="B78:D78"/>
    <mergeCell ref="B77:D77"/>
    <mergeCell ref="B80:I80"/>
    <mergeCell ref="E79:F79"/>
    <mergeCell ref="E89:J89"/>
    <mergeCell ref="B79:D79"/>
    <mergeCell ref="B130:C130"/>
    <mergeCell ref="B76:D76"/>
    <mergeCell ref="B93:D93"/>
    <mergeCell ref="E90:F90"/>
    <mergeCell ref="E99:F100"/>
    <mergeCell ref="E77:F77"/>
    <mergeCell ref="B102:J102"/>
    <mergeCell ref="B109:J109"/>
    <mergeCell ref="B91:D91"/>
    <mergeCell ref="B87:J87"/>
    <mergeCell ref="B89:D90"/>
    <mergeCell ref="B99:D100"/>
    <mergeCell ref="E78:F78"/>
    <mergeCell ref="B88:J88"/>
    <mergeCell ref="B92:D92"/>
    <mergeCell ref="I92:J92"/>
    <mergeCell ref="E93:F93"/>
    <mergeCell ref="G91:H91"/>
    <mergeCell ref="E91:F91"/>
    <mergeCell ref="E92:F92"/>
    <mergeCell ref="I99:J100"/>
    <mergeCell ref="I90:J90"/>
    <mergeCell ref="G99:H100"/>
    <mergeCell ref="B95:J96"/>
    <mergeCell ref="G97:H98"/>
    <mergeCell ref="E75:F75"/>
    <mergeCell ref="I91:J91"/>
    <mergeCell ref="J82:J83"/>
    <mergeCell ref="I97:J98"/>
    <mergeCell ref="G90:H90"/>
    <mergeCell ref="B97:D98"/>
    <mergeCell ref="B82:I83"/>
    <mergeCell ref="I93:J93"/>
    <mergeCell ref="E97:F98"/>
    <mergeCell ref="G93:H93"/>
    <mergeCell ref="E52:F52"/>
    <mergeCell ref="E63:F63"/>
    <mergeCell ref="E65:F65"/>
    <mergeCell ref="E54:F54"/>
    <mergeCell ref="E76:F76"/>
    <mergeCell ref="E72:F72"/>
    <mergeCell ref="E62:F62"/>
    <mergeCell ref="B70:I70"/>
    <mergeCell ref="B68:I68"/>
    <mergeCell ref="E66:F66"/>
    <mergeCell ref="B103:J103"/>
    <mergeCell ref="B104:J104"/>
    <mergeCell ref="B105:J105"/>
    <mergeCell ref="B106:J106"/>
    <mergeCell ref="B107:J107"/>
    <mergeCell ref="B108:J10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5" t="s">
        <v>56</v>
      </c>
      <c r="C1" s="48">
        <v>9000</v>
      </c>
    </row>
    <row r="2" spans="2:3" ht="15">
      <c r="B2" s="45" t="s">
        <v>57</v>
      </c>
      <c r="C2" s="148">
        <f>((rendimiento-$C$1)/$C$1)+1</f>
        <v>1</v>
      </c>
    </row>
    <row r="3" ht="18">
      <c r="B3" s="13"/>
    </row>
    <row r="4" spans="2:12" ht="18">
      <c r="B4" s="327" t="s">
        <v>33</v>
      </c>
      <c r="C4" s="327"/>
      <c r="E4" s="3" t="s">
        <v>61</v>
      </c>
      <c r="K4" s="150"/>
      <c r="L4" s="10"/>
    </row>
    <row r="5" spans="1:5" ht="18">
      <c r="A5" s="151" t="s">
        <v>58</v>
      </c>
      <c r="B5" s="152" t="s">
        <v>75</v>
      </c>
      <c r="C5" s="153"/>
      <c r="D5" s="153"/>
      <c r="E5" s="154">
        <v>9000</v>
      </c>
    </row>
    <row r="6" spans="1:5" ht="18">
      <c r="A6" s="151" t="s">
        <v>58</v>
      </c>
      <c r="B6" s="152" t="s">
        <v>77</v>
      </c>
      <c r="C6" s="155"/>
      <c r="D6" s="155"/>
      <c r="E6" s="154">
        <v>9000</v>
      </c>
    </row>
    <row r="7" spans="1:5" ht="18">
      <c r="A7" s="151" t="s">
        <v>58</v>
      </c>
      <c r="B7" s="152"/>
      <c r="C7" s="155"/>
      <c r="D7" s="155"/>
      <c r="E7" s="154"/>
    </row>
    <row r="8" spans="1:5" ht="18">
      <c r="A8" s="156" t="s">
        <v>59</v>
      </c>
      <c r="B8" s="157"/>
      <c r="C8" s="160"/>
      <c r="D8" s="160"/>
      <c r="E8" s="159"/>
    </row>
    <row r="9" spans="1:5" ht="18">
      <c r="A9" s="156" t="s">
        <v>59</v>
      </c>
      <c r="B9" s="157"/>
      <c r="C9" s="160"/>
      <c r="D9" s="160"/>
      <c r="E9" s="159"/>
    </row>
    <row r="10" spans="1:5" ht="18">
      <c r="A10" s="156" t="s">
        <v>59</v>
      </c>
      <c r="B10" s="157"/>
      <c r="C10" s="158"/>
      <c r="D10" s="158"/>
      <c r="E10" s="159"/>
    </row>
    <row r="11" spans="1:5" ht="18">
      <c r="A11" s="151" t="s">
        <v>60</v>
      </c>
      <c r="B11" s="152"/>
      <c r="C11" s="153"/>
      <c r="D11" s="153"/>
      <c r="E11" s="154"/>
    </row>
    <row r="12" spans="1:5" ht="18">
      <c r="A12" s="151" t="s">
        <v>60</v>
      </c>
      <c r="B12" s="152"/>
      <c r="C12" s="153"/>
      <c r="D12" s="153"/>
      <c r="E12" s="154"/>
    </row>
    <row r="13" spans="1:5" ht="18">
      <c r="A13" s="151" t="s">
        <v>60</v>
      </c>
      <c r="B13" s="152"/>
      <c r="C13" s="161"/>
      <c r="D13" s="161"/>
      <c r="E13" s="154"/>
    </row>
    <row r="18" spans="2:4" ht="15">
      <c r="B18" s="328" t="s">
        <v>29</v>
      </c>
      <c r="C18" s="328"/>
      <c r="D18" s="328"/>
    </row>
    <row r="20" spans="2:4" ht="18">
      <c r="B20" s="47" t="s">
        <v>31</v>
      </c>
      <c r="C20" s="46">
        <f>sandía!B91</f>
        <v>8100</v>
      </c>
      <c r="D20" s="46">
        <f>sandía!B93</f>
        <v>9900</v>
      </c>
    </row>
    <row r="21" ht="15">
      <c r="B21" s="24"/>
    </row>
    <row r="22" spans="2:4" ht="15">
      <c r="B22" s="45" t="s">
        <v>32</v>
      </c>
      <c r="C22" s="48">
        <f>((C20-rendimiento)/rendimiento)+1</f>
        <v>0.9</v>
      </c>
      <c r="D22" s="48">
        <f>((D20-rendimiento)/rendimiento)+1</f>
        <v>1.1</v>
      </c>
    </row>
    <row r="23" spans="2:4" ht="18">
      <c r="B23" s="17"/>
      <c r="C23" s="46"/>
      <c r="D23" s="46"/>
    </row>
    <row r="24" spans="2:6" ht="18">
      <c r="B24" s="47" t="s">
        <v>19</v>
      </c>
      <c r="C24" s="46"/>
      <c r="D24" s="46"/>
      <c r="E24" s="10"/>
      <c r="F24" s="10"/>
    </row>
    <row r="25" spans="2:5" ht="18">
      <c r="B25" s="17" t="s">
        <v>35</v>
      </c>
      <c r="C25" s="10">
        <f>SUM(sandía!J22:J30)-_xlfn.IFERROR(INDEX(sandía!$J$22:$J$30,MATCH(B5,sandía!$B$22:$B$30,0)),"0")-_xlfn.IFERROR(INDEX(sandía!$J$22:$J$30,MATCH(B6,sandía!$B$22:$B$30,0)),"0")-_xlfn.IFERROR(INDEX(sandía!$J$22:$J$30,MATCH(B7,sandía!$B$22:$B$30,0)),"0")</f>
        <v>572000</v>
      </c>
      <c r="D25" s="10">
        <f>SUM(sandía!J22:J30)-_xlfn.IFERROR(INDEX(sandía!$J$22:$J$30,MATCH(B5,sandía!$B$22:$B$30,0)),"0")-_xlfn.IFERROR(INDEX(sandía!$J$22:$J$30,MATCH(B6,sandía!$B$22:$B$30,0)),"0")-_xlfn.IFERROR(INDEX(sandía!$J$22:$J$30,MATCH(B7,sandía!$B$22:$B$30,0)),"0")</f>
        <v>572000</v>
      </c>
      <c r="E25" s="10"/>
    </row>
    <row r="26" spans="2:4" ht="18">
      <c r="B26" s="49" t="s">
        <v>36</v>
      </c>
      <c r="C26" s="149">
        <f>C22*(_xlfn.IFERROR(INDEX(sandía!$J$22:$J$30,MATCH(B5,sandía!$B$22:$B$30,0)),"0")+_xlfn.IFERROR(INDEX(sandía!$J$22:$J$30,MATCH(B6,sandía!$B$22:$B$30,0)),"0")+_xlfn.IFERROR(INDEX(sandía!$J$22:$J$30,MATCH(B7,sandía!$B$22:$B$30,0)),"0"))</f>
        <v>664200</v>
      </c>
      <c r="D26" s="149">
        <f>D22*(_xlfn.IFERROR(INDEX(sandía!$J$22:$J$30,MATCH(B5,sandía!$B$22:$B$30,0)),"0")+_xlfn.IFERROR(INDEX(sandía!$J$22:$J$30,MATCH(B6,sandía!$B$22:$B$30,0)),"0")+_xlfn.IFERROR(INDEX(sandía!$J$22:$J$30,MATCH(B7,sandía!$B$22:$B$30,0)),"0"))</f>
        <v>811800.0000000001</v>
      </c>
    </row>
    <row r="27" spans="2:4" ht="18">
      <c r="B27" s="17" t="s">
        <v>37</v>
      </c>
      <c r="C27" s="10">
        <f>SUM(C25:C26)</f>
        <v>1236200</v>
      </c>
      <c r="D27" s="10">
        <f>SUM(D25:D26)</f>
        <v>1383800</v>
      </c>
    </row>
    <row r="28" ht="18">
      <c r="B28" s="17"/>
    </row>
    <row r="29" ht="18">
      <c r="B29" s="47" t="s">
        <v>21</v>
      </c>
    </row>
    <row r="30" spans="2:4" ht="18">
      <c r="B30" s="17" t="s">
        <v>35</v>
      </c>
      <c r="C30" s="10">
        <f>SUM(sandía!J34:J40)-_xlfn.IFERROR(INDEX(sandía!$J$34:$J$40,MATCH(B8,sandía!$B$34:$B$40,0)),"0")-_xlfn.IFERROR(INDEX(sandía!$J$34:$J$40,MATCH(B9,sandía!$B$34:$B$40,0)),"0")-_xlfn.IFERROR(INDEX(sandía!$J$34:$J$40,MATCH(B10,sandía!$B$34:$B$40,0)),"0")</f>
        <v>337000</v>
      </c>
      <c r="D30" s="10">
        <f>SUM(sandía!J34:J40)-_xlfn.IFERROR(INDEX(sandía!$J$34:$J$40,MATCH(B8,sandía!$B$34:$B$40,0)),"0")-_xlfn.IFERROR(INDEX(sandía!$J$34:$J$40,MATCH(B9,sandía!$B$34:$B$40,0)),"0")-_xlfn.IFERROR(INDEX(sandía!$J$34:$J$40,MATCH(B10,sandía!$B$34:$B$40,0)),"0")</f>
        <v>337000</v>
      </c>
    </row>
    <row r="31" spans="2:4" ht="18">
      <c r="B31" s="49" t="s">
        <v>36</v>
      </c>
      <c r="C31" s="149">
        <f>C22*(_xlfn.IFERROR(INDEX(sandía!$J$34:$J$40,MATCH(B8,sandía!$B$34:$B$40,0)),"0")+_xlfn.IFERROR(INDEX(sandía!$J$34:$J$40,MATCH(B9,sandía!$B$34:$B$40,0)),"0")+_xlfn.IFERROR(INDEX(sandía!$J$34:$J$40,MATCH(B10,sandía!$B$34:$B$40,0)),"0"))</f>
        <v>0</v>
      </c>
      <c r="D31" s="149">
        <f>D22*(_xlfn.IFERROR(INDEX(sandía!$J$34:$J$40,MATCH(B8,sandía!$B$34:$B$40,0)),"0")+_xlfn.IFERROR(INDEX(sandía!$J$34:$J$40,MATCH(B9,sandía!$B$34:$B$40,0)),"0")+_xlfn.IFERROR(INDEX(sandía!$J$34:$J$40,MATCH(B10,sandía!$B$34:$B$40,0)),"0"))</f>
        <v>0</v>
      </c>
    </row>
    <row r="32" spans="2:4" ht="18">
      <c r="B32" s="17" t="s">
        <v>37</v>
      </c>
      <c r="C32" s="10">
        <f>SUM(C30:C31)</f>
        <v>337000</v>
      </c>
      <c r="D32" s="10">
        <f>SUM(D30:D31)</f>
        <v>337000</v>
      </c>
    </row>
    <row r="34" ht="18">
      <c r="B34" s="47" t="s">
        <v>38</v>
      </c>
    </row>
    <row r="35" spans="2:4" ht="18">
      <c r="B35" s="17" t="s">
        <v>35</v>
      </c>
      <c r="C35" s="10">
        <f>SUM(sandía!J44:J67)-_xlfn.IFERROR(INDEX(sandía!$J$44:$J$67,MATCH(B11,sandía!$B$44:$B$67,0)),"0")-_xlfn.IFERROR(INDEX(sandía!$J$44:$J$67,MATCH(B12,sandía!$B$44:$B$67,0)),"0")-_xlfn.IFERROR(INDEX(sandía!$J$44:$J$67,MATCH(B13,sandía!$B$44:$B$67,0)),"0")</f>
        <v>1831028.8</v>
      </c>
      <c r="D35" s="10">
        <f>SUM(sandía!J44:J67)-_xlfn.IFERROR(INDEX(sandía!$J$44:$J$67,MATCH(B11,sandía!$B$44:$B$67,0)),"0")-_xlfn.IFERROR(INDEX(sandía!$J$44:$J$67,MATCH(B12,sandía!$B$44:$B$67,0)),"0")-_xlfn.IFERROR(INDEX(sandía!$J$44:$J$67,MATCH(B13,sandía!$B$44:$B$67,0)),"0")</f>
        <v>1831028.8</v>
      </c>
    </row>
    <row r="36" spans="2:4" ht="18">
      <c r="B36" s="49" t="s">
        <v>36</v>
      </c>
      <c r="C36" s="149">
        <f>C22*(_xlfn.IFERROR(INDEX(sandía!$J$44:$J$67,MATCH(B11,sandía!$B$44:$B$67,0)),"0")+_xlfn.IFERROR(INDEX(sandía!$J$44:$J$67,MATCH(B12,sandía!$B$44:$B$67,0)),"0")+_xlfn.IFERROR(INDEX(sandía!$J$44:$J$67,MATCH(B13,sandía!$B$44:$B$67,0)),"0"))</f>
        <v>0</v>
      </c>
      <c r="D36" s="149">
        <f>D22*(_xlfn.IFERROR(INDEX(sandía!$J$44:$J$67,MATCH(B11,sandía!$B$44:$B$67,0)),"0")+_xlfn.IFERROR(INDEX(sandía!$J$44:$J$67,MATCH(B12,sandía!$B$44:$B$67,0)),"0")+_xlfn.IFERROR(INDEX(sandía!$J$44:$J$67,MATCH(B13,sandía!$B$44:$B$67,0)),"0"))</f>
        <v>0</v>
      </c>
    </row>
    <row r="37" spans="2:4" ht="18">
      <c r="B37" s="17" t="s">
        <v>37</v>
      </c>
      <c r="C37" s="10">
        <f>SUM(C35:C36)</f>
        <v>1831028.8</v>
      </c>
      <c r="D37" s="10">
        <f>SUM(D35:D36)</f>
        <v>1831028.8</v>
      </c>
    </row>
    <row r="38" spans="2:4" ht="15">
      <c r="B38" s="24"/>
      <c r="C38" s="28"/>
      <c r="D38" s="28"/>
    </row>
    <row r="39" spans="2:4" ht="18">
      <c r="B39" s="51" t="s">
        <v>39</v>
      </c>
      <c r="C39" s="52">
        <f>C27+C32+C37</f>
        <v>3404228.8</v>
      </c>
      <c r="D39" s="52">
        <f>D27+D32+D37</f>
        <v>3551828.8</v>
      </c>
    </row>
    <row r="40" ht="15">
      <c r="B40" s="24"/>
    </row>
    <row r="41" spans="2:4" ht="18">
      <c r="B41" s="50" t="s">
        <v>0</v>
      </c>
      <c r="C41" s="10">
        <f>C39*sandía!$G$72</f>
        <v>170211.44</v>
      </c>
      <c r="D41" s="10">
        <f>D39*sandía!$G$72</f>
        <v>177591.44</v>
      </c>
    </row>
    <row r="42" spans="2:4" ht="18">
      <c r="B42" s="50" t="s">
        <v>25</v>
      </c>
      <c r="C42" s="10">
        <f>C39*tasa_interes_mensual*meses_financiamiento*0.5</f>
        <v>127658.57999999999</v>
      </c>
      <c r="D42" s="10">
        <f>D39*tasa_interes_mensual*meses_financiamiento*0.5</f>
        <v>133193.58</v>
      </c>
    </row>
    <row r="43" ht="15">
      <c r="B43" s="24"/>
    </row>
    <row r="44" spans="2:4" ht="18">
      <c r="B44" s="51" t="s">
        <v>28</v>
      </c>
      <c r="C44" s="52">
        <f>C39+C41+C42</f>
        <v>3702098.82</v>
      </c>
      <c r="D44" s="52">
        <f>D39+D41+D42</f>
        <v>3862613.82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2017-08-16T19:25:55Z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efa1899a-4035-4785-adc4-4f8163ed1ed9</vt:lpwstr>
  </property>
</Properties>
</file>