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tomate" sheetId="1" r:id="rId1"/>
    <sheet name="rdto_variable" sheetId="2" r:id="rId2"/>
  </sheets>
  <definedNames>
    <definedName name="_xlfn.IFERROR" hidden="1">#NAME?</definedName>
    <definedName name="_xlnm.Print_Area" localSheetId="0">'tomate'!$A$1:$K$119</definedName>
    <definedName name="costo_financiero">'tomate'!$J$83</definedName>
    <definedName name="imprevistos">'tomate'!$J$79</definedName>
    <definedName name="meses_financiamiento">'tomate'!$E$17</definedName>
    <definedName name="precio_de_venta">'tomate'!$E$14</definedName>
    <definedName name="rendimiento">'tomate'!$E$13</definedName>
    <definedName name="tasa_interes_mensual">'tomate'!$E$16</definedName>
    <definedName name="total_costos">'tomate'!$J$89</definedName>
    <definedName name="total_costos_directos">'tomate'!$J$77</definedName>
    <definedName name="total_costos_indirectos">'tomate'!$J$87</definedName>
    <definedName name="total_insumos">'tomate'!$J$75</definedName>
    <definedName name="total_mano_obra">'tomate'!$J$30</definedName>
    <definedName name="total_maquinaria">'tomate'!$J$41</definedName>
  </definedNames>
  <calcPr fullCalcOnLoad="1"/>
</workbook>
</file>

<file path=xl/sharedStrings.xml><?xml version="1.0" encoding="utf-8"?>
<sst xmlns="http://schemas.openxmlformats.org/spreadsheetml/2006/main" count="214" uniqueCount="145">
  <si>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</si>
  <si>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</si>
  <si>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</si>
  <si>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</si>
  <si>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</si>
  <si>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</si>
  <si>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</si>
  <si>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</si>
  <si>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</si>
  <si>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</si>
  <si>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</si>
  <si>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</si>
  <si>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</si>
  <si>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</si>
  <si>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</si>
  <si>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</si>
  <si>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</si>
  <si>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</si>
  <si>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</si>
  <si>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</si>
  <si>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</si>
  <si>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</si>
  <si>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</si>
  <si>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</si>
  <si>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</si>
  <si>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</si>
  <si>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</si>
  <si>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</si>
  <si>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</si>
  <si>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</si>
  <si>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</si>
  <si>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</si>
  <si>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</si>
  <si>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</si>
  <si>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</si>
  <si>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</si>
  <si>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</si>
  <si>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</si>
  <si>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</si>
  <si>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</si>
  <si>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</si>
  <si>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</si>
  <si>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</si>
  <si>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</si>
  <si>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</si>
  <si>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</si>
  <si>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</si>
  <si>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</si>
  <si>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</si>
  <si>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</si>
  <si>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</si>
  <si>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</si>
  <si>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</si>
  <si>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</si>
  <si>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</si>
  <si>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</si>
  <si>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</si>
  <si>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</si>
  <si>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</si>
  <si>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</si>
  <si>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</si>
  <si>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 xml:space="preserve">                 </t>
  </si>
  <si>
    <t>Anual</t>
  </si>
  <si>
    <t>Análisis</t>
  </si>
  <si>
    <t>Fertilizantes foliares:</t>
  </si>
  <si>
    <t>Otros:</t>
  </si>
  <si>
    <t>Karate con tecnología Zeon</t>
  </si>
  <si>
    <t>Fosfimax 40 20</t>
  </si>
  <si>
    <t>Rdto original ficha</t>
  </si>
  <si>
    <t>Ponderador/variación</t>
  </si>
  <si>
    <t>Mano de Obra</t>
  </si>
  <si>
    <t>Maquinaria</t>
  </si>
  <si>
    <t>Insumos</t>
  </si>
  <si>
    <t>Cantidad (Q)</t>
  </si>
  <si>
    <t>Control manual de malezas</t>
  </si>
  <si>
    <t>Cajas</t>
  </si>
  <si>
    <t xml:space="preserve">Aradura </t>
  </si>
  <si>
    <t>Rastraje</t>
  </si>
  <si>
    <t>Acarreo de insumos</t>
  </si>
  <si>
    <t>Mezcla hortalicera</t>
  </si>
  <si>
    <t>Bellis</t>
  </si>
  <si>
    <t>Bulldock 125 SC</t>
  </si>
  <si>
    <t>Aplicación de fitosanitarios</t>
  </si>
  <si>
    <t>Llevar cosecha al packing</t>
  </si>
  <si>
    <t>Nitrato de potasio</t>
  </si>
  <si>
    <t>Sunfire 240 SC</t>
  </si>
  <si>
    <t>Terrasorb foliar</t>
  </si>
  <si>
    <t>Strepto Plus</t>
  </si>
  <si>
    <t>Poda</t>
  </si>
  <si>
    <t>Acoidal - Flo</t>
  </si>
  <si>
    <t>Tecnología de riego: riego por surco</t>
  </si>
  <si>
    <t>Riego</t>
  </si>
  <si>
    <t>Septiembre-enero</t>
  </si>
  <si>
    <t>Trasplante</t>
  </si>
  <si>
    <t>Septiembre-octubre</t>
  </si>
  <si>
    <t>Diciembre-enero</t>
  </si>
  <si>
    <t>Cosecha (2)</t>
  </si>
  <si>
    <t>Septiembre-noviembre</t>
  </si>
  <si>
    <t>Melgadura</t>
  </si>
  <si>
    <t>Acequiadura</t>
  </si>
  <si>
    <t>Aplicación agroquímicos</t>
  </si>
  <si>
    <t>Cultivación entre hileras y aplicar fertilizante</t>
  </si>
  <si>
    <t>Plantas</t>
  </si>
  <si>
    <t>Planta</t>
  </si>
  <si>
    <t>Manzate 200</t>
  </si>
  <si>
    <t>Sencor 480 SC</t>
  </si>
  <si>
    <t>Agosto-diciembre</t>
  </si>
  <si>
    <t>Julio-octubre</t>
  </si>
  <si>
    <t>Octubre-noviembre</t>
  </si>
  <si>
    <t>Octubre-diciembre</t>
  </si>
  <si>
    <t>Octubre-enero</t>
  </si>
  <si>
    <t>Noviembre-enero</t>
  </si>
  <si>
    <t>Junio-julio</t>
  </si>
  <si>
    <t>Tomate al aire libre</t>
  </si>
  <si>
    <t>Región Maule</t>
  </si>
  <si>
    <t>Octubre-febrero</t>
  </si>
  <si>
    <t>Octubre</t>
  </si>
  <si>
    <t>Aplicación fertilizante</t>
  </si>
  <si>
    <t>Enero-febrero</t>
  </si>
  <si>
    <t>Troya 4 EC</t>
  </si>
  <si>
    <t>Bactericidas:</t>
  </si>
  <si>
    <t>Herbicidas:</t>
  </si>
  <si>
    <t>Densidad (Plantas/ha): 8.000 (2m x 0,6m)</t>
  </si>
  <si>
    <t>Tecnología: media</t>
  </si>
  <si>
    <t>1 hectárea marzo 2016</t>
  </si>
  <si>
    <t>Ridomil Gold MZ 68 WG</t>
  </si>
  <si>
    <t>Cajas plásticas cosecha (duración 5 años)</t>
  </si>
  <si>
    <t>(6) 1,5 % mensual simple sobre el 50% de los costos totales. Tasa de interés promedio de las empresasa distribuidoras de insumos.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</si>
  <si>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(2)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</si>
  <si>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</si>
  <si>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</si>
  <si>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</si>
  <si>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</si>
  <si>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</si>
  <si>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(8)</t>
    </r>
  </si>
  <si>
    <t xml:space="preserve">(1) La variedad indicada es referencial. </t>
  </si>
  <si>
    <t>(2) El precio del kilogramo de tomate cosechado corresponde al precio promedio indicado por los agricultores mediante entrevistas en la región, durante el periodo de cosecha a nivel predial en la temporada 2015-2016.</t>
  </si>
  <si>
    <t>(3) La cosecha consisteen: cortar, seleccionar, embalar, y cargar camión. La cantidad de 50.400 kilos equivale  a 2.800 cajas de 18 kg, aproximado de tomate.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</si>
  <si>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</si>
  <si>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(5) Las dosis  y tipo de fertilizantes recomendados  son solos referenciales, deben definirse según  un análisis especifico del terreno.</t>
  </si>
  <si>
    <t>(7) Margen neto corresponde a ingresos totales (precio venta x rendimiento) menos los costos totales.</t>
  </si>
  <si>
    <t>(8) Representa el precio de venta mínimo para cubrir los costos totales de producción.</t>
  </si>
  <si>
    <t>Fecha plantación: octubre</t>
  </si>
  <si>
    <t>Fecha cosecha: enero-febrero</t>
  </si>
  <si>
    <r>
      <t xml:space="preserve">Variedad </t>
    </r>
    <r>
      <rPr>
        <vertAlign val="superscript"/>
        <sz val="14"/>
        <rFont val="Arial"/>
        <family val="2"/>
      </rPr>
      <t>(1)</t>
    </r>
    <r>
      <rPr>
        <sz val="14"/>
        <rFont val="Arial"/>
        <family val="2"/>
      </rPr>
      <t>: Colono; Mykonos</t>
    </r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</si>
</sst>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10">
    <xf numFmtId="0" fontId="0" fillId="0" borderId="0" xfId="0" applyFont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17" fontId="8" fillId="34" borderId="0" xfId="69" applyNumberFormat="1" applyFont="1" applyFill="1" applyAlignment="1" applyProtection="1">
      <alignment/>
      <protection/>
    </xf>
    <xf numFmtId="17" fontId="10" fillId="34" borderId="12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3" xfId="69" applyNumberFormat="1" applyFont="1" applyFill="1" applyBorder="1" applyAlignment="1" applyProtection="1">
      <alignment/>
      <protection/>
    </xf>
    <xf numFmtId="0" fontId="62" fillId="0" borderId="0" xfId="58" applyFont="1" applyFill="1" applyBorder="1" applyAlignment="1" applyProtection="1">
      <alignment horizontal="left"/>
      <protection/>
    </xf>
    <xf numFmtId="0" fontId="62" fillId="0" borderId="0" xfId="58" applyFont="1" applyFill="1" applyBorder="1" applyAlignment="1" applyProtection="1">
      <alignment horizontal="center"/>
      <protection/>
    </xf>
    <xf numFmtId="4" fontId="62" fillId="0" borderId="0" xfId="58" applyNumberFormat="1" applyFont="1" applyFill="1" applyBorder="1" applyAlignment="1" applyProtection="1">
      <alignment/>
      <protection/>
    </xf>
    <xf numFmtId="3" fontId="62" fillId="0" borderId="0" xfId="58" applyNumberFormat="1" applyFont="1" applyFill="1" applyBorder="1" applyAlignment="1" applyProtection="1">
      <alignment/>
      <protection/>
    </xf>
    <xf numFmtId="3" fontId="62" fillId="0" borderId="0" xfId="58" applyNumberFormat="1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63" fillId="0" borderId="0" xfId="58" applyFont="1" applyFill="1" applyBorder="1" applyAlignment="1" applyProtection="1">
      <alignment horizontal="center"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180" fontId="63" fillId="0" borderId="0" xfId="69" applyFont="1" applyFill="1" applyBorder="1" applyAlignment="1" applyProtection="1">
      <alignment horizontal="right"/>
      <protection/>
    </xf>
    <xf numFmtId="3" fontId="63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5" borderId="14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5" xfId="58" applyFont="1" applyFill="1" applyBorder="1" applyAlignment="1" applyProtection="1">
      <alignment vertical="center"/>
      <protection/>
    </xf>
    <xf numFmtId="181" fontId="63" fillId="23" borderId="16" xfId="58" applyNumberFormat="1" applyFont="1" applyFill="1" applyBorder="1" applyAlignment="1" applyProtection="1">
      <alignment horizontal="center" vertical="center" wrapText="1"/>
      <protection/>
    </xf>
    <xf numFmtId="0" fontId="63" fillId="23" borderId="16" xfId="58" applyFont="1" applyFill="1" applyBorder="1" applyAlignment="1" applyProtection="1">
      <alignment horizontal="center" vertical="center" wrapText="1"/>
      <protection/>
    </xf>
    <xf numFmtId="3" fontId="63" fillId="23" borderId="16" xfId="58" applyNumberFormat="1" applyFont="1" applyFill="1" applyBorder="1" applyAlignment="1" applyProtection="1">
      <alignment horizontal="center" vertical="center" wrapText="1"/>
      <protection/>
    </xf>
    <xf numFmtId="3" fontId="63" fillId="23" borderId="14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5" borderId="15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5" borderId="14" xfId="0" applyNumberFormat="1" applyFont="1" applyFill="1" applyBorder="1" applyAlignment="1" applyProtection="1">
      <alignment horizontal="right"/>
      <protection/>
    </xf>
    <xf numFmtId="180" fontId="64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0" fontId="64" fillId="34" borderId="11" xfId="69" applyFont="1" applyFill="1" applyBorder="1" applyAlignment="1" applyProtection="1">
      <alignment/>
      <protection/>
    </xf>
    <xf numFmtId="180" fontId="10" fillId="34" borderId="12" xfId="69" applyFont="1" applyFill="1" applyBorder="1" applyAlignment="1" applyProtection="1">
      <alignment/>
      <protection/>
    </xf>
    <xf numFmtId="180" fontId="8" fillId="34" borderId="12" xfId="69" applyFont="1" applyFill="1" applyBorder="1" applyAlignment="1" applyProtection="1">
      <alignment/>
      <protection/>
    </xf>
    <xf numFmtId="180" fontId="64" fillId="34" borderId="15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65" fillId="34" borderId="16" xfId="69" applyNumberFormat="1" applyFont="1" applyFill="1" applyBorder="1" applyAlignment="1" applyProtection="1">
      <alignment horizontal="left"/>
      <protection/>
    </xf>
    <xf numFmtId="0" fontId="65" fillId="34" borderId="14" xfId="69" applyNumberFormat="1" applyFont="1" applyFill="1" applyBorder="1" applyAlignment="1" applyProtection="1">
      <alignment horizontal="left"/>
      <protection/>
    </xf>
    <xf numFmtId="9" fontId="10" fillId="34" borderId="21" xfId="69" applyNumberFormat="1" applyFont="1" applyFill="1" applyBorder="1" applyAlignment="1" applyProtection="1">
      <alignment horizontal="right"/>
      <protection/>
    </xf>
    <xf numFmtId="0" fontId="10" fillId="34" borderId="21" xfId="58" applyFont="1" applyFill="1" applyBorder="1" applyAlignment="1" applyProtection="1">
      <alignment horizontal="center"/>
      <protection/>
    </xf>
    <xf numFmtId="3" fontId="10" fillId="34" borderId="21" xfId="58" applyNumberFormat="1" applyFont="1" applyFill="1" applyBorder="1" applyAlignment="1" applyProtection="1">
      <alignment horizontal="right"/>
      <protection/>
    </xf>
    <xf numFmtId="3" fontId="63" fillId="23" borderId="22" xfId="58" applyNumberFormat="1" applyFont="1" applyFill="1" applyBorder="1" applyAlignment="1" applyProtection="1">
      <alignment horizontal="center" vertical="center"/>
      <protection/>
    </xf>
    <xf numFmtId="0" fontId="10" fillId="36" borderId="20" xfId="58" applyFont="1" applyFill="1" applyBorder="1" applyAlignment="1" applyProtection="1">
      <alignment/>
      <protection/>
    </xf>
    <xf numFmtId="0" fontId="10" fillId="36" borderId="16" xfId="58" applyFont="1" applyFill="1" applyBorder="1" applyAlignment="1" applyProtection="1">
      <alignment/>
      <protection/>
    </xf>
    <xf numFmtId="0" fontId="10" fillId="36" borderId="16" xfId="58" applyFont="1" applyFill="1" applyBorder="1" applyAlignment="1" applyProtection="1">
      <alignment horizontal="left"/>
      <protection/>
    </xf>
    <xf numFmtId="0" fontId="10" fillId="37" borderId="20" xfId="58" applyFont="1" applyFill="1" applyBorder="1" applyAlignment="1" applyProtection="1">
      <alignment/>
      <protection/>
    </xf>
    <xf numFmtId="0" fontId="10" fillId="37" borderId="16" xfId="58" applyFont="1" applyFill="1" applyBorder="1" applyAlignment="1" applyProtection="1">
      <alignment/>
      <protection/>
    </xf>
    <xf numFmtId="0" fontId="10" fillId="37" borderId="16" xfId="58" applyFont="1" applyFill="1" applyBorder="1" applyAlignment="1" applyProtection="1">
      <alignment horizontal="left"/>
      <protection/>
    </xf>
    <xf numFmtId="181" fontId="8" fillId="34" borderId="23" xfId="0" applyNumberFormat="1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181" fontId="64" fillId="34" borderId="25" xfId="0" applyNumberFormat="1" applyFont="1" applyFill="1" applyBorder="1" applyAlignment="1" applyProtection="1">
      <alignment/>
      <protection/>
    </xf>
    <xf numFmtId="0" fontId="66" fillId="34" borderId="12" xfId="0" applyFont="1" applyFill="1" applyBorder="1" applyAlignment="1" applyProtection="1">
      <alignment/>
      <protection/>
    </xf>
    <xf numFmtId="3" fontId="10" fillId="34" borderId="12" xfId="58" applyNumberFormat="1" applyFont="1" applyFill="1" applyBorder="1" applyAlignment="1" applyProtection="1">
      <alignment/>
      <protection/>
    </xf>
    <xf numFmtId="183" fontId="8" fillId="34" borderId="15" xfId="58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180" fontId="63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2" fontId="66" fillId="34" borderId="0" xfId="69" applyNumberFormat="1" applyFont="1" applyFill="1" applyBorder="1" applyAlignment="1" applyProtection="1">
      <alignment/>
      <protection/>
    </xf>
    <xf numFmtId="17" fontId="10" fillId="34" borderId="23" xfId="69" applyNumberFormat="1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7" fillId="34" borderId="13" xfId="0" applyFont="1" applyFill="1" applyBorder="1" applyAlignment="1" applyProtection="1">
      <alignment/>
      <protection/>
    </xf>
    <xf numFmtId="3" fontId="8" fillId="34" borderId="13" xfId="69" applyNumberFormat="1" applyFont="1" applyFill="1" applyBorder="1" applyAlignment="1" applyProtection="1">
      <alignment/>
      <protection/>
    </xf>
    <xf numFmtId="3" fontId="64" fillId="34" borderId="22" xfId="69" applyNumberFormat="1" applyFont="1" applyFill="1" applyBorder="1" applyAlignment="1" applyProtection="1">
      <alignment/>
      <protection/>
    </xf>
    <xf numFmtId="180" fontId="10" fillId="34" borderId="24" xfId="69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180" fontId="10" fillId="34" borderId="25" xfId="69" applyFont="1" applyFill="1" applyBorder="1" applyAlignment="1" applyProtection="1">
      <alignment/>
      <protection/>
    </xf>
    <xf numFmtId="181" fontId="10" fillId="34" borderId="12" xfId="69" applyNumberFormat="1" applyFont="1" applyFill="1" applyBorder="1" applyAlignment="1" applyProtection="1">
      <alignment/>
      <protection/>
    </xf>
    <xf numFmtId="0" fontId="67" fillId="34" borderId="12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/>
    </xf>
    <xf numFmtId="0" fontId="10" fillId="34" borderId="13" xfId="57" applyFont="1" applyFill="1" applyBorder="1" applyProtection="1">
      <alignment/>
      <protection/>
    </xf>
    <xf numFmtId="3" fontId="8" fillId="34" borderId="22" xfId="57" applyNumberFormat="1" applyFont="1" applyFill="1" applyBorder="1" applyAlignment="1" applyProtection="1">
      <alignment horizontal="right"/>
      <protection/>
    </xf>
    <xf numFmtId="3" fontId="8" fillId="34" borderId="11" xfId="57" applyNumberFormat="1" applyFont="1" applyFill="1" applyBorder="1" applyAlignment="1" applyProtection="1">
      <alignment horizontal="right"/>
      <protection/>
    </xf>
    <xf numFmtId="0" fontId="8" fillId="34" borderId="24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0" fontId="8" fillId="34" borderId="11" xfId="71" applyNumberFormat="1" applyFont="1" applyFill="1" applyBorder="1" applyAlignment="1" applyProtection="1">
      <alignment horizontal="right"/>
      <protection/>
    </xf>
    <xf numFmtId="0" fontId="8" fillId="34" borderId="25" xfId="57" applyFont="1" applyFill="1" applyBorder="1" applyAlignment="1" applyProtection="1">
      <alignment horizontal="left"/>
      <protection/>
    </xf>
    <xf numFmtId="181" fontId="10" fillId="34" borderId="12" xfId="69" applyNumberFormat="1" applyFont="1" applyFill="1" applyBorder="1" applyAlignment="1" applyProtection="1">
      <alignment horizontal="center"/>
      <protection/>
    </xf>
    <xf numFmtId="3" fontId="8" fillId="34" borderId="15" xfId="57" applyNumberFormat="1" applyFont="1" applyFill="1" applyBorder="1" applyAlignment="1" applyProtection="1">
      <alignment horizontal="right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181" fontId="10" fillId="34" borderId="17" xfId="58" applyNumberFormat="1" applyFont="1" applyFill="1" applyBorder="1" applyAlignment="1" applyProtection="1">
      <alignment horizontal="right"/>
      <protection/>
    </xf>
    <xf numFmtId="0" fontId="10" fillId="34" borderId="17" xfId="58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181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81" fontId="10" fillId="34" borderId="24" xfId="58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10" fillId="34" borderId="24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180" fontId="10" fillId="34" borderId="17" xfId="69" applyFont="1" applyFill="1" applyBorder="1" applyAlignment="1" applyProtection="1">
      <alignment horizontal="right"/>
      <protection/>
    </xf>
    <xf numFmtId="3" fontId="10" fillId="34" borderId="17" xfId="58" applyNumberFormat="1" applyFont="1" applyFill="1" applyBorder="1" applyAlignment="1" applyProtection="1">
      <alignment horizontal="right"/>
      <protection/>
    </xf>
    <xf numFmtId="0" fontId="8" fillId="34" borderId="24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181" fontId="10" fillId="34" borderId="11" xfId="58" applyNumberFormat="1" applyFont="1" applyFill="1" applyBorder="1" applyAlignment="1" applyProtection="1">
      <alignment horizontal="right"/>
      <protection/>
    </xf>
    <xf numFmtId="0" fontId="10" fillId="34" borderId="24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 horizontal="center"/>
      <protection/>
    </xf>
    <xf numFmtId="0" fontId="8" fillId="34" borderId="24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4" xfId="69" applyNumberFormat="1" applyFont="1" applyFill="1" applyBorder="1" applyAlignment="1" applyProtection="1">
      <alignment horizontal="left"/>
      <protection/>
    </xf>
    <xf numFmtId="0" fontId="8" fillId="34" borderId="0" xfId="69" applyNumberFormat="1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5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6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8" fillId="34" borderId="0" xfId="0" applyFont="1" applyFill="1" applyAlignment="1" applyProtection="1">
      <alignment/>
      <protection/>
    </xf>
    <xf numFmtId="181" fontId="68" fillId="34" borderId="0" xfId="0" applyNumberFormat="1" applyFont="1" applyFill="1" applyAlignment="1" applyProtection="1">
      <alignment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70" fillId="38" borderId="21" xfId="0" applyFont="1" applyFill="1" applyBorder="1" applyAlignment="1" applyProtection="1">
      <alignment horizontal="center"/>
      <protection/>
    </xf>
    <xf numFmtId="0" fontId="43" fillId="0" borderId="21" xfId="0" applyFont="1" applyFill="1" applyBorder="1" applyAlignment="1" applyProtection="1">
      <alignment horizontal="center"/>
      <protection/>
    </xf>
    <xf numFmtId="3" fontId="0" fillId="34" borderId="0" xfId="0" applyNumberForma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3" fontId="10" fillId="34" borderId="0" xfId="57" applyNumberFormat="1" applyFont="1" applyFill="1" applyBorder="1" applyAlignment="1" applyProtection="1">
      <alignment horizontal="right"/>
      <protection/>
    </xf>
    <xf numFmtId="3" fontId="0" fillId="39" borderId="12" xfId="0" applyNumberFormat="1" applyFill="1" applyBorder="1" applyAlignment="1" applyProtection="1">
      <alignment/>
      <protection/>
    </xf>
    <xf numFmtId="3" fontId="0" fillId="34" borderId="13" xfId="0" applyNumberFormat="1" applyFill="1" applyBorder="1" applyAlignment="1" applyProtection="1">
      <alignment/>
      <protection/>
    </xf>
    <xf numFmtId="2" fontId="11" fillId="34" borderId="0" xfId="69" applyNumberFormat="1" applyFont="1" applyFill="1" applyBorder="1" applyAlignment="1" applyProtection="1">
      <alignment horizontal="center" vertical="center" wrapText="1"/>
      <protection/>
    </xf>
    <xf numFmtId="3" fontId="13" fillId="34" borderId="24" xfId="55" applyNumberFormat="1" applyFont="1" applyFill="1" applyBorder="1" applyAlignment="1" applyProtection="1">
      <alignment horizontal="left" vertical="center"/>
      <protection/>
    </xf>
    <xf numFmtId="3" fontId="13" fillId="34" borderId="0" xfId="55" applyNumberFormat="1" applyFont="1" applyFill="1" applyBorder="1" applyAlignment="1" applyProtection="1">
      <alignment horizontal="left" vertical="center"/>
      <protection/>
    </xf>
    <xf numFmtId="3" fontId="13" fillId="34" borderId="11" xfId="55" applyNumberFormat="1" applyFont="1" applyFill="1" applyBorder="1" applyAlignment="1" applyProtection="1">
      <alignment horizontal="left" vertical="center"/>
      <protection/>
    </xf>
    <xf numFmtId="0" fontId="8" fillId="35" borderId="20" xfId="58" applyFont="1" applyFill="1" applyBorder="1" applyAlignment="1" applyProtection="1">
      <alignment horizontal="left"/>
      <protection/>
    </xf>
    <xf numFmtId="0" fontId="8" fillId="35" borderId="16" xfId="58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22" xfId="58" applyFont="1" applyFill="1" applyBorder="1" applyAlignment="1" applyProtection="1">
      <alignment horizontal="center"/>
      <protection/>
    </xf>
    <xf numFmtId="0" fontId="10" fillId="34" borderId="21" xfId="58" applyFont="1" applyFill="1" applyBorder="1" applyAlignment="1" applyProtection="1">
      <alignment horizontal="center"/>
      <protection/>
    </xf>
    <xf numFmtId="183" fontId="10" fillId="34" borderId="21" xfId="0" applyNumberFormat="1" applyFont="1" applyFill="1" applyBorder="1" applyAlignment="1" applyProtection="1">
      <alignment horizontal="center"/>
      <protection/>
    </xf>
    <xf numFmtId="3" fontId="8" fillId="36" borderId="13" xfId="0" applyNumberFormat="1" applyFont="1" applyFill="1" applyBorder="1" applyAlignment="1" applyProtection="1">
      <alignment horizontal="center" vertical="center"/>
      <protection/>
    </xf>
    <xf numFmtId="3" fontId="8" fillId="36" borderId="0" xfId="0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2" xfId="0" applyNumberFormat="1" applyFont="1" applyFill="1" applyBorder="1" applyAlignment="1" applyProtection="1">
      <alignment horizontal="center" vertical="center"/>
      <protection/>
    </xf>
    <xf numFmtId="183" fontId="10" fillId="34" borderId="15" xfId="0" applyNumberFormat="1" applyFont="1" applyFill="1" applyBorder="1" applyAlignment="1" applyProtection="1">
      <alignment horizontal="center" vertical="center"/>
      <protection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10" fillId="34" borderId="12" xfId="69" applyNumberFormat="1" applyFont="1" applyFill="1" applyBorder="1" applyAlignment="1" applyProtection="1">
      <alignment horizontal="left"/>
      <protection/>
    </xf>
    <xf numFmtId="0" fontId="10" fillId="34" borderId="15" xfId="69" applyNumberFormat="1" applyFont="1" applyFill="1" applyBorder="1" applyAlignment="1" applyProtection="1">
      <alignment horizontal="left"/>
      <protection/>
    </xf>
    <xf numFmtId="0" fontId="13" fillId="34" borderId="24" xfId="58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3" fontId="8" fillId="36" borderId="22" xfId="0" applyNumberFormat="1" applyFont="1" applyFill="1" applyBorder="1" applyAlignment="1" applyProtection="1">
      <alignment horizontal="center" vertical="center"/>
      <protection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1" fontId="8" fillId="36" borderId="21" xfId="0" applyNumberFormat="1" applyFont="1" applyFill="1" applyBorder="1" applyAlignment="1" applyProtection="1">
      <alignment horizontal="center" vertical="center"/>
      <protection/>
    </xf>
    <xf numFmtId="3" fontId="8" fillId="36" borderId="23" xfId="0" applyNumberFormat="1" applyFont="1" applyFill="1" applyBorder="1" applyAlignment="1" applyProtection="1">
      <alignment horizontal="center" vertical="center"/>
      <protection/>
    </xf>
    <xf numFmtId="3" fontId="8" fillId="36" borderId="24" xfId="0" applyNumberFormat="1" applyFont="1" applyFill="1" applyBorder="1" applyAlignment="1" applyProtection="1">
      <alignment horizontal="center" vertical="center"/>
      <protection/>
    </xf>
    <xf numFmtId="0" fontId="8" fillId="35" borderId="23" xfId="58" applyFont="1" applyFill="1" applyBorder="1" applyAlignment="1" applyProtection="1">
      <alignment horizontal="left" vertical="center"/>
      <protection/>
    </xf>
    <xf numFmtId="0" fontId="8" fillId="35" borderId="13" xfId="58" applyFont="1" applyFill="1" applyBorder="1" applyAlignment="1" applyProtection="1">
      <alignment horizontal="left" vertical="center"/>
      <protection/>
    </xf>
    <xf numFmtId="0" fontId="8" fillId="35" borderId="25" xfId="58" applyFont="1" applyFill="1" applyBorder="1" applyAlignment="1" applyProtection="1">
      <alignment horizontal="left" vertical="center"/>
      <protection/>
    </xf>
    <xf numFmtId="0" fontId="8" fillId="35" borderId="12" xfId="58" applyFont="1" applyFill="1" applyBorder="1" applyAlignment="1" applyProtection="1">
      <alignment horizontal="left" vertical="center"/>
      <protection/>
    </xf>
    <xf numFmtId="3" fontId="13" fillId="34" borderId="24" xfId="57" applyNumberFormat="1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8" fillId="36" borderId="21" xfId="0" applyFont="1" applyFill="1" applyBorder="1" applyAlignment="1" applyProtection="1">
      <alignment horizontal="center" vertical="center" wrapText="1"/>
      <protection/>
    </xf>
    <xf numFmtId="0" fontId="13" fillId="34" borderId="24" xfId="58" applyFont="1" applyFill="1" applyBorder="1" applyAlignment="1" applyProtection="1">
      <alignment horizontal="left" vertical="top" wrapText="1"/>
      <protection/>
    </xf>
    <xf numFmtId="0" fontId="13" fillId="34" borderId="0" xfId="58" applyFont="1" applyFill="1" applyBorder="1" applyAlignment="1" applyProtection="1">
      <alignment horizontal="left" vertical="top" wrapText="1"/>
      <protection/>
    </xf>
    <xf numFmtId="0" fontId="13" fillId="34" borderId="11" xfId="58" applyFont="1" applyFill="1" applyBorder="1" applyAlignment="1" applyProtection="1">
      <alignment horizontal="left" vertical="top" wrapText="1"/>
      <protection/>
    </xf>
    <xf numFmtId="0" fontId="13" fillId="34" borderId="25" xfId="58" applyFont="1" applyFill="1" applyBorder="1" applyAlignment="1" applyProtection="1">
      <alignment horizontal="left" vertical="center"/>
      <protection/>
    </xf>
    <xf numFmtId="0" fontId="0" fillId="34" borderId="12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3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63" fillId="23" borderId="16" xfId="58" applyFont="1" applyFill="1" applyBorder="1" applyAlignment="1" applyProtection="1">
      <alignment horizontal="center" vertical="center"/>
      <protection/>
    </xf>
    <xf numFmtId="3" fontId="8" fillId="36" borderId="21" xfId="0" applyNumberFormat="1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 vertical="center"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0" fillId="36" borderId="12" xfId="0" applyFont="1" applyFill="1" applyBorder="1" applyAlignment="1" applyProtection="1">
      <alignment horizontal="center" vertical="center"/>
      <protection/>
    </xf>
    <xf numFmtId="0" fontId="63" fillId="23" borderId="20" xfId="58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8" fillId="35" borderId="16" xfId="0" applyFont="1" applyFill="1" applyBorder="1" applyAlignment="1" applyProtection="1">
      <alignment horizontal="left"/>
      <protection/>
    </xf>
    <xf numFmtId="0" fontId="8" fillId="36" borderId="20" xfId="0" applyFont="1" applyFill="1" applyBorder="1" applyAlignment="1" applyProtection="1">
      <alignment horizontal="center"/>
      <protection/>
    </xf>
    <xf numFmtId="0" fontId="8" fillId="36" borderId="16" xfId="0" applyFont="1" applyFill="1" applyBorder="1" applyAlignment="1" applyProtection="1">
      <alignment horizontal="center"/>
      <protection/>
    </xf>
    <xf numFmtId="0" fontId="8" fillId="36" borderId="14" xfId="0" applyFont="1" applyFill="1" applyBorder="1" applyAlignment="1" applyProtection="1">
      <alignment horizontal="center"/>
      <protection/>
    </xf>
    <xf numFmtId="0" fontId="62" fillId="40" borderId="23" xfId="0" applyFont="1" applyFill="1" applyBorder="1" applyAlignment="1" applyProtection="1">
      <alignment horizontal="center"/>
      <protection/>
    </xf>
    <xf numFmtId="0" fontId="62" fillId="40" borderId="13" xfId="0" applyFont="1" applyFill="1" applyBorder="1" applyAlignment="1" applyProtection="1">
      <alignment horizontal="center"/>
      <protection/>
    </xf>
    <xf numFmtId="0" fontId="62" fillId="40" borderId="22" xfId="0" applyFont="1" applyFill="1" applyBorder="1" applyAlignment="1" applyProtection="1">
      <alignment horizontal="center"/>
      <protection/>
    </xf>
    <xf numFmtId="180" fontId="63" fillId="0" borderId="0" xfId="69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13" fillId="34" borderId="23" xfId="0" applyFont="1" applyFill="1" applyBorder="1" applyAlignment="1" applyProtection="1">
      <alignment horizontal="left"/>
      <protection/>
    </xf>
    <xf numFmtId="0" fontId="13" fillId="34" borderId="13" xfId="0" applyFont="1" applyFill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left"/>
      <protection/>
    </xf>
    <xf numFmtId="3" fontId="13" fillId="34" borderId="24" xfId="55" applyNumberFormat="1" applyFont="1" applyFill="1" applyBorder="1" applyAlignment="1" applyProtection="1">
      <alignment horizontal="left" vertical="center" wrapText="1"/>
      <protection/>
    </xf>
    <xf numFmtId="0" fontId="62" fillId="40" borderId="23" xfId="0" applyFont="1" applyFill="1" applyBorder="1" applyAlignment="1" applyProtection="1">
      <alignment horizontal="center" vertical="center"/>
      <protection/>
    </xf>
    <xf numFmtId="0" fontId="62" fillId="40" borderId="13" xfId="0" applyFont="1" applyFill="1" applyBorder="1" applyAlignment="1" applyProtection="1">
      <alignment horizontal="center" vertical="center"/>
      <protection/>
    </xf>
    <xf numFmtId="0" fontId="62" fillId="40" borderId="22" xfId="0" applyFont="1" applyFill="1" applyBorder="1" applyAlignment="1" applyProtection="1">
      <alignment horizontal="center" vertical="center"/>
      <protection/>
    </xf>
    <xf numFmtId="0" fontId="62" fillId="40" borderId="25" xfId="0" applyFont="1" applyFill="1" applyBorder="1" applyAlignment="1" applyProtection="1">
      <alignment horizontal="center" vertical="center"/>
      <protection/>
    </xf>
    <xf numFmtId="0" fontId="62" fillId="40" borderId="12" xfId="0" applyFont="1" applyFill="1" applyBorder="1" applyAlignment="1" applyProtection="1">
      <alignment horizontal="center" vertical="center"/>
      <protection/>
    </xf>
    <xf numFmtId="0" fontId="62" fillId="40" borderId="15" xfId="0" applyFont="1" applyFill="1" applyBorder="1" applyAlignment="1" applyProtection="1">
      <alignment horizontal="center" vertical="center"/>
      <protection/>
    </xf>
    <xf numFmtId="0" fontId="62" fillId="40" borderId="25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center"/>
      <protection/>
    </xf>
    <xf numFmtId="0" fontId="62" fillId="40" borderId="15" xfId="0" applyFont="1" applyFill="1" applyBorder="1" applyAlignment="1" applyProtection="1">
      <alignment horizontal="center"/>
      <protection/>
    </xf>
    <xf numFmtId="0" fontId="8" fillId="35" borderId="20" xfId="58" applyFont="1" applyFill="1" applyBorder="1" applyAlignment="1" applyProtection="1">
      <alignment horizontal="left" vertical="center"/>
      <protection/>
    </xf>
    <xf numFmtId="0" fontId="8" fillId="35" borderId="16" xfId="58" applyFont="1" applyFill="1" applyBorder="1" applyAlignment="1" applyProtection="1">
      <alignment horizontal="left" vertical="center"/>
      <protection/>
    </xf>
    <xf numFmtId="0" fontId="62" fillId="23" borderId="20" xfId="58" applyFont="1" applyFill="1" applyBorder="1" applyAlignment="1" applyProtection="1">
      <alignment horizontal="left"/>
      <protection/>
    </xf>
    <xf numFmtId="0" fontId="62" fillId="23" borderId="16" xfId="58" applyFont="1" applyFill="1" applyBorder="1" applyAlignment="1" applyProtection="1">
      <alignment horizontal="left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 applyProtection="1">
      <alignment horizontal="left"/>
      <protection/>
    </xf>
    <xf numFmtId="0" fontId="10" fillId="34" borderId="15" xfId="58" applyFont="1" applyFill="1" applyBorder="1" applyAlignment="1" applyProtection="1">
      <alignment horizontal="left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0" fontId="62" fillId="41" borderId="23" xfId="57" applyFont="1" applyFill="1" applyBorder="1" applyAlignment="1" applyProtection="1">
      <alignment horizontal="center"/>
      <protection/>
    </xf>
    <xf numFmtId="0" fontId="62" fillId="41" borderId="13" xfId="57" applyFont="1" applyFill="1" applyBorder="1" applyAlignment="1" applyProtection="1">
      <alignment horizontal="center"/>
      <protection/>
    </xf>
    <xf numFmtId="0" fontId="62" fillId="41" borderId="22" xfId="57" applyFont="1" applyFill="1" applyBorder="1" applyAlignment="1" applyProtection="1">
      <alignment horizontal="center"/>
      <protection/>
    </xf>
    <xf numFmtId="0" fontId="62" fillId="41" borderId="20" xfId="57" applyFont="1" applyFill="1" applyBorder="1" applyAlignment="1" applyProtection="1">
      <alignment horizontal="center"/>
      <protection/>
    </xf>
    <xf numFmtId="0" fontId="62" fillId="41" borderId="16" xfId="57" applyFont="1" applyFill="1" applyBorder="1" applyAlignment="1" applyProtection="1">
      <alignment horizontal="center"/>
      <protection/>
    </xf>
    <xf numFmtId="0" fontId="62" fillId="41" borderId="14" xfId="57" applyFont="1" applyFill="1" applyBorder="1" applyAlignment="1" applyProtection="1">
      <alignment horizontal="center"/>
      <protection/>
    </xf>
    <xf numFmtId="3" fontId="8" fillId="35" borderId="22" xfId="58" applyNumberFormat="1" applyFont="1" applyFill="1" applyBorder="1" applyAlignment="1" applyProtection="1">
      <alignment horizontal="right" vertical="center"/>
      <protection/>
    </xf>
    <xf numFmtId="3" fontId="8" fillId="35" borderId="15" xfId="58" applyNumberFormat="1" applyFont="1" applyFill="1" applyBorder="1" applyAlignment="1" applyProtection="1">
      <alignment horizontal="right" vertical="center"/>
      <protection/>
    </xf>
    <xf numFmtId="17" fontId="62" fillId="41" borderId="20" xfId="69" applyNumberFormat="1" applyFont="1" applyFill="1" applyBorder="1" applyAlignment="1" applyProtection="1">
      <alignment horizontal="center"/>
      <protection/>
    </xf>
    <xf numFmtId="17" fontId="62" fillId="41" borderId="16" xfId="69" applyNumberFormat="1" applyFont="1" applyFill="1" applyBorder="1" applyAlignment="1" applyProtection="1">
      <alignment horizontal="center"/>
      <protection/>
    </xf>
    <xf numFmtId="17" fontId="62" fillId="41" borderId="14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4" xfId="57" applyFont="1" applyFill="1" applyBorder="1" applyAlignment="1" applyProtection="1">
      <alignment horizontal="left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22" xfId="58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2" xfId="0" applyFont="1" applyFill="1" applyBorder="1" applyAlignment="1" applyProtection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1295400</xdr:colOff>
      <xdr:row>117</xdr:row>
      <xdr:rowOff>19050</xdr:rowOff>
    </xdr:from>
    <xdr:to>
      <xdr:col>2</xdr:col>
      <xdr:colOff>600075</xdr:colOff>
      <xdr:row>117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95400" y="27546300"/>
          <a:ext cx="1876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1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92" customWidth="1"/>
    <col min="2" max="3" width="18.7109375" style="111" customWidth="1"/>
    <col min="4" max="4" width="20.28125" style="111" customWidth="1"/>
    <col min="5" max="5" width="15.7109375" style="111" customWidth="1"/>
    <col min="6" max="6" width="22.421875" style="111" customWidth="1"/>
    <col min="7" max="7" width="18.7109375" style="188" customWidth="1"/>
    <col min="8" max="8" width="18.7109375" style="111" customWidth="1"/>
    <col min="9" max="9" width="19.8515625" style="111" customWidth="1"/>
    <col min="10" max="10" width="15.28125" style="111" bestFit="1" customWidth="1"/>
    <col min="11" max="11" width="25.00390625" style="94" customWidth="1"/>
    <col min="12" max="12" width="22.28125" style="92" customWidth="1"/>
    <col min="13" max="14" width="15.28125" style="92" bestFit="1" customWidth="1"/>
    <col min="15" max="18" width="11.421875" style="92" customWidth="1"/>
    <col min="19" max="16384" width="11.421875" style="111" customWidth="1"/>
  </cols>
  <sheetData>
    <row r="1" spans="7:11" s="92" customFormat="1" ht="15">
      <c r="G1" s="93"/>
      <c r="K1" s="94"/>
    </row>
    <row r="2" spans="2:10" s="92" customFormat="1" ht="18" customHeight="1">
      <c r="B2" s="290" t="s">
        <v>8</v>
      </c>
      <c r="C2" s="290"/>
      <c r="D2" s="290"/>
      <c r="E2" s="290"/>
      <c r="F2" s="290"/>
      <c r="G2" s="290"/>
      <c r="H2" s="290"/>
      <c r="I2" s="290"/>
      <c r="J2" s="290"/>
    </row>
    <row r="3" spans="2:11" s="92" customFormat="1" ht="18" customHeight="1">
      <c r="B3" s="95"/>
      <c r="C3" s="43"/>
      <c r="D3" s="201" t="s">
        <v>113</v>
      </c>
      <c r="E3" s="201"/>
      <c r="F3" s="201"/>
      <c r="G3" s="201"/>
      <c r="H3" s="201"/>
      <c r="I3" s="44"/>
      <c r="J3" s="43"/>
      <c r="K3" s="4"/>
    </row>
    <row r="4" spans="2:11" s="92" customFormat="1" ht="18" customHeight="1">
      <c r="B4" s="95"/>
      <c r="C4" s="43"/>
      <c r="D4" s="201" t="s">
        <v>114</v>
      </c>
      <c r="E4" s="201"/>
      <c r="F4" s="201"/>
      <c r="G4" s="201"/>
      <c r="H4" s="201"/>
      <c r="I4" s="43"/>
      <c r="J4" s="43"/>
      <c r="K4" s="4"/>
    </row>
    <row r="5" spans="2:11" s="92" customFormat="1" ht="18" customHeight="1">
      <c r="B5" s="81"/>
      <c r="C5" s="81"/>
      <c r="D5" s="96"/>
      <c r="E5" s="83"/>
      <c r="F5" s="83"/>
      <c r="G5" s="97"/>
      <c r="H5" s="83"/>
      <c r="I5" s="81"/>
      <c r="J5" s="98"/>
      <c r="K5" s="5"/>
    </row>
    <row r="6" spans="2:11" s="92" customFormat="1" ht="18" customHeight="1">
      <c r="B6" s="81"/>
      <c r="C6" s="81"/>
      <c r="D6" s="299" t="s">
        <v>49</v>
      </c>
      <c r="E6" s="300"/>
      <c r="F6" s="300"/>
      <c r="G6" s="300"/>
      <c r="H6" s="300"/>
      <c r="I6" s="300"/>
      <c r="J6" s="301"/>
      <c r="K6" s="5"/>
    </row>
    <row r="7" spans="2:11" s="92" customFormat="1" ht="21.75">
      <c r="B7" s="81"/>
      <c r="C7" s="81"/>
      <c r="D7" s="99" t="s">
        <v>124</v>
      </c>
      <c r="E7" s="78"/>
      <c r="F7" s="78"/>
      <c r="G7" s="100" t="s">
        <v>144</v>
      </c>
      <c r="H7" s="101"/>
      <c r="I7" s="102"/>
      <c r="J7" s="103"/>
      <c r="K7" s="5"/>
    </row>
    <row r="8" spans="2:11" s="92" customFormat="1" ht="18" customHeight="1">
      <c r="B8" s="81"/>
      <c r="C8" s="81"/>
      <c r="D8" s="104" t="s">
        <v>90</v>
      </c>
      <c r="E8" s="34"/>
      <c r="F8" s="34"/>
      <c r="G8" s="97" t="s">
        <v>45</v>
      </c>
      <c r="H8" s="95"/>
      <c r="I8" s="35"/>
      <c r="J8" s="50"/>
      <c r="K8" s="5"/>
    </row>
    <row r="9" spans="2:11" s="92" customFormat="1" ht="18" customHeight="1">
      <c r="B9" s="81"/>
      <c r="C9" s="81"/>
      <c r="D9" s="104" t="s">
        <v>122</v>
      </c>
      <c r="E9" s="34"/>
      <c r="F9" s="34"/>
      <c r="G9" s="97" t="s">
        <v>123</v>
      </c>
      <c r="H9" s="95"/>
      <c r="I9" s="35"/>
      <c r="J9" s="50"/>
      <c r="K9" s="105"/>
    </row>
    <row r="10" spans="2:11" s="92" customFormat="1" ht="18" customHeight="1">
      <c r="B10" s="81"/>
      <c r="C10" s="81"/>
      <c r="D10" s="106" t="s">
        <v>142</v>
      </c>
      <c r="E10" s="51"/>
      <c r="F10" s="51"/>
      <c r="G10" s="107" t="s">
        <v>143</v>
      </c>
      <c r="H10" s="108"/>
      <c r="I10" s="52"/>
      <c r="J10" s="53"/>
      <c r="K10" s="105"/>
    </row>
    <row r="11" spans="2:11" s="92" customFormat="1" ht="18" customHeight="1">
      <c r="B11" s="81"/>
      <c r="C11" s="81"/>
      <c r="D11" s="109"/>
      <c r="E11" s="34"/>
      <c r="F11" s="34"/>
      <c r="G11" s="109"/>
      <c r="H11" s="95"/>
      <c r="I11" s="35"/>
      <c r="J11" s="48"/>
      <c r="K11" s="105"/>
    </row>
    <row r="12" spans="2:11" ht="18">
      <c r="B12" s="291" t="s">
        <v>50</v>
      </c>
      <c r="C12" s="292"/>
      <c r="D12" s="292"/>
      <c r="E12" s="293"/>
      <c r="F12" s="110"/>
      <c r="G12" s="294" t="s">
        <v>14</v>
      </c>
      <c r="H12" s="295"/>
      <c r="I12" s="295"/>
      <c r="J12" s="296"/>
      <c r="K12" s="5"/>
    </row>
    <row r="13" spans="2:11" ht="18">
      <c r="B13" s="112" t="s">
        <v>57</v>
      </c>
      <c r="C13" s="113"/>
      <c r="D13" s="78"/>
      <c r="E13" s="114">
        <v>50400</v>
      </c>
      <c r="F13" s="81"/>
      <c r="G13" s="77" t="s">
        <v>7</v>
      </c>
      <c r="H13" s="78"/>
      <c r="I13" s="78"/>
      <c r="J13" s="79">
        <f>rendimiento*precio_de_venta</f>
        <v>9576000</v>
      </c>
      <c r="K13" s="5"/>
    </row>
    <row r="14" spans="2:11" ht="21">
      <c r="B14" s="303" t="s">
        <v>128</v>
      </c>
      <c r="C14" s="304"/>
      <c r="D14" s="304"/>
      <c r="E14" s="115">
        <v>190</v>
      </c>
      <c r="F14" s="81"/>
      <c r="G14" s="80" t="s">
        <v>10</v>
      </c>
      <c r="H14" s="81"/>
      <c r="I14" s="81"/>
      <c r="J14" s="82">
        <f>total_mano_obra+total_maquinaria+total_insumos+imprevistos</f>
        <v>5508469.26</v>
      </c>
      <c r="K14" s="5"/>
    </row>
    <row r="15" spans="2:11" ht="18">
      <c r="B15" s="116" t="s">
        <v>9</v>
      </c>
      <c r="C15" s="117"/>
      <c r="D15" s="81"/>
      <c r="E15" s="115">
        <v>13000</v>
      </c>
      <c r="F15" s="81"/>
      <c r="G15" s="80" t="s">
        <v>11</v>
      </c>
      <c r="H15" s="83"/>
      <c r="I15" s="81"/>
      <c r="J15" s="82">
        <f>total_mano_obra+total_maquinaria+total_insumos+imprevistos+total_costos_indirectos</f>
        <v>5744546.5139999995</v>
      </c>
      <c r="K15" s="5"/>
    </row>
    <row r="16" spans="2:11" ht="18">
      <c r="B16" s="116" t="s">
        <v>4</v>
      </c>
      <c r="C16" s="118"/>
      <c r="D16" s="81"/>
      <c r="E16" s="119">
        <v>0.015</v>
      </c>
      <c r="F16" s="81"/>
      <c r="G16" s="80" t="s">
        <v>12</v>
      </c>
      <c r="H16" s="81"/>
      <c r="I16" s="81"/>
      <c r="J16" s="82">
        <f>J13-J14</f>
        <v>4067530.74</v>
      </c>
      <c r="K16" s="5"/>
    </row>
    <row r="17" spans="2:11" ht="18">
      <c r="B17" s="120" t="s">
        <v>5</v>
      </c>
      <c r="C17" s="121"/>
      <c r="D17" s="85"/>
      <c r="E17" s="122">
        <v>6</v>
      </c>
      <c r="F17" s="81"/>
      <c r="G17" s="80" t="s">
        <v>13</v>
      </c>
      <c r="H17" s="81"/>
      <c r="I17" s="81"/>
      <c r="J17" s="82">
        <f>J13-J15</f>
        <v>3831453.4860000005</v>
      </c>
      <c r="K17" s="5"/>
    </row>
    <row r="18" spans="2:11" ht="18">
      <c r="B18" s="123"/>
      <c r="C18" s="118"/>
      <c r="D18" s="81"/>
      <c r="E18" s="124"/>
      <c r="F18" s="81"/>
      <c r="G18" s="84" t="s">
        <v>46</v>
      </c>
      <c r="H18" s="85"/>
      <c r="I18" s="86"/>
      <c r="J18" s="87">
        <f>total_costos/rendimiento</f>
        <v>113.9790975</v>
      </c>
      <c r="K18" s="5"/>
    </row>
    <row r="19" spans="2:11" s="92" customFormat="1" ht="18">
      <c r="B19" s="81"/>
      <c r="C19" s="81"/>
      <c r="D19" s="81"/>
      <c r="E19" s="7"/>
      <c r="F19" s="7"/>
      <c r="G19" s="8"/>
      <c r="H19" s="9"/>
      <c r="I19" s="10"/>
      <c r="J19" s="10"/>
      <c r="K19" s="5"/>
    </row>
    <row r="20" spans="2:11" s="92" customFormat="1" ht="20.25">
      <c r="B20" s="125" t="s">
        <v>47</v>
      </c>
      <c r="C20" s="126"/>
      <c r="D20" s="126"/>
      <c r="E20" s="302" t="s">
        <v>15</v>
      </c>
      <c r="F20" s="302"/>
      <c r="G20" s="54" t="s">
        <v>16</v>
      </c>
      <c r="H20" s="55" t="s">
        <v>17</v>
      </c>
      <c r="I20" s="56" t="s">
        <v>54</v>
      </c>
      <c r="J20" s="57" t="s">
        <v>3</v>
      </c>
      <c r="K20" s="5"/>
    </row>
    <row r="21" spans="2:11" s="92" customFormat="1" ht="18">
      <c r="B21" s="285" t="s">
        <v>19</v>
      </c>
      <c r="C21" s="286"/>
      <c r="D21" s="286"/>
      <c r="E21" s="249"/>
      <c r="F21" s="249"/>
      <c r="G21" s="39"/>
      <c r="H21" s="40"/>
      <c r="I21" s="41"/>
      <c r="J21" s="42"/>
      <c r="K21" s="5"/>
    </row>
    <row r="22" spans="2:11" s="92" customFormat="1" ht="18">
      <c r="B22" s="305" t="s">
        <v>91</v>
      </c>
      <c r="C22" s="306"/>
      <c r="D22" s="307"/>
      <c r="E22" s="207" t="s">
        <v>115</v>
      </c>
      <c r="F22" s="208"/>
      <c r="G22" s="127">
        <v>12</v>
      </c>
      <c r="H22" s="128" t="s">
        <v>6</v>
      </c>
      <c r="I22" s="58">
        <f aca="true" t="shared" si="0" ref="I22:I28">$E$15</f>
        <v>13000</v>
      </c>
      <c r="J22" s="59">
        <f>G22*I22</f>
        <v>156000</v>
      </c>
      <c r="K22" s="5"/>
    </row>
    <row r="23" spans="2:11" s="92" customFormat="1" ht="18">
      <c r="B23" s="265" t="s">
        <v>93</v>
      </c>
      <c r="C23" s="266"/>
      <c r="D23" s="267"/>
      <c r="E23" s="217" t="s">
        <v>116</v>
      </c>
      <c r="F23" s="218"/>
      <c r="G23" s="127">
        <v>5</v>
      </c>
      <c r="H23" s="128" t="s">
        <v>6</v>
      </c>
      <c r="I23" s="58">
        <f t="shared" si="0"/>
        <v>13000</v>
      </c>
      <c r="J23" s="59">
        <f aca="true" t="shared" si="1" ref="J23:J29">G23*I23</f>
        <v>65000</v>
      </c>
      <c r="K23" s="5"/>
    </row>
    <row r="24" spans="2:11" s="92" customFormat="1" ht="18">
      <c r="B24" s="265" t="s">
        <v>78</v>
      </c>
      <c r="C24" s="266"/>
      <c r="D24" s="267"/>
      <c r="E24" s="217" t="s">
        <v>115</v>
      </c>
      <c r="F24" s="218"/>
      <c r="G24" s="127">
        <v>4</v>
      </c>
      <c r="H24" s="128" t="s">
        <v>6</v>
      </c>
      <c r="I24" s="58">
        <f t="shared" si="0"/>
        <v>13000</v>
      </c>
      <c r="J24" s="59">
        <f t="shared" si="1"/>
        <v>52000</v>
      </c>
      <c r="K24" s="5"/>
    </row>
    <row r="25" spans="2:11" s="92" customFormat="1" ht="18">
      <c r="B25" s="89" t="s">
        <v>117</v>
      </c>
      <c r="C25" s="88"/>
      <c r="D25" s="90"/>
      <c r="E25" s="217" t="s">
        <v>109</v>
      </c>
      <c r="F25" s="218"/>
      <c r="G25" s="127">
        <v>3</v>
      </c>
      <c r="H25" s="128" t="s">
        <v>6</v>
      </c>
      <c r="I25" s="58">
        <f t="shared" si="0"/>
        <v>13000</v>
      </c>
      <c r="J25" s="59">
        <f t="shared" si="1"/>
        <v>39000</v>
      </c>
      <c r="K25" s="5"/>
    </row>
    <row r="26" spans="2:11" s="92" customFormat="1" ht="18">
      <c r="B26" s="89" t="s">
        <v>74</v>
      </c>
      <c r="C26" s="88"/>
      <c r="D26" s="90"/>
      <c r="E26" s="217" t="s">
        <v>110</v>
      </c>
      <c r="F26" s="218"/>
      <c r="G26" s="127">
        <v>5</v>
      </c>
      <c r="H26" s="128" t="s">
        <v>6</v>
      </c>
      <c r="I26" s="58">
        <f t="shared" si="0"/>
        <v>13000</v>
      </c>
      <c r="J26" s="59">
        <f t="shared" si="1"/>
        <v>65000</v>
      </c>
      <c r="K26" s="5"/>
    </row>
    <row r="27" spans="2:11" s="92" customFormat="1" ht="18">
      <c r="B27" s="89" t="s">
        <v>82</v>
      </c>
      <c r="C27" s="88"/>
      <c r="D27" s="90"/>
      <c r="E27" s="217" t="s">
        <v>110</v>
      </c>
      <c r="F27" s="218"/>
      <c r="G27" s="127">
        <v>6</v>
      </c>
      <c r="H27" s="128" t="s">
        <v>6</v>
      </c>
      <c r="I27" s="58">
        <f t="shared" si="0"/>
        <v>13000</v>
      </c>
      <c r="J27" s="59">
        <f t="shared" si="1"/>
        <v>78000</v>
      </c>
      <c r="K27" s="5"/>
    </row>
    <row r="28" spans="2:11" s="92" customFormat="1" ht="18">
      <c r="B28" s="265" t="s">
        <v>88</v>
      </c>
      <c r="C28" s="266"/>
      <c r="D28" s="267"/>
      <c r="E28" s="217" t="s">
        <v>97</v>
      </c>
      <c r="F28" s="218"/>
      <c r="G28" s="127">
        <v>6</v>
      </c>
      <c r="H28" s="128" t="s">
        <v>6</v>
      </c>
      <c r="I28" s="58">
        <f t="shared" si="0"/>
        <v>13000</v>
      </c>
      <c r="J28" s="59">
        <f t="shared" si="1"/>
        <v>78000</v>
      </c>
      <c r="K28" s="5"/>
    </row>
    <row r="29" spans="2:11" s="92" customFormat="1" ht="21">
      <c r="B29" s="265" t="s">
        <v>129</v>
      </c>
      <c r="C29" s="266"/>
      <c r="D29" s="267"/>
      <c r="E29" s="217" t="s">
        <v>118</v>
      </c>
      <c r="F29" s="218"/>
      <c r="G29" s="127">
        <f>rdto_variable!E5*rdto_variable!C2</f>
        <v>50400</v>
      </c>
      <c r="H29" s="128" t="s">
        <v>44</v>
      </c>
      <c r="I29" s="58">
        <v>36</v>
      </c>
      <c r="J29" s="59">
        <f t="shared" si="1"/>
        <v>1814400</v>
      </c>
      <c r="K29" s="5"/>
    </row>
    <row r="30" spans="2:11" ht="18">
      <c r="B30" s="283" t="s">
        <v>20</v>
      </c>
      <c r="C30" s="284"/>
      <c r="D30" s="284"/>
      <c r="E30" s="284"/>
      <c r="F30" s="284"/>
      <c r="G30" s="284"/>
      <c r="H30" s="284"/>
      <c r="I30" s="284"/>
      <c r="J30" s="36">
        <f>SUM(J22:J29)</f>
        <v>2347400</v>
      </c>
      <c r="K30" s="5"/>
    </row>
    <row r="31" spans="2:11" s="92" customFormat="1" ht="18">
      <c r="B31" s="7"/>
      <c r="C31" s="7"/>
      <c r="D31" s="7"/>
      <c r="E31" s="7"/>
      <c r="F31" s="7"/>
      <c r="G31" s="62"/>
      <c r="H31" s="7"/>
      <c r="I31" s="7"/>
      <c r="J31" s="63"/>
      <c r="K31" s="5"/>
    </row>
    <row r="32" spans="2:11" s="129" customFormat="1" ht="18">
      <c r="B32" s="285" t="s">
        <v>21</v>
      </c>
      <c r="C32" s="286"/>
      <c r="D32" s="286"/>
      <c r="E32" s="249"/>
      <c r="F32" s="249"/>
      <c r="G32" s="39"/>
      <c r="H32" s="40"/>
      <c r="I32" s="41"/>
      <c r="J32" s="70"/>
      <c r="K32" s="5"/>
    </row>
    <row r="33" spans="2:11" s="92" customFormat="1" ht="18">
      <c r="B33" s="305" t="s">
        <v>76</v>
      </c>
      <c r="C33" s="306"/>
      <c r="D33" s="306"/>
      <c r="E33" s="207" t="s">
        <v>94</v>
      </c>
      <c r="F33" s="208"/>
      <c r="G33" s="130">
        <v>1</v>
      </c>
      <c r="H33" s="131" t="s">
        <v>55</v>
      </c>
      <c r="I33" s="132">
        <v>60000</v>
      </c>
      <c r="J33" s="60">
        <f aca="true" t="shared" si="2" ref="J33:J40">G33*I33</f>
        <v>60000</v>
      </c>
      <c r="K33" s="5"/>
    </row>
    <row r="34" spans="2:11" s="92" customFormat="1" ht="18">
      <c r="B34" s="265" t="s">
        <v>77</v>
      </c>
      <c r="C34" s="266"/>
      <c r="D34" s="267"/>
      <c r="E34" s="217" t="s">
        <v>94</v>
      </c>
      <c r="F34" s="218"/>
      <c r="G34" s="133">
        <v>3</v>
      </c>
      <c r="H34" s="127" t="s">
        <v>55</v>
      </c>
      <c r="I34" s="134">
        <v>30000</v>
      </c>
      <c r="J34" s="58">
        <f t="shared" si="2"/>
        <v>90000</v>
      </c>
      <c r="K34" s="5"/>
    </row>
    <row r="35" spans="2:11" s="92" customFormat="1" ht="18">
      <c r="B35" s="265" t="s">
        <v>98</v>
      </c>
      <c r="C35" s="266"/>
      <c r="D35" s="267"/>
      <c r="E35" s="217" t="s">
        <v>94</v>
      </c>
      <c r="F35" s="218"/>
      <c r="G35" s="133">
        <v>1</v>
      </c>
      <c r="H35" s="127" t="s">
        <v>55</v>
      </c>
      <c r="I35" s="134">
        <v>25000</v>
      </c>
      <c r="J35" s="58">
        <f t="shared" si="2"/>
        <v>25000</v>
      </c>
      <c r="K35" s="5"/>
    </row>
    <row r="36" spans="2:11" s="92" customFormat="1" ht="18">
      <c r="B36" s="265" t="s">
        <v>99</v>
      </c>
      <c r="C36" s="266"/>
      <c r="D36" s="267"/>
      <c r="E36" s="217" t="s">
        <v>108</v>
      </c>
      <c r="F36" s="218"/>
      <c r="G36" s="133">
        <v>2</v>
      </c>
      <c r="H36" s="127" t="s">
        <v>55</v>
      </c>
      <c r="I36" s="134">
        <v>6000</v>
      </c>
      <c r="J36" s="58">
        <f t="shared" si="2"/>
        <v>12000</v>
      </c>
      <c r="K36" s="5"/>
    </row>
    <row r="37" spans="2:11" s="92" customFormat="1" ht="18">
      <c r="B37" s="89" t="s">
        <v>78</v>
      </c>
      <c r="C37" s="88"/>
      <c r="D37" s="90"/>
      <c r="E37" s="217" t="s">
        <v>106</v>
      </c>
      <c r="F37" s="218"/>
      <c r="G37" s="133">
        <v>1</v>
      </c>
      <c r="H37" s="127" t="s">
        <v>55</v>
      </c>
      <c r="I37" s="134">
        <v>80000</v>
      </c>
      <c r="J37" s="58">
        <f t="shared" si="2"/>
        <v>80000</v>
      </c>
      <c r="K37" s="5"/>
    </row>
    <row r="38" spans="2:11" s="92" customFormat="1" ht="18">
      <c r="B38" s="265" t="s">
        <v>100</v>
      </c>
      <c r="C38" s="266"/>
      <c r="D38" s="267"/>
      <c r="E38" s="217" t="s">
        <v>92</v>
      </c>
      <c r="F38" s="218"/>
      <c r="G38" s="133">
        <v>3</v>
      </c>
      <c r="H38" s="127" t="s">
        <v>55</v>
      </c>
      <c r="I38" s="134">
        <v>25000</v>
      </c>
      <c r="J38" s="58">
        <f t="shared" si="2"/>
        <v>75000</v>
      </c>
      <c r="K38" s="5"/>
    </row>
    <row r="39" spans="2:11" s="92" customFormat="1" ht="18">
      <c r="B39" s="89" t="s">
        <v>101</v>
      </c>
      <c r="C39" s="88"/>
      <c r="D39" s="90"/>
      <c r="E39" s="217" t="s">
        <v>108</v>
      </c>
      <c r="F39" s="218"/>
      <c r="G39" s="133">
        <v>3</v>
      </c>
      <c r="H39" s="127" t="s">
        <v>55</v>
      </c>
      <c r="I39" s="134">
        <v>25000</v>
      </c>
      <c r="J39" s="58">
        <f t="shared" si="2"/>
        <v>75000</v>
      </c>
      <c r="K39" s="5"/>
    </row>
    <row r="40" spans="2:11" s="92" customFormat="1" ht="18">
      <c r="B40" s="265" t="s">
        <v>83</v>
      </c>
      <c r="C40" s="266"/>
      <c r="D40" s="267"/>
      <c r="E40" s="217" t="s">
        <v>118</v>
      </c>
      <c r="F40" s="218"/>
      <c r="G40" s="133">
        <f>rdto_variable!E8*rdto_variable!C2</f>
        <v>50400</v>
      </c>
      <c r="H40" s="127" t="s">
        <v>44</v>
      </c>
      <c r="I40" s="134">
        <v>9</v>
      </c>
      <c r="J40" s="61">
        <f t="shared" si="2"/>
        <v>453600</v>
      </c>
      <c r="K40" s="5"/>
    </row>
    <row r="41" spans="2:12" ht="18">
      <c r="B41" s="283" t="s">
        <v>22</v>
      </c>
      <c r="C41" s="284"/>
      <c r="D41" s="284"/>
      <c r="E41" s="284"/>
      <c r="F41" s="284"/>
      <c r="G41" s="284"/>
      <c r="H41" s="284"/>
      <c r="I41" s="284"/>
      <c r="J41" s="45">
        <f>SUM(J33:J40)</f>
        <v>870600</v>
      </c>
      <c r="K41" s="5"/>
      <c r="L41" s="5"/>
    </row>
    <row r="42" spans="2:12" s="92" customFormat="1" ht="18">
      <c r="B42" s="33"/>
      <c r="C42" s="33"/>
      <c r="D42" s="33"/>
      <c r="E42" s="33"/>
      <c r="F42" s="33"/>
      <c r="G42" s="11" t="s">
        <v>56</v>
      </c>
      <c r="H42" s="33"/>
      <c r="I42" s="33"/>
      <c r="J42" s="12"/>
      <c r="K42" s="5"/>
      <c r="L42" s="135"/>
    </row>
    <row r="43" spans="2:12" s="92" customFormat="1" ht="21">
      <c r="B43" s="285" t="s">
        <v>130</v>
      </c>
      <c r="C43" s="286"/>
      <c r="D43" s="286"/>
      <c r="E43" s="249"/>
      <c r="F43" s="249"/>
      <c r="G43" s="39"/>
      <c r="H43" s="40"/>
      <c r="I43" s="41"/>
      <c r="J43" s="42"/>
      <c r="K43" s="5"/>
      <c r="L43" s="136"/>
    </row>
    <row r="44" spans="2:12" s="92" customFormat="1" ht="18">
      <c r="B44" s="137" t="s">
        <v>102</v>
      </c>
      <c r="C44" s="138"/>
      <c r="D44" s="139"/>
      <c r="E44" s="207" t="s">
        <v>107</v>
      </c>
      <c r="F44" s="208"/>
      <c r="G44" s="140">
        <v>8000</v>
      </c>
      <c r="H44" s="141" t="s">
        <v>103</v>
      </c>
      <c r="I44" s="142">
        <v>100</v>
      </c>
      <c r="J44" s="2">
        <f>G44*I44</f>
        <v>800000</v>
      </c>
      <c r="K44" s="5"/>
      <c r="L44" s="136"/>
    </row>
    <row r="45" spans="2:12" s="92" customFormat="1" ht="18">
      <c r="B45" s="143"/>
      <c r="C45" s="138"/>
      <c r="D45" s="139"/>
      <c r="E45" s="144"/>
      <c r="F45" s="145"/>
      <c r="G45" s="140"/>
      <c r="H45" s="141"/>
      <c r="I45" s="142"/>
      <c r="J45" s="2"/>
      <c r="K45" s="5"/>
      <c r="L45" s="136"/>
    </row>
    <row r="46" spans="2:12" s="92" customFormat="1" ht="18">
      <c r="B46" s="143" t="s">
        <v>41</v>
      </c>
      <c r="C46" s="138"/>
      <c r="D46" s="139"/>
      <c r="E46" s="144"/>
      <c r="F46" s="145"/>
      <c r="G46" s="140"/>
      <c r="H46" s="141"/>
      <c r="I46" s="142"/>
      <c r="J46" s="2"/>
      <c r="K46" s="5"/>
      <c r="L46" s="136"/>
    </row>
    <row r="47" spans="2:12" s="92" customFormat="1" ht="18">
      <c r="B47" s="137" t="s">
        <v>79</v>
      </c>
      <c r="C47" s="146"/>
      <c r="D47" s="147"/>
      <c r="E47" s="217" t="s">
        <v>94</v>
      </c>
      <c r="F47" s="218"/>
      <c r="G47" s="148">
        <v>500</v>
      </c>
      <c r="H47" s="128" t="s">
        <v>44</v>
      </c>
      <c r="I47" s="142">
        <v>368</v>
      </c>
      <c r="J47" s="2">
        <f>G47*I47</f>
        <v>184000</v>
      </c>
      <c r="K47" s="5"/>
      <c r="L47" s="136"/>
    </row>
    <row r="48" spans="2:12" s="92" customFormat="1" ht="18">
      <c r="B48" s="137" t="s">
        <v>84</v>
      </c>
      <c r="C48" s="146"/>
      <c r="D48" s="147"/>
      <c r="E48" s="217" t="s">
        <v>97</v>
      </c>
      <c r="F48" s="218"/>
      <c r="G48" s="148">
        <v>500</v>
      </c>
      <c r="H48" s="128" t="s">
        <v>44</v>
      </c>
      <c r="I48" s="142">
        <v>670</v>
      </c>
      <c r="J48" s="2">
        <f>G48*I48</f>
        <v>335000</v>
      </c>
      <c r="K48" s="5"/>
      <c r="L48" s="136"/>
    </row>
    <row r="49" spans="2:12" s="92" customFormat="1" ht="18">
      <c r="B49" s="149"/>
      <c r="C49" s="144"/>
      <c r="D49" s="145"/>
      <c r="E49" s="150"/>
      <c r="F49" s="1"/>
      <c r="G49" s="148"/>
      <c r="H49" s="128"/>
      <c r="I49" s="142"/>
      <c r="J49" s="2"/>
      <c r="K49" s="5"/>
      <c r="L49" s="136"/>
    </row>
    <row r="50" spans="2:12" s="92" customFormat="1" ht="18">
      <c r="B50" s="151" t="s">
        <v>42</v>
      </c>
      <c r="C50" s="152"/>
      <c r="D50" s="153"/>
      <c r="E50" s="149"/>
      <c r="F50" s="145"/>
      <c r="G50" s="148"/>
      <c r="H50" s="128"/>
      <c r="I50" s="142"/>
      <c r="J50" s="2"/>
      <c r="K50" s="5"/>
      <c r="L50" s="136"/>
    </row>
    <row r="51" spans="2:12" s="92" customFormat="1" ht="18">
      <c r="B51" s="149" t="s">
        <v>80</v>
      </c>
      <c r="C51" s="144"/>
      <c r="D51" s="145"/>
      <c r="E51" s="217" t="s">
        <v>110</v>
      </c>
      <c r="F51" s="218"/>
      <c r="G51" s="148">
        <v>1</v>
      </c>
      <c r="H51" s="128" t="s">
        <v>44</v>
      </c>
      <c r="I51" s="142">
        <v>120768</v>
      </c>
      <c r="J51" s="2">
        <f aca="true" t="shared" si="3" ref="J51:J74">G51*I51</f>
        <v>120768</v>
      </c>
      <c r="K51" s="5"/>
      <c r="L51" s="136"/>
    </row>
    <row r="52" spans="2:12" s="92" customFormat="1" ht="18">
      <c r="B52" s="149" t="s">
        <v>89</v>
      </c>
      <c r="C52" s="144"/>
      <c r="D52" s="145"/>
      <c r="E52" s="217" t="s">
        <v>92</v>
      </c>
      <c r="F52" s="218"/>
      <c r="G52" s="148">
        <v>2</v>
      </c>
      <c r="H52" s="128" t="s">
        <v>40</v>
      </c>
      <c r="I52" s="142">
        <v>1693</v>
      </c>
      <c r="J52" s="2">
        <f t="shared" si="3"/>
        <v>3386</v>
      </c>
      <c r="K52" s="5"/>
      <c r="L52" s="136"/>
    </row>
    <row r="53" spans="2:12" s="92" customFormat="1" ht="18">
      <c r="B53" s="149" t="s">
        <v>125</v>
      </c>
      <c r="C53" s="144"/>
      <c r="D53" s="145"/>
      <c r="E53" s="217" t="s">
        <v>92</v>
      </c>
      <c r="F53" s="218"/>
      <c r="G53" s="148">
        <v>2</v>
      </c>
      <c r="H53" s="128" t="s">
        <v>44</v>
      </c>
      <c r="I53" s="142">
        <v>17226</v>
      </c>
      <c r="J53" s="2">
        <f t="shared" si="3"/>
        <v>34452</v>
      </c>
      <c r="K53" s="5"/>
      <c r="L53" s="136"/>
    </row>
    <row r="54" spans="2:12" s="92" customFormat="1" ht="18">
      <c r="B54" s="149" t="s">
        <v>104</v>
      </c>
      <c r="C54" s="144"/>
      <c r="D54" s="145"/>
      <c r="E54" s="217" t="s">
        <v>97</v>
      </c>
      <c r="F54" s="218"/>
      <c r="G54" s="148">
        <v>4</v>
      </c>
      <c r="H54" s="128" t="s">
        <v>44</v>
      </c>
      <c r="I54" s="142">
        <v>4289</v>
      </c>
      <c r="J54" s="2">
        <f t="shared" si="3"/>
        <v>17156</v>
      </c>
      <c r="K54" s="5"/>
      <c r="L54" s="136"/>
    </row>
    <row r="55" spans="2:12" s="92" customFormat="1" ht="18">
      <c r="B55" s="149"/>
      <c r="C55" s="144"/>
      <c r="D55" s="145"/>
      <c r="E55" s="149"/>
      <c r="F55" s="145"/>
      <c r="G55" s="148"/>
      <c r="H55" s="128"/>
      <c r="I55" s="142"/>
      <c r="J55" s="2"/>
      <c r="K55" s="5"/>
      <c r="L55" s="136"/>
    </row>
    <row r="56" spans="2:13" s="92" customFormat="1" ht="18">
      <c r="B56" s="151" t="s">
        <v>43</v>
      </c>
      <c r="C56" s="152"/>
      <c r="D56" s="153"/>
      <c r="E56" s="149"/>
      <c r="F56" s="145"/>
      <c r="G56" s="148"/>
      <c r="H56" s="128"/>
      <c r="I56" s="142"/>
      <c r="J56" s="2"/>
      <c r="K56" s="5"/>
      <c r="L56" s="136"/>
      <c r="M56" s="92" t="s">
        <v>61</v>
      </c>
    </row>
    <row r="57" spans="2:12" s="92" customFormat="1" ht="18">
      <c r="B57" s="149" t="s">
        <v>85</v>
      </c>
      <c r="C57" s="144"/>
      <c r="D57" s="145"/>
      <c r="E57" s="217" t="s">
        <v>108</v>
      </c>
      <c r="F57" s="218"/>
      <c r="G57" s="140">
        <v>1</v>
      </c>
      <c r="H57" s="141" t="s">
        <v>40</v>
      </c>
      <c r="I57" s="142">
        <v>138412</v>
      </c>
      <c r="J57" s="2">
        <f t="shared" si="3"/>
        <v>138412</v>
      </c>
      <c r="K57" s="5"/>
      <c r="L57" s="136"/>
    </row>
    <row r="58" spans="2:12" s="92" customFormat="1" ht="18">
      <c r="B58" s="149" t="s">
        <v>66</v>
      </c>
      <c r="C58" s="144"/>
      <c r="D58" s="145"/>
      <c r="E58" s="217" t="s">
        <v>111</v>
      </c>
      <c r="F58" s="218"/>
      <c r="G58" s="140">
        <v>0.5</v>
      </c>
      <c r="H58" s="141" t="s">
        <v>40</v>
      </c>
      <c r="I58" s="142">
        <v>28400</v>
      </c>
      <c r="J58" s="2">
        <f t="shared" si="3"/>
        <v>14200</v>
      </c>
      <c r="K58" s="5"/>
      <c r="L58" s="136"/>
    </row>
    <row r="59" spans="2:12" s="92" customFormat="1" ht="18">
      <c r="B59" s="149" t="s">
        <v>119</v>
      </c>
      <c r="C59" s="144"/>
      <c r="D59" s="145"/>
      <c r="E59" s="217" t="s">
        <v>116</v>
      </c>
      <c r="F59" s="218"/>
      <c r="G59" s="140">
        <v>1</v>
      </c>
      <c r="H59" s="141" t="s">
        <v>40</v>
      </c>
      <c r="I59" s="142">
        <v>8808</v>
      </c>
      <c r="J59" s="2">
        <f t="shared" si="3"/>
        <v>8808</v>
      </c>
      <c r="K59" s="5"/>
      <c r="L59" s="136"/>
    </row>
    <row r="60" spans="2:12" s="92" customFormat="1" ht="18">
      <c r="B60" s="149" t="s">
        <v>81</v>
      </c>
      <c r="C60" s="144"/>
      <c r="D60" s="145"/>
      <c r="E60" s="217" t="s">
        <v>97</v>
      </c>
      <c r="F60" s="218"/>
      <c r="G60" s="140">
        <v>0.4</v>
      </c>
      <c r="H60" s="141" t="s">
        <v>40</v>
      </c>
      <c r="I60" s="142">
        <v>55118</v>
      </c>
      <c r="J60" s="2">
        <f t="shared" si="3"/>
        <v>22047.2</v>
      </c>
      <c r="K60" s="5"/>
      <c r="L60" s="136"/>
    </row>
    <row r="61" spans="2:12" s="92" customFormat="1" ht="18">
      <c r="B61" s="149"/>
      <c r="C61" s="144"/>
      <c r="D61" s="145"/>
      <c r="E61" s="217"/>
      <c r="F61" s="218"/>
      <c r="G61" s="140"/>
      <c r="H61" s="141"/>
      <c r="I61" s="142"/>
      <c r="J61" s="2"/>
      <c r="K61" s="5"/>
      <c r="L61" s="136"/>
    </row>
    <row r="62" spans="2:12" s="92" customFormat="1" ht="18">
      <c r="B62" s="151" t="s">
        <v>120</v>
      </c>
      <c r="C62" s="144"/>
      <c r="D62" s="145"/>
      <c r="E62" s="217"/>
      <c r="F62" s="218"/>
      <c r="G62" s="140"/>
      <c r="H62" s="141"/>
      <c r="I62" s="142"/>
      <c r="J62" s="2"/>
      <c r="K62" s="5"/>
      <c r="L62" s="136"/>
    </row>
    <row r="63" spans="2:12" s="92" customFormat="1" ht="18">
      <c r="B63" s="149" t="s">
        <v>87</v>
      </c>
      <c r="C63" s="144"/>
      <c r="D63" s="145"/>
      <c r="E63" s="217" t="s">
        <v>97</v>
      </c>
      <c r="F63" s="218"/>
      <c r="G63" s="140">
        <v>0.5</v>
      </c>
      <c r="H63" s="141" t="s">
        <v>44</v>
      </c>
      <c r="I63" s="142">
        <v>46692</v>
      </c>
      <c r="J63" s="2">
        <f t="shared" si="3"/>
        <v>23346</v>
      </c>
      <c r="K63" s="5"/>
      <c r="L63" s="136"/>
    </row>
    <row r="64" spans="2:12" s="92" customFormat="1" ht="18">
      <c r="B64" s="149"/>
      <c r="C64" s="144"/>
      <c r="D64" s="145"/>
      <c r="E64" s="150"/>
      <c r="F64" s="1"/>
      <c r="G64" s="140"/>
      <c r="H64" s="141"/>
      <c r="I64" s="142"/>
      <c r="J64" s="2"/>
      <c r="K64" s="5"/>
      <c r="L64" s="136"/>
    </row>
    <row r="65" spans="2:12" s="92" customFormat="1" ht="18">
      <c r="B65" s="151" t="s">
        <v>121</v>
      </c>
      <c r="C65" s="144"/>
      <c r="D65" s="145"/>
      <c r="E65" s="150"/>
      <c r="F65" s="1"/>
      <c r="G65" s="140"/>
      <c r="H65" s="141"/>
      <c r="I65" s="142"/>
      <c r="J65" s="2"/>
      <c r="K65" s="5"/>
      <c r="L65" s="136"/>
    </row>
    <row r="66" spans="2:12" s="92" customFormat="1" ht="18">
      <c r="B66" s="149" t="s">
        <v>105</v>
      </c>
      <c r="C66" s="144"/>
      <c r="D66" s="145"/>
      <c r="E66" s="217" t="s">
        <v>94</v>
      </c>
      <c r="F66" s="218"/>
      <c r="G66" s="140">
        <v>1</v>
      </c>
      <c r="H66" s="141" t="s">
        <v>40</v>
      </c>
      <c r="I66" s="142">
        <v>23186</v>
      </c>
      <c r="J66" s="2">
        <f t="shared" si="3"/>
        <v>23186</v>
      </c>
      <c r="K66" s="5"/>
      <c r="L66" s="136"/>
    </row>
    <row r="67" spans="2:12" s="92" customFormat="1" ht="18">
      <c r="B67" s="149"/>
      <c r="C67" s="144"/>
      <c r="D67" s="145"/>
      <c r="E67" s="150"/>
      <c r="F67" s="1"/>
      <c r="G67" s="140"/>
      <c r="H67" s="141"/>
      <c r="I67" s="142"/>
      <c r="J67" s="2"/>
      <c r="K67" s="5"/>
      <c r="L67" s="136"/>
    </row>
    <row r="68" spans="2:12" s="92" customFormat="1" ht="18">
      <c r="B68" s="151" t="s">
        <v>64</v>
      </c>
      <c r="C68" s="144"/>
      <c r="D68" s="145"/>
      <c r="E68" s="150"/>
      <c r="F68" s="1"/>
      <c r="G68" s="140"/>
      <c r="H68" s="141"/>
      <c r="I68" s="142"/>
      <c r="J68" s="2"/>
      <c r="K68" s="5"/>
      <c r="L68" s="136"/>
    </row>
    <row r="69" spans="2:12" s="92" customFormat="1" ht="18">
      <c r="B69" s="149" t="s">
        <v>67</v>
      </c>
      <c r="C69" s="144"/>
      <c r="D69" s="145"/>
      <c r="E69" s="217" t="s">
        <v>111</v>
      </c>
      <c r="F69" s="218"/>
      <c r="G69" s="140">
        <v>4</v>
      </c>
      <c r="H69" s="141" t="s">
        <v>40</v>
      </c>
      <c r="I69" s="142">
        <v>8725</v>
      </c>
      <c r="J69" s="2">
        <f t="shared" si="3"/>
        <v>34900</v>
      </c>
      <c r="K69" s="5"/>
      <c r="L69" s="136"/>
    </row>
    <row r="70" spans="2:12" s="92" customFormat="1" ht="18">
      <c r="B70" s="149" t="s">
        <v>86</v>
      </c>
      <c r="C70" s="144"/>
      <c r="D70" s="145"/>
      <c r="E70" s="217" t="s">
        <v>92</v>
      </c>
      <c r="F70" s="218"/>
      <c r="G70" s="140">
        <v>7</v>
      </c>
      <c r="H70" s="141" t="s">
        <v>40</v>
      </c>
      <c r="I70" s="142">
        <v>5500</v>
      </c>
      <c r="J70" s="2">
        <f t="shared" si="3"/>
        <v>38500</v>
      </c>
      <c r="K70" s="5"/>
      <c r="L70" s="136"/>
    </row>
    <row r="71" spans="2:12" s="92" customFormat="1" ht="18">
      <c r="B71" s="137"/>
      <c r="C71" s="146"/>
      <c r="D71" s="147"/>
      <c r="E71" s="150"/>
      <c r="F71" s="1"/>
      <c r="G71" s="140"/>
      <c r="H71" s="141"/>
      <c r="I71" s="142"/>
      <c r="J71" s="2"/>
      <c r="K71" s="5"/>
      <c r="L71" s="136"/>
    </row>
    <row r="72" spans="2:12" s="92" customFormat="1" ht="18">
      <c r="B72" s="143" t="s">
        <v>65</v>
      </c>
      <c r="C72" s="146"/>
      <c r="D72" s="147"/>
      <c r="E72" s="150"/>
      <c r="F72" s="1"/>
      <c r="G72" s="140"/>
      <c r="H72" s="141"/>
      <c r="I72" s="142"/>
      <c r="J72" s="2"/>
      <c r="K72" s="5"/>
      <c r="L72" s="136"/>
    </row>
    <row r="73" spans="2:12" s="92" customFormat="1" ht="18">
      <c r="B73" s="154" t="s">
        <v>126</v>
      </c>
      <c r="C73" s="155"/>
      <c r="D73" s="147"/>
      <c r="E73" s="217" t="s">
        <v>95</v>
      </c>
      <c r="F73" s="218"/>
      <c r="G73" s="140">
        <v>1000</v>
      </c>
      <c r="H73" s="141" t="s">
        <v>75</v>
      </c>
      <c r="I73" s="142">
        <v>1000</v>
      </c>
      <c r="J73" s="2">
        <f>G73*I73/5</f>
        <v>200000</v>
      </c>
      <c r="K73" s="5"/>
      <c r="L73" s="136"/>
    </row>
    <row r="74" spans="2:12" s="92" customFormat="1" ht="21">
      <c r="B74" s="219" t="s">
        <v>131</v>
      </c>
      <c r="C74" s="220"/>
      <c r="D74" s="221"/>
      <c r="E74" s="217" t="s">
        <v>112</v>
      </c>
      <c r="F74" s="218"/>
      <c r="G74" s="140">
        <v>1</v>
      </c>
      <c r="H74" s="141" t="s">
        <v>63</v>
      </c>
      <c r="I74" s="142">
        <v>30000</v>
      </c>
      <c r="J74" s="2">
        <f t="shared" si="3"/>
        <v>30000</v>
      </c>
      <c r="K74" s="5"/>
      <c r="L74" s="136"/>
    </row>
    <row r="75" spans="2:14" ht="18">
      <c r="B75" s="256" t="s">
        <v>23</v>
      </c>
      <c r="C75" s="257"/>
      <c r="D75" s="257"/>
      <c r="E75" s="257"/>
      <c r="F75" s="257"/>
      <c r="G75" s="257"/>
      <c r="H75" s="257"/>
      <c r="I75" s="257"/>
      <c r="J75" s="47">
        <f>SUM(J44:J74)</f>
        <v>2028161.2</v>
      </c>
      <c r="K75" s="5"/>
      <c r="M75" s="5"/>
      <c r="N75" s="5"/>
    </row>
    <row r="76" spans="2:14" s="92" customFormat="1" ht="18">
      <c r="B76" s="13"/>
      <c r="C76" s="13"/>
      <c r="D76" s="13"/>
      <c r="E76" s="13"/>
      <c r="F76" s="13"/>
      <c r="G76" s="14"/>
      <c r="H76" s="13"/>
      <c r="I76" s="13"/>
      <c r="J76" s="15"/>
      <c r="K76" s="5"/>
      <c r="M76" s="5"/>
      <c r="N76" s="5"/>
    </row>
    <row r="77" spans="2:16" ht="18">
      <c r="B77" s="205" t="s">
        <v>24</v>
      </c>
      <c r="C77" s="206"/>
      <c r="D77" s="206"/>
      <c r="E77" s="206"/>
      <c r="F77" s="206"/>
      <c r="G77" s="206"/>
      <c r="H77" s="206"/>
      <c r="I77" s="206"/>
      <c r="J77" s="36">
        <f>total_mano_obra+total_maquinaria+total_insumos</f>
        <v>5246161.2</v>
      </c>
      <c r="K77" s="5"/>
      <c r="M77" s="5"/>
      <c r="N77" s="5"/>
      <c r="O77" s="94"/>
      <c r="P77" s="94"/>
    </row>
    <row r="78" spans="2:14" s="92" customFormat="1" ht="18">
      <c r="B78" s="49"/>
      <c r="C78" s="49"/>
      <c r="D78" s="49"/>
      <c r="E78" s="49"/>
      <c r="F78" s="49"/>
      <c r="G78" s="16"/>
      <c r="H78" s="49"/>
      <c r="I78" s="49"/>
      <c r="J78" s="12"/>
      <c r="K78" s="5"/>
      <c r="M78" s="5"/>
      <c r="N78" s="5"/>
    </row>
    <row r="79" spans="2:14" s="92" customFormat="1" ht="18">
      <c r="B79" s="64" t="s">
        <v>53</v>
      </c>
      <c r="C79" s="65"/>
      <c r="D79" s="66"/>
      <c r="E79" s="209" t="s">
        <v>62</v>
      </c>
      <c r="F79" s="209"/>
      <c r="G79" s="67">
        <v>0.05</v>
      </c>
      <c r="H79" s="68" t="s">
        <v>1</v>
      </c>
      <c r="I79" s="69"/>
      <c r="J79" s="69">
        <f>total_costos_directos*G79</f>
        <v>262308.06</v>
      </c>
      <c r="K79" s="5"/>
      <c r="M79" s="5"/>
      <c r="N79" s="5"/>
    </row>
    <row r="80" spans="2:14" s="92" customFormat="1" ht="18">
      <c r="B80" s="49"/>
      <c r="C80" s="49"/>
      <c r="D80" s="49"/>
      <c r="E80" s="49"/>
      <c r="F80" s="49"/>
      <c r="G80" s="16"/>
      <c r="H80" s="49"/>
      <c r="I80" s="49"/>
      <c r="J80" s="12"/>
      <c r="K80" s="5"/>
      <c r="M80" s="5"/>
      <c r="N80" s="5"/>
    </row>
    <row r="81" spans="2:14" s="92" customFormat="1" ht="20.25">
      <c r="B81" s="125" t="s">
        <v>52</v>
      </c>
      <c r="C81" s="126"/>
      <c r="D81" s="126"/>
      <c r="E81" s="7"/>
      <c r="F81" s="7"/>
      <c r="G81" s="8"/>
      <c r="H81" s="9"/>
      <c r="I81" s="10"/>
      <c r="J81" s="10"/>
      <c r="K81" s="5"/>
      <c r="M81" s="5"/>
      <c r="N81" s="5"/>
    </row>
    <row r="82" spans="2:14" s="92" customFormat="1" ht="18">
      <c r="B82" s="255" t="s">
        <v>51</v>
      </c>
      <c r="C82" s="249"/>
      <c r="D82" s="249"/>
      <c r="E82" s="249" t="s">
        <v>15</v>
      </c>
      <c r="F82" s="249"/>
      <c r="G82" s="39" t="s">
        <v>16</v>
      </c>
      <c r="H82" s="40" t="s">
        <v>17</v>
      </c>
      <c r="I82" s="41" t="s">
        <v>18</v>
      </c>
      <c r="J82" s="42" t="s">
        <v>3</v>
      </c>
      <c r="K82" s="5"/>
      <c r="M82" s="5"/>
      <c r="N82" s="5"/>
    </row>
    <row r="83" spans="2:15" s="92" customFormat="1" ht="21">
      <c r="B83" s="265" t="s">
        <v>132</v>
      </c>
      <c r="C83" s="266"/>
      <c r="D83" s="267"/>
      <c r="E83" s="217" t="s">
        <v>62</v>
      </c>
      <c r="F83" s="218"/>
      <c r="G83" s="46">
        <f>E16</f>
        <v>0.015</v>
      </c>
      <c r="H83" s="1" t="s">
        <v>1</v>
      </c>
      <c r="I83" s="156"/>
      <c r="J83" s="2">
        <f>total_costos_directos*tasa_interes_mensual*meses_financiamiento*0.5</f>
        <v>236077.25400000002</v>
      </c>
      <c r="K83" s="5"/>
      <c r="L83" s="266"/>
      <c r="M83" s="266"/>
      <c r="N83" s="266"/>
      <c r="O83" s="266"/>
    </row>
    <row r="84" spans="2:14" s="92" customFormat="1" ht="18">
      <c r="B84" s="265" t="s">
        <v>26</v>
      </c>
      <c r="C84" s="266"/>
      <c r="D84" s="267"/>
      <c r="E84" s="247"/>
      <c r="F84" s="248"/>
      <c r="G84" s="37"/>
      <c r="H84" s="37"/>
      <c r="I84" s="37"/>
      <c r="J84" s="157"/>
      <c r="K84" s="5"/>
      <c r="M84" s="5"/>
      <c r="N84" s="5"/>
    </row>
    <row r="85" spans="2:14" s="92" customFormat="1" ht="18">
      <c r="B85" s="265" t="s">
        <v>2</v>
      </c>
      <c r="C85" s="266"/>
      <c r="D85" s="267"/>
      <c r="E85" s="247"/>
      <c r="F85" s="248"/>
      <c r="G85" s="37"/>
      <c r="H85" s="37"/>
      <c r="I85" s="37"/>
      <c r="J85" s="157"/>
      <c r="K85" s="5"/>
      <c r="M85" s="5"/>
      <c r="N85" s="5"/>
    </row>
    <row r="86" spans="2:14" s="92" customFormat="1" ht="18">
      <c r="B86" s="287" t="s">
        <v>27</v>
      </c>
      <c r="C86" s="288"/>
      <c r="D86" s="289"/>
      <c r="E86" s="268"/>
      <c r="F86" s="269"/>
      <c r="G86" s="38"/>
      <c r="H86" s="38"/>
      <c r="I86" s="38"/>
      <c r="J86" s="158"/>
      <c r="K86" s="5"/>
      <c r="M86" s="5"/>
      <c r="N86" s="5"/>
    </row>
    <row r="87" spans="2:14" ht="18">
      <c r="B87" s="232" t="s">
        <v>48</v>
      </c>
      <c r="C87" s="233"/>
      <c r="D87" s="233"/>
      <c r="E87" s="233"/>
      <c r="F87" s="233"/>
      <c r="G87" s="233"/>
      <c r="H87" s="233"/>
      <c r="I87" s="233"/>
      <c r="J87" s="45">
        <f>SUM(J83:J86)</f>
        <v>236077.25400000002</v>
      </c>
      <c r="K87" s="5"/>
      <c r="M87" s="5"/>
      <c r="N87" s="5"/>
    </row>
    <row r="88" spans="2:12" s="92" customFormat="1" ht="18" customHeight="1">
      <c r="B88" s="33"/>
      <c r="C88" s="33"/>
      <c r="D88" s="33"/>
      <c r="E88" s="33"/>
      <c r="F88" s="33"/>
      <c r="G88" s="11"/>
      <c r="H88" s="33"/>
      <c r="I88" s="33"/>
      <c r="J88" s="12"/>
      <c r="K88" s="5"/>
      <c r="L88" s="5"/>
    </row>
    <row r="89" spans="2:12" ht="18" customHeight="1">
      <c r="B89" s="230" t="s">
        <v>28</v>
      </c>
      <c r="C89" s="231"/>
      <c r="D89" s="231"/>
      <c r="E89" s="231"/>
      <c r="F89" s="231"/>
      <c r="G89" s="231"/>
      <c r="H89" s="231"/>
      <c r="I89" s="231"/>
      <c r="J89" s="297">
        <f>total_costos_directos+imprevistos+total_costos_indirectos</f>
        <v>5744546.5139999995</v>
      </c>
      <c r="K89" s="5"/>
      <c r="L89" s="5"/>
    </row>
    <row r="90" spans="2:12" s="92" customFormat="1" ht="18" customHeight="1">
      <c r="B90" s="232"/>
      <c r="C90" s="233"/>
      <c r="D90" s="233"/>
      <c r="E90" s="233"/>
      <c r="F90" s="233"/>
      <c r="G90" s="233"/>
      <c r="H90" s="233"/>
      <c r="I90" s="233"/>
      <c r="J90" s="298"/>
      <c r="K90" s="5"/>
      <c r="L90" s="5"/>
    </row>
    <row r="91" spans="2:12" s="92" customFormat="1" ht="18" customHeight="1">
      <c r="B91" s="13"/>
      <c r="C91" s="13"/>
      <c r="D91" s="13"/>
      <c r="E91" s="13"/>
      <c r="F91" s="13"/>
      <c r="G91" s="14"/>
      <c r="H91" s="13"/>
      <c r="I91" s="13"/>
      <c r="J91" s="15"/>
      <c r="K91" s="5"/>
      <c r="L91" s="5"/>
    </row>
    <row r="92" spans="2:12" s="92" customFormat="1" ht="18" customHeight="1">
      <c r="B92" s="33"/>
      <c r="C92" s="33"/>
      <c r="D92" s="33"/>
      <c r="E92" s="33"/>
      <c r="F92" s="33"/>
      <c r="G92" s="11"/>
      <c r="H92" s="33"/>
      <c r="I92" s="33"/>
      <c r="J92" s="12"/>
      <c r="K92" s="5"/>
      <c r="L92" s="5"/>
    </row>
    <row r="93" spans="2:12" s="92" customFormat="1" ht="18" customHeight="1">
      <c r="B93" s="33"/>
      <c r="C93" s="33"/>
      <c r="D93" s="33"/>
      <c r="E93" s="33"/>
      <c r="F93" s="33"/>
      <c r="G93" s="11"/>
      <c r="H93" s="33"/>
      <c r="I93" s="33"/>
      <c r="J93" s="12"/>
      <c r="K93" s="5"/>
      <c r="L93" s="5"/>
    </row>
    <row r="94" spans="2:12" ht="18" customHeight="1">
      <c r="B94" s="261" t="s">
        <v>133</v>
      </c>
      <c r="C94" s="262"/>
      <c r="D94" s="262"/>
      <c r="E94" s="262"/>
      <c r="F94" s="262"/>
      <c r="G94" s="262"/>
      <c r="H94" s="262"/>
      <c r="I94" s="262"/>
      <c r="J94" s="263"/>
      <c r="K94" s="5"/>
      <c r="L94" s="136"/>
    </row>
    <row r="95" spans="2:12" ht="18" customHeight="1">
      <c r="B95" s="280" t="s">
        <v>34</v>
      </c>
      <c r="C95" s="281"/>
      <c r="D95" s="281"/>
      <c r="E95" s="281"/>
      <c r="F95" s="281"/>
      <c r="G95" s="281"/>
      <c r="H95" s="281"/>
      <c r="I95" s="281"/>
      <c r="J95" s="282"/>
      <c r="K95" s="5"/>
      <c r="L95" s="136"/>
    </row>
    <row r="96" spans="2:12" s="92" customFormat="1" ht="18" customHeight="1">
      <c r="B96" s="237" t="s">
        <v>59</v>
      </c>
      <c r="C96" s="237"/>
      <c r="D96" s="237"/>
      <c r="E96" s="258" t="s">
        <v>58</v>
      </c>
      <c r="F96" s="259"/>
      <c r="G96" s="259"/>
      <c r="H96" s="259"/>
      <c r="I96" s="259"/>
      <c r="J96" s="260"/>
      <c r="K96" s="5"/>
      <c r="L96" s="136"/>
    </row>
    <row r="97" spans="2:12" s="92" customFormat="1" ht="18" customHeight="1">
      <c r="B97" s="237"/>
      <c r="C97" s="237"/>
      <c r="D97" s="237"/>
      <c r="E97" s="250">
        <f>G97*0.9</f>
        <v>171</v>
      </c>
      <c r="F97" s="250"/>
      <c r="G97" s="227">
        <f>precio_de_venta</f>
        <v>190</v>
      </c>
      <c r="H97" s="227"/>
      <c r="I97" s="250">
        <f>G97*1.1</f>
        <v>209.00000000000003</v>
      </c>
      <c r="J97" s="250"/>
      <c r="K97" s="5"/>
      <c r="L97" s="136"/>
    </row>
    <row r="98" spans="2:12" s="92" customFormat="1" ht="18" customHeight="1">
      <c r="B98" s="250">
        <f>rendimiento*0.9</f>
        <v>45360</v>
      </c>
      <c r="C98" s="250"/>
      <c r="D98" s="250"/>
      <c r="E98" s="210">
        <f>E$97*$B$98-rdto_variable!$C$44</f>
        <v>2061682.6860000007</v>
      </c>
      <c r="F98" s="210"/>
      <c r="G98" s="210">
        <f>G$97*$B$98-rdto_variable!$C$44</f>
        <v>2923522.6860000007</v>
      </c>
      <c r="H98" s="210"/>
      <c r="I98" s="210">
        <f>I$97*$B$98-rdto_variable!$C$44</f>
        <v>3785362.6860000025</v>
      </c>
      <c r="J98" s="210"/>
      <c r="K98" s="5"/>
      <c r="L98" s="136"/>
    </row>
    <row r="99" spans="2:12" s="92" customFormat="1" ht="18" customHeight="1">
      <c r="B99" s="250">
        <f>rendimiento</f>
        <v>50400</v>
      </c>
      <c r="C99" s="250"/>
      <c r="D99" s="250"/>
      <c r="E99" s="210">
        <f>E$97*$B$99-total_costos</f>
        <v>2873853.4860000005</v>
      </c>
      <c r="F99" s="210"/>
      <c r="G99" s="210">
        <f>G$97*$B$99-total_costos</f>
        <v>3831453.4860000005</v>
      </c>
      <c r="H99" s="210"/>
      <c r="I99" s="210">
        <f>I$97*$B$99-total_costos</f>
        <v>4789053.486000002</v>
      </c>
      <c r="J99" s="210"/>
      <c r="K99" s="5"/>
      <c r="L99" s="136"/>
    </row>
    <row r="100" spans="2:12" s="92" customFormat="1" ht="18" customHeight="1">
      <c r="B100" s="250">
        <f>rendimiento*1.1</f>
        <v>55440.00000000001</v>
      </c>
      <c r="C100" s="250"/>
      <c r="D100" s="250"/>
      <c r="E100" s="210">
        <f>E$97*$B$100-rdto_variable!$D$44</f>
        <v>3686024.286000002</v>
      </c>
      <c r="F100" s="210"/>
      <c r="G100" s="210">
        <f>G$97*$B$100-rdto_variable!$D$44</f>
        <v>4739384.286000002</v>
      </c>
      <c r="H100" s="210"/>
      <c r="I100" s="210">
        <f>I$97*$B$100-rdto_variable!$D$44</f>
        <v>5792744.286000004</v>
      </c>
      <c r="J100" s="210"/>
      <c r="K100" s="5"/>
      <c r="L100" s="136"/>
    </row>
    <row r="101" spans="2:12" s="92" customFormat="1" ht="18" customHeight="1">
      <c r="B101" s="159"/>
      <c r="C101" s="159"/>
      <c r="D101" s="160"/>
      <c r="E101" s="160"/>
      <c r="F101" s="160"/>
      <c r="G101" s="161"/>
      <c r="H101" s="162"/>
      <c r="I101" s="163"/>
      <c r="J101" s="163"/>
      <c r="K101" s="5"/>
      <c r="L101" s="136"/>
    </row>
    <row r="102" spans="2:12" s="92" customFormat="1" ht="18" customHeight="1">
      <c r="B102" s="274" t="s">
        <v>134</v>
      </c>
      <c r="C102" s="275"/>
      <c r="D102" s="275"/>
      <c r="E102" s="275"/>
      <c r="F102" s="275"/>
      <c r="G102" s="275"/>
      <c r="H102" s="275"/>
      <c r="I102" s="275"/>
      <c r="J102" s="276"/>
      <c r="K102" s="5"/>
      <c r="L102" s="136"/>
    </row>
    <row r="103" spans="2:12" s="92" customFormat="1" ht="18" customHeight="1">
      <c r="B103" s="277"/>
      <c r="C103" s="278"/>
      <c r="D103" s="278"/>
      <c r="E103" s="278"/>
      <c r="F103" s="278"/>
      <c r="G103" s="278"/>
      <c r="H103" s="278"/>
      <c r="I103" s="278"/>
      <c r="J103" s="279"/>
      <c r="K103" s="5"/>
      <c r="L103" s="136"/>
    </row>
    <row r="104" spans="2:12" s="92" customFormat="1" ht="18" customHeight="1">
      <c r="B104" s="228" t="s">
        <v>59</v>
      </c>
      <c r="C104" s="211"/>
      <c r="D104" s="211"/>
      <c r="E104" s="211">
        <f>B98</f>
        <v>45360</v>
      </c>
      <c r="F104" s="211"/>
      <c r="G104" s="211">
        <f>B99</f>
        <v>50400</v>
      </c>
      <c r="H104" s="211"/>
      <c r="I104" s="211">
        <f>B100</f>
        <v>55440.00000000001</v>
      </c>
      <c r="J104" s="225"/>
      <c r="K104" s="5"/>
      <c r="L104" s="136"/>
    </row>
    <row r="105" spans="2:12" ht="18" customHeight="1">
      <c r="B105" s="229"/>
      <c r="C105" s="212"/>
      <c r="D105" s="212"/>
      <c r="E105" s="212"/>
      <c r="F105" s="212"/>
      <c r="G105" s="212"/>
      <c r="H105" s="212"/>
      <c r="I105" s="212"/>
      <c r="J105" s="226"/>
      <c r="K105" s="5"/>
      <c r="L105" s="136"/>
    </row>
    <row r="106" spans="2:12" ht="18" customHeight="1">
      <c r="B106" s="251" t="s">
        <v>60</v>
      </c>
      <c r="C106" s="252"/>
      <c r="D106" s="252"/>
      <c r="E106" s="213">
        <f>rdto_variable!C44/tomate!E104</f>
        <v>125.54844166666665</v>
      </c>
      <c r="F106" s="213"/>
      <c r="G106" s="215">
        <f>total_costos/$G$104</f>
        <v>113.9790975</v>
      </c>
      <c r="H106" s="215"/>
      <c r="I106" s="213">
        <f>rdto_variable!D44/tomate!I104</f>
        <v>104.51327045454543</v>
      </c>
      <c r="J106" s="214"/>
      <c r="K106" s="5"/>
      <c r="L106" s="136"/>
    </row>
    <row r="107" spans="2:12" ht="18" customHeight="1">
      <c r="B107" s="253"/>
      <c r="C107" s="254"/>
      <c r="D107" s="254"/>
      <c r="E107" s="215"/>
      <c r="F107" s="215"/>
      <c r="G107" s="215"/>
      <c r="H107" s="215"/>
      <c r="I107" s="215"/>
      <c r="J107" s="216"/>
      <c r="K107" s="5"/>
      <c r="L107" s="136"/>
    </row>
    <row r="108" spans="2:12" ht="18" customHeight="1">
      <c r="B108" s="164"/>
      <c r="C108" s="165"/>
      <c r="D108" s="92"/>
      <c r="E108" s="92"/>
      <c r="F108" s="166"/>
      <c r="G108" s="166"/>
      <c r="H108" s="166"/>
      <c r="I108" s="163"/>
      <c r="J108" s="163"/>
      <c r="K108" s="5"/>
      <c r="L108" s="136"/>
    </row>
    <row r="109" spans="2:11" s="92" customFormat="1" ht="18" customHeight="1">
      <c r="B109" s="244" t="s">
        <v>30</v>
      </c>
      <c r="C109" s="245"/>
      <c r="D109" s="245"/>
      <c r="E109" s="245"/>
      <c r="F109" s="245"/>
      <c r="G109" s="245"/>
      <c r="H109" s="245"/>
      <c r="I109" s="245"/>
      <c r="J109" s="246"/>
      <c r="K109" s="167"/>
    </row>
    <row r="110" spans="2:14" s="92" customFormat="1" ht="18">
      <c r="B110" s="270" t="s">
        <v>135</v>
      </c>
      <c r="C110" s="271"/>
      <c r="D110" s="271"/>
      <c r="E110" s="271"/>
      <c r="F110" s="271"/>
      <c r="G110" s="271"/>
      <c r="H110" s="271"/>
      <c r="I110" s="271"/>
      <c r="J110" s="272"/>
      <c r="K110" s="167"/>
      <c r="N110" s="168"/>
    </row>
    <row r="111" spans="2:11" s="92" customFormat="1" ht="34.5" customHeight="1">
      <c r="B111" s="234" t="s">
        <v>136</v>
      </c>
      <c r="C111" s="235"/>
      <c r="D111" s="235"/>
      <c r="E111" s="235"/>
      <c r="F111" s="235"/>
      <c r="G111" s="235"/>
      <c r="H111" s="235"/>
      <c r="I111" s="235"/>
      <c r="J111" s="236"/>
      <c r="K111" s="169"/>
    </row>
    <row r="112" spans="2:11" s="92" customFormat="1" ht="30.75" customHeight="1">
      <c r="B112" s="202" t="s">
        <v>137</v>
      </c>
      <c r="C112" s="203"/>
      <c r="D112" s="203"/>
      <c r="E112" s="203"/>
      <c r="F112" s="203"/>
      <c r="G112" s="203"/>
      <c r="H112" s="203"/>
      <c r="I112" s="203"/>
      <c r="J112" s="204"/>
      <c r="K112" s="167"/>
    </row>
    <row r="113" spans="2:11" s="92" customFormat="1" ht="29.25" customHeight="1">
      <c r="B113" s="273" t="s">
        <v>138</v>
      </c>
      <c r="C113" s="235"/>
      <c r="D113" s="235"/>
      <c r="E113" s="235"/>
      <c r="F113" s="235"/>
      <c r="G113" s="235"/>
      <c r="H113" s="235"/>
      <c r="I113" s="235"/>
      <c r="J113" s="236"/>
      <c r="K113" s="167"/>
    </row>
    <row r="114" spans="2:11" s="92" customFormat="1" ht="18">
      <c r="B114" s="222" t="s">
        <v>139</v>
      </c>
      <c r="C114" s="223"/>
      <c r="D114" s="223"/>
      <c r="E114" s="223"/>
      <c r="F114" s="223"/>
      <c r="G114" s="223"/>
      <c r="H114" s="223"/>
      <c r="I114" s="223"/>
      <c r="J114" s="224"/>
      <c r="K114" s="167"/>
    </row>
    <row r="115" spans="2:11" s="92" customFormat="1" ht="18">
      <c r="B115" s="238" t="s">
        <v>127</v>
      </c>
      <c r="C115" s="239"/>
      <c r="D115" s="239"/>
      <c r="E115" s="239"/>
      <c r="F115" s="239"/>
      <c r="G115" s="239"/>
      <c r="H115" s="239"/>
      <c r="I115" s="239"/>
      <c r="J115" s="240"/>
      <c r="K115" s="167"/>
    </row>
    <row r="116" spans="2:11" s="92" customFormat="1" ht="18">
      <c r="B116" s="222" t="s">
        <v>140</v>
      </c>
      <c r="C116" s="223"/>
      <c r="D116" s="223"/>
      <c r="E116" s="223"/>
      <c r="F116" s="223"/>
      <c r="G116" s="223"/>
      <c r="H116" s="223"/>
      <c r="I116" s="223"/>
      <c r="J116" s="224"/>
      <c r="K116" s="167"/>
    </row>
    <row r="117" spans="2:11" s="92" customFormat="1" ht="18.75">
      <c r="B117" s="241" t="s">
        <v>141</v>
      </c>
      <c r="C117" s="242"/>
      <c r="D117" s="242"/>
      <c r="E117" s="242"/>
      <c r="F117" s="242"/>
      <c r="G117" s="242"/>
      <c r="H117" s="242"/>
      <c r="I117" s="242"/>
      <c r="J117" s="243"/>
      <c r="K117" s="169"/>
    </row>
    <row r="118" spans="2:11" s="92" customFormat="1" ht="18" customHeight="1">
      <c r="B118" s="170"/>
      <c r="C118" s="171"/>
      <c r="D118" s="171"/>
      <c r="E118" s="171"/>
      <c r="F118" s="171"/>
      <c r="G118" s="171"/>
      <c r="H118" s="171"/>
      <c r="I118" s="171"/>
      <c r="J118" s="171"/>
      <c r="K118" s="172"/>
    </row>
    <row r="119" spans="2:11" s="92" customFormat="1" ht="16.5" customHeight="1">
      <c r="B119" s="173"/>
      <c r="C119" s="173"/>
      <c r="D119" s="173"/>
      <c r="E119" s="173"/>
      <c r="F119" s="173"/>
      <c r="G119" s="174"/>
      <c r="H119" s="173"/>
      <c r="I119" s="173"/>
      <c r="J119" s="173"/>
      <c r="K119" s="94"/>
    </row>
    <row r="120" spans="2:11" s="92" customFormat="1" ht="15">
      <c r="B120" s="175"/>
      <c r="C120" s="175"/>
      <c r="D120" s="175"/>
      <c r="E120" s="175"/>
      <c r="F120" s="175"/>
      <c r="G120" s="176"/>
      <c r="H120" s="175"/>
      <c r="I120" s="175"/>
      <c r="J120" s="175"/>
      <c r="K120" s="94"/>
    </row>
    <row r="121" spans="2:11" s="92" customFormat="1" ht="15">
      <c r="B121" s="177"/>
      <c r="C121" s="177"/>
      <c r="D121" s="177"/>
      <c r="E121" s="177"/>
      <c r="F121" s="177"/>
      <c r="G121" s="178"/>
      <c r="H121" s="177"/>
      <c r="I121" s="177"/>
      <c r="J121" s="177"/>
      <c r="K121" s="94"/>
    </row>
    <row r="122" spans="2:11" s="92" customFormat="1" ht="15">
      <c r="B122" s="177"/>
      <c r="C122" s="177"/>
      <c r="D122" s="177"/>
      <c r="E122" s="177"/>
      <c r="F122" s="177"/>
      <c r="G122" s="178"/>
      <c r="H122" s="177"/>
      <c r="I122" s="177"/>
      <c r="J122" s="177"/>
      <c r="K122" s="94"/>
    </row>
    <row r="123" spans="2:11" s="92" customFormat="1" ht="15">
      <c r="B123" s="177"/>
      <c r="C123" s="177"/>
      <c r="D123" s="177"/>
      <c r="E123" s="177"/>
      <c r="F123" s="177"/>
      <c r="G123" s="178"/>
      <c r="H123" s="177"/>
      <c r="I123" s="177"/>
      <c r="J123" s="177"/>
      <c r="K123" s="94"/>
    </row>
    <row r="124" spans="2:12" s="92" customFormat="1" ht="15">
      <c r="B124" s="179"/>
      <c r="C124" s="179"/>
      <c r="D124" s="179"/>
      <c r="E124" s="179"/>
      <c r="F124" s="179"/>
      <c r="G124" s="180"/>
      <c r="H124" s="179"/>
      <c r="I124" s="179"/>
      <c r="J124" s="179"/>
      <c r="K124" s="181"/>
      <c r="L124" s="179"/>
    </row>
    <row r="125" spans="2:12" s="92" customFormat="1" ht="15">
      <c r="B125" s="179"/>
      <c r="C125" s="179"/>
      <c r="D125" s="179"/>
      <c r="E125" s="179"/>
      <c r="F125" s="179"/>
      <c r="G125" s="180"/>
      <c r="H125" s="179"/>
      <c r="I125" s="179"/>
      <c r="J125" s="179"/>
      <c r="K125" s="181"/>
      <c r="L125" s="179"/>
    </row>
    <row r="126" spans="2:12" s="92" customFormat="1" ht="15">
      <c r="B126" s="179"/>
      <c r="C126" s="179"/>
      <c r="D126" s="179"/>
      <c r="E126" s="179"/>
      <c r="F126" s="179"/>
      <c r="G126" s="180"/>
      <c r="H126" s="179"/>
      <c r="I126" s="179"/>
      <c r="J126" s="179"/>
      <c r="K126" s="181"/>
      <c r="L126" s="179"/>
    </row>
    <row r="127" spans="2:12" s="92" customFormat="1" ht="15">
      <c r="B127" s="179"/>
      <c r="C127" s="179"/>
      <c r="D127" s="179"/>
      <c r="E127" s="179"/>
      <c r="F127" s="179"/>
      <c r="G127" s="180"/>
      <c r="H127" s="179"/>
      <c r="I127" s="179"/>
      <c r="J127" s="179"/>
      <c r="K127" s="181"/>
      <c r="L127" s="179"/>
    </row>
    <row r="128" spans="2:12" ht="18">
      <c r="B128" s="21"/>
      <c r="C128" s="21"/>
      <c r="D128" s="182"/>
      <c r="E128" s="182"/>
      <c r="F128" s="183"/>
      <c r="G128" s="183"/>
      <c r="H128" s="183"/>
      <c r="I128" s="179"/>
      <c r="J128" s="179"/>
      <c r="K128" s="181"/>
      <c r="L128" s="179"/>
    </row>
    <row r="129" spans="2:12" ht="18">
      <c r="B129" s="21"/>
      <c r="C129" s="22"/>
      <c r="D129" s="22"/>
      <c r="E129" s="23"/>
      <c r="F129" s="22"/>
      <c r="G129" s="24"/>
      <c r="H129" s="25"/>
      <c r="I129" s="179"/>
      <c r="J129" s="179"/>
      <c r="K129" s="181"/>
      <c r="L129" s="179"/>
    </row>
    <row r="130" spans="2:12" ht="18">
      <c r="B130" s="182"/>
      <c r="C130" s="182"/>
      <c r="D130" s="182"/>
      <c r="E130" s="182"/>
      <c r="F130" s="182"/>
      <c r="G130" s="182"/>
      <c r="H130" s="182"/>
      <c r="I130" s="179"/>
      <c r="J130" s="179"/>
      <c r="K130" s="181"/>
      <c r="L130" s="179"/>
    </row>
    <row r="131" spans="2:12" ht="18">
      <c r="B131" s="21"/>
      <c r="C131" s="182"/>
      <c r="D131" s="182"/>
      <c r="E131" s="182"/>
      <c r="F131" s="182"/>
      <c r="G131" s="182"/>
      <c r="H131" s="182"/>
      <c r="I131" s="179"/>
      <c r="J131" s="179"/>
      <c r="K131" s="181"/>
      <c r="L131" s="179"/>
    </row>
    <row r="132" spans="2:12" ht="18">
      <c r="B132" s="184"/>
      <c r="C132" s="29"/>
      <c r="D132" s="29"/>
      <c r="E132" s="32"/>
      <c r="F132" s="32"/>
      <c r="G132" s="32"/>
      <c r="H132" s="32"/>
      <c r="I132" s="179"/>
      <c r="J132" s="181"/>
      <c r="K132" s="181"/>
      <c r="L132" s="179"/>
    </row>
    <row r="133" spans="2:12" ht="18">
      <c r="B133" s="184"/>
      <c r="C133" s="29"/>
      <c r="D133" s="29"/>
      <c r="E133" s="32"/>
      <c r="F133" s="32"/>
      <c r="G133" s="32"/>
      <c r="H133" s="32"/>
      <c r="I133" s="179"/>
      <c r="J133" s="181"/>
      <c r="K133" s="181"/>
      <c r="L133" s="179"/>
    </row>
    <row r="134" spans="2:12" ht="18">
      <c r="B134" s="26"/>
      <c r="C134" s="27"/>
      <c r="D134" s="27"/>
      <c r="E134" s="26"/>
      <c r="F134" s="26"/>
      <c r="G134" s="26"/>
      <c r="H134" s="28"/>
      <c r="I134" s="179"/>
      <c r="J134" s="179"/>
      <c r="K134" s="181"/>
      <c r="L134" s="179"/>
    </row>
    <row r="135" spans="2:12" ht="18">
      <c r="B135" s="182"/>
      <c r="C135" s="182"/>
      <c r="D135" s="182"/>
      <c r="E135" s="182"/>
      <c r="F135" s="182"/>
      <c r="G135" s="182"/>
      <c r="H135" s="182"/>
      <c r="I135" s="179"/>
      <c r="J135" s="179"/>
      <c r="K135" s="181"/>
      <c r="L135" s="179"/>
    </row>
    <row r="136" spans="2:12" ht="18">
      <c r="B136" s="21"/>
      <c r="C136" s="182"/>
      <c r="D136" s="182"/>
      <c r="E136" s="182"/>
      <c r="F136" s="182"/>
      <c r="G136" s="182"/>
      <c r="H136" s="182"/>
      <c r="I136" s="179"/>
      <c r="J136" s="179"/>
      <c r="K136" s="181"/>
      <c r="L136" s="179"/>
    </row>
    <row r="137" spans="2:12" ht="18">
      <c r="B137" s="91"/>
      <c r="C137" s="29"/>
      <c r="D137" s="30"/>
      <c r="E137" s="31"/>
      <c r="F137" s="30"/>
      <c r="G137" s="32"/>
      <c r="H137" s="32"/>
      <c r="I137" s="179"/>
      <c r="J137" s="179"/>
      <c r="K137" s="181"/>
      <c r="L137" s="179"/>
    </row>
    <row r="138" spans="2:12" ht="18">
      <c r="B138" s="91"/>
      <c r="C138" s="29"/>
      <c r="D138" s="30"/>
      <c r="E138" s="31"/>
      <c r="F138" s="30"/>
      <c r="G138" s="32"/>
      <c r="H138" s="32"/>
      <c r="I138" s="179"/>
      <c r="J138" s="179"/>
      <c r="K138" s="181"/>
      <c r="L138" s="179"/>
    </row>
    <row r="139" spans="2:12" ht="18">
      <c r="B139" s="264"/>
      <c r="C139" s="264"/>
      <c r="D139" s="30"/>
      <c r="E139" s="31"/>
      <c r="F139" s="30"/>
      <c r="G139" s="32"/>
      <c r="H139" s="32"/>
      <c r="I139" s="179"/>
      <c r="J139" s="179"/>
      <c r="K139" s="181"/>
      <c r="L139" s="179"/>
    </row>
    <row r="140" spans="2:12" ht="18">
      <c r="B140" s="91"/>
      <c r="C140" s="29"/>
      <c r="D140" s="30"/>
      <c r="E140" s="31"/>
      <c r="F140" s="30"/>
      <c r="G140" s="32"/>
      <c r="H140" s="32"/>
      <c r="I140" s="179"/>
      <c r="J140" s="179"/>
      <c r="K140" s="181"/>
      <c r="L140" s="179"/>
    </row>
    <row r="141" spans="2:12" ht="18">
      <c r="B141" s="91"/>
      <c r="C141" s="29"/>
      <c r="D141" s="30"/>
      <c r="E141" s="31"/>
      <c r="F141" s="30"/>
      <c r="G141" s="32"/>
      <c r="H141" s="32"/>
      <c r="I141" s="179"/>
      <c r="J141" s="179"/>
      <c r="K141" s="181"/>
      <c r="L141" s="179"/>
    </row>
    <row r="142" spans="2:12" ht="18">
      <c r="B142" s="91"/>
      <c r="C142" s="29"/>
      <c r="D142" s="30"/>
      <c r="E142" s="31"/>
      <c r="F142" s="30"/>
      <c r="G142" s="32"/>
      <c r="H142" s="32"/>
      <c r="I142" s="179"/>
      <c r="J142" s="179"/>
      <c r="K142" s="181"/>
      <c r="L142" s="179"/>
    </row>
    <row r="143" spans="2:12" ht="18">
      <c r="B143" s="91"/>
      <c r="C143" s="29"/>
      <c r="D143" s="30"/>
      <c r="E143" s="31"/>
      <c r="F143" s="30"/>
      <c r="G143" s="32"/>
      <c r="H143" s="32"/>
      <c r="I143" s="179"/>
      <c r="J143" s="179"/>
      <c r="K143" s="181"/>
      <c r="L143" s="179"/>
    </row>
    <row r="144" spans="2:12" ht="18">
      <c r="B144" s="91"/>
      <c r="C144" s="29"/>
      <c r="D144" s="30"/>
      <c r="E144" s="31"/>
      <c r="F144" s="30"/>
      <c r="G144" s="32"/>
      <c r="H144" s="32"/>
      <c r="I144" s="179"/>
      <c r="J144" s="179"/>
      <c r="K144" s="181"/>
      <c r="L144" s="179"/>
    </row>
    <row r="145" spans="2:12" ht="18">
      <c r="B145" s="91"/>
      <c r="C145" s="29"/>
      <c r="D145" s="30"/>
      <c r="E145" s="31"/>
      <c r="F145" s="30"/>
      <c r="G145" s="32"/>
      <c r="H145" s="32"/>
      <c r="I145" s="179"/>
      <c r="J145" s="179"/>
      <c r="K145" s="181"/>
      <c r="L145" s="179"/>
    </row>
    <row r="146" spans="2:12" ht="18">
      <c r="B146" s="91"/>
      <c r="C146" s="29"/>
      <c r="D146" s="30"/>
      <c r="E146" s="31"/>
      <c r="F146" s="30"/>
      <c r="G146" s="32"/>
      <c r="H146" s="32"/>
      <c r="I146" s="179"/>
      <c r="J146" s="179"/>
      <c r="K146" s="181"/>
      <c r="L146" s="179"/>
    </row>
    <row r="147" spans="2:12" ht="18">
      <c r="B147" s="91"/>
      <c r="C147" s="29"/>
      <c r="D147" s="30"/>
      <c r="E147" s="31"/>
      <c r="F147" s="30"/>
      <c r="G147" s="32"/>
      <c r="H147" s="32"/>
      <c r="I147" s="179"/>
      <c r="J147" s="179"/>
      <c r="K147" s="181"/>
      <c r="L147" s="179"/>
    </row>
    <row r="148" spans="2:12" ht="18">
      <c r="B148" s="91"/>
      <c r="C148" s="29"/>
      <c r="D148" s="30"/>
      <c r="E148" s="31"/>
      <c r="F148" s="30"/>
      <c r="G148" s="32"/>
      <c r="H148" s="32"/>
      <c r="I148" s="179"/>
      <c r="J148" s="179"/>
      <c r="K148" s="181"/>
      <c r="L148" s="179"/>
    </row>
    <row r="149" spans="2:12" ht="18">
      <c r="B149" s="91"/>
      <c r="C149" s="29"/>
      <c r="D149" s="30"/>
      <c r="E149" s="31"/>
      <c r="F149" s="30"/>
      <c r="G149" s="32"/>
      <c r="H149" s="32"/>
      <c r="I149" s="179"/>
      <c r="J149" s="179"/>
      <c r="K149" s="181"/>
      <c r="L149" s="179"/>
    </row>
    <row r="150" spans="2:12" ht="18">
      <c r="B150" s="26"/>
      <c r="C150" s="27"/>
      <c r="D150" s="27"/>
      <c r="E150" s="26"/>
      <c r="F150" s="26"/>
      <c r="G150" s="26"/>
      <c r="H150" s="28"/>
      <c r="I150" s="179"/>
      <c r="J150" s="179"/>
      <c r="K150" s="181"/>
      <c r="L150" s="179"/>
    </row>
    <row r="151" spans="2:12" ht="18">
      <c r="B151" s="182"/>
      <c r="C151" s="182"/>
      <c r="D151" s="182"/>
      <c r="E151" s="182"/>
      <c r="F151" s="182"/>
      <c r="G151" s="182"/>
      <c r="H151" s="182"/>
      <c r="I151" s="179"/>
      <c r="J151" s="179"/>
      <c r="K151" s="181"/>
      <c r="L151" s="179"/>
    </row>
    <row r="152" spans="2:12" ht="18">
      <c r="B152" s="26"/>
      <c r="C152" s="27"/>
      <c r="D152" s="27"/>
      <c r="E152" s="26"/>
      <c r="F152" s="26"/>
      <c r="G152" s="26"/>
      <c r="H152" s="28"/>
      <c r="I152" s="179"/>
      <c r="J152" s="179"/>
      <c r="K152" s="181"/>
      <c r="L152" s="179"/>
    </row>
    <row r="153" spans="2:12" s="92" customFormat="1" ht="15">
      <c r="B153" s="179"/>
      <c r="C153" s="179"/>
      <c r="D153" s="179"/>
      <c r="E153" s="179"/>
      <c r="F153" s="179"/>
      <c r="G153" s="180"/>
      <c r="H153" s="179"/>
      <c r="I153" s="179"/>
      <c r="J153" s="179"/>
      <c r="K153" s="181"/>
      <c r="L153" s="179"/>
    </row>
    <row r="154" spans="2:12" s="92" customFormat="1" ht="15">
      <c r="B154" s="179"/>
      <c r="C154" s="179"/>
      <c r="D154" s="179"/>
      <c r="E154" s="179"/>
      <c r="F154" s="179"/>
      <c r="G154" s="180"/>
      <c r="H154" s="179"/>
      <c r="I154" s="179"/>
      <c r="J154" s="179"/>
      <c r="K154" s="181"/>
      <c r="L154" s="179"/>
    </row>
    <row r="155" spans="2:12" s="92" customFormat="1" ht="15">
      <c r="B155" s="179"/>
      <c r="C155" s="179"/>
      <c r="D155" s="179"/>
      <c r="E155" s="179"/>
      <c r="F155" s="179"/>
      <c r="G155" s="180"/>
      <c r="H155" s="179"/>
      <c r="I155" s="179"/>
      <c r="J155" s="179"/>
      <c r="K155" s="181"/>
      <c r="L155" s="179"/>
    </row>
    <row r="156" spans="2:12" s="92" customFormat="1" ht="15">
      <c r="B156" s="179"/>
      <c r="C156" s="179"/>
      <c r="D156" s="179"/>
      <c r="E156" s="179"/>
      <c r="F156" s="179"/>
      <c r="G156" s="180"/>
      <c r="H156" s="179"/>
      <c r="I156" s="179"/>
      <c r="J156" s="179"/>
      <c r="K156" s="181"/>
      <c r="L156" s="179"/>
    </row>
    <row r="157" spans="2:12" s="92" customFormat="1" ht="15">
      <c r="B157" s="179"/>
      <c r="C157" s="179"/>
      <c r="D157" s="179"/>
      <c r="E157" s="179"/>
      <c r="F157" s="179"/>
      <c r="G157" s="180"/>
      <c r="H157" s="179"/>
      <c r="I157" s="179"/>
      <c r="J157" s="179"/>
      <c r="K157" s="181"/>
      <c r="L157" s="179"/>
    </row>
    <row r="158" spans="2:12" s="92" customFormat="1" ht="15">
      <c r="B158" s="179"/>
      <c r="C158" s="179"/>
      <c r="D158" s="179"/>
      <c r="E158" s="179"/>
      <c r="F158" s="179"/>
      <c r="G158" s="180"/>
      <c r="H158" s="179"/>
      <c r="I158" s="179"/>
      <c r="J158" s="179"/>
      <c r="K158" s="181"/>
      <c r="L158" s="179"/>
    </row>
    <row r="159" spans="2:12" s="92" customFormat="1" ht="15">
      <c r="B159" s="179"/>
      <c r="C159" s="179"/>
      <c r="D159" s="179"/>
      <c r="E159" s="179"/>
      <c r="F159" s="179"/>
      <c r="G159" s="180"/>
      <c r="H159" s="179"/>
      <c r="I159" s="179"/>
      <c r="J159" s="179"/>
      <c r="K159" s="181"/>
      <c r="L159" s="179"/>
    </row>
    <row r="160" spans="2:12" s="92" customFormat="1" ht="15">
      <c r="B160" s="179"/>
      <c r="C160" s="179"/>
      <c r="D160" s="179"/>
      <c r="E160" s="179"/>
      <c r="F160" s="179"/>
      <c r="G160" s="180"/>
      <c r="H160" s="179"/>
      <c r="I160" s="179"/>
      <c r="J160" s="179"/>
      <c r="K160" s="181"/>
      <c r="L160" s="179"/>
    </row>
    <row r="161" spans="2:12" s="92" customFormat="1" ht="15">
      <c r="B161" s="179"/>
      <c r="C161" s="179"/>
      <c r="D161" s="179"/>
      <c r="E161" s="179"/>
      <c r="F161" s="179"/>
      <c r="G161" s="180"/>
      <c r="H161" s="179"/>
      <c r="I161" s="179"/>
      <c r="J161" s="179"/>
      <c r="K161" s="181"/>
      <c r="L161" s="179"/>
    </row>
    <row r="162" spans="2:12" s="92" customFormat="1" ht="15">
      <c r="B162" s="179"/>
      <c r="C162" s="179"/>
      <c r="D162" s="179"/>
      <c r="E162" s="179"/>
      <c r="F162" s="179"/>
      <c r="G162" s="180"/>
      <c r="H162" s="179"/>
      <c r="I162" s="179"/>
      <c r="J162" s="179"/>
      <c r="K162" s="181"/>
      <c r="L162" s="179"/>
    </row>
    <row r="163" spans="2:12" s="92" customFormat="1" ht="15">
      <c r="B163" s="185"/>
      <c r="C163" s="185"/>
      <c r="D163" s="185"/>
      <c r="E163" s="185"/>
      <c r="F163" s="185"/>
      <c r="G163" s="180"/>
      <c r="H163" s="179"/>
      <c r="I163" s="179"/>
      <c r="J163" s="179"/>
      <c r="K163" s="181"/>
      <c r="L163" s="179"/>
    </row>
    <row r="164" spans="2:12" s="92" customFormat="1" ht="15">
      <c r="B164" s="179"/>
      <c r="C164" s="179"/>
      <c r="D164" s="179"/>
      <c r="E164" s="179"/>
      <c r="F164" s="179"/>
      <c r="G164" s="180"/>
      <c r="H164" s="179"/>
      <c r="I164" s="179"/>
      <c r="J164" s="179"/>
      <c r="K164" s="181"/>
      <c r="L164" s="179"/>
    </row>
    <row r="165" spans="2:12" s="92" customFormat="1" ht="15">
      <c r="B165" s="179"/>
      <c r="C165" s="179"/>
      <c r="D165" s="179"/>
      <c r="E165" s="179"/>
      <c r="F165" s="179"/>
      <c r="G165" s="180"/>
      <c r="H165" s="179"/>
      <c r="I165" s="179"/>
      <c r="J165" s="179"/>
      <c r="K165" s="181"/>
      <c r="L165" s="179"/>
    </row>
    <row r="166" spans="2:12" s="92" customFormat="1" ht="15">
      <c r="B166" s="179"/>
      <c r="C166" s="181"/>
      <c r="D166" s="181"/>
      <c r="E166" s="181"/>
      <c r="F166" s="181"/>
      <c r="G166" s="180"/>
      <c r="H166" s="179"/>
      <c r="I166" s="179"/>
      <c r="J166" s="179"/>
      <c r="K166" s="181"/>
      <c r="L166" s="179"/>
    </row>
    <row r="167" spans="2:12" s="92" customFormat="1" ht="15">
      <c r="B167" s="179"/>
      <c r="C167" s="179"/>
      <c r="D167" s="179"/>
      <c r="E167" s="179"/>
      <c r="F167" s="179"/>
      <c r="G167" s="180"/>
      <c r="H167" s="179"/>
      <c r="I167" s="179"/>
      <c r="J167" s="179"/>
      <c r="K167" s="181"/>
      <c r="L167" s="179"/>
    </row>
    <row r="168" spans="2:12" s="92" customFormat="1" ht="15">
      <c r="B168" s="179"/>
      <c r="C168" s="179"/>
      <c r="D168" s="179"/>
      <c r="E168" s="179"/>
      <c r="F168" s="179"/>
      <c r="G168" s="180"/>
      <c r="H168" s="179"/>
      <c r="I168" s="179"/>
      <c r="J168" s="179"/>
      <c r="K168" s="181"/>
      <c r="L168" s="179"/>
    </row>
    <row r="169" spans="2:12" s="92" customFormat="1" ht="15">
      <c r="B169" s="179"/>
      <c r="C169" s="179"/>
      <c r="D169" s="179"/>
      <c r="E169" s="179"/>
      <c r="F169" s="179"/>
      <c r="G169" s="180"/>
      <c r="H169" s="179"/>
      <c r="I169" s="179"/>
      <c r="J169" s="179"/>
      <c r="K169" s="181"/>
      <c r="L169" s="179"/>
    </row>
    <row r="170" spans="2:12" s="92" customFormat="1" ht="15">
      <c r="B170" s="179"/>
      <c r="C170" s="179"/>
      <c r="D170" s="179"/>
      <c r="E170" s="179"/>
      <c r="F170" s="179"/>
      <c r="G170" s="180"/>
      <c r="H170" s="179"/>
      <c r="I170" s="179"/>
      <c r="J170" s="179"/>
      <c r="K170" s="181"/>
      <c r="L170" s="179"/>
    </row>
    <row r="171" spans="2:12" s="92" customFormat="1" ht="15">
      <c r="B171" s="179"/>
      <c r="C171" s="179"/>
      <c r="D171" s="179"/>
      <c r="E171" s="179"/>
      <c r="F171" s="179"/>
      <c r="G171" s="180"/>
      <c r="H171" s="179"/>
      <c r="I171" s="179"/>
      <c r="J171" s="179"/>
      <c r="K171" s="181"/>
      <c r="L171" s="179"/>
    </row>
    <row r="172" spans="2:12" s="92" customFormat="1" ht="15">
      <c r="B172" s="179"/>
      <c r="C172" s="179"/>
      <c r="D172" s="181"/>
      <c r="E172" s="179"/>
      <c r="F172" s="179"/>
      <c r="G172" s="180"/>
      <c r="H172" s="179"/>
      <c r="I172" s="179"/>
      <c r="J172" s="179"/>
      <c r="K172" s="181"/>
      <c r="L172" s="179"/>
    </row>
    <row r="173" spans="2:12" s="92" customFormat="1" ht="15">
      <c r="B173" s="179"/>
      <c r="C173" s="181"/>
      <c r="D173" s="181"/>
      <c r="E173" s="179"/>
      <c r="F173" s="179"/>
      <c r="G173" s="180"/>
      <c r="H173" s="179"/>
      <c r="I173" s="179"/>
      <c r="J173" s="179"/>
      <c r="K173" s="181"/>
      <c r="L173" s="179"/>
    </row>
    <row r="174" spans="2:12" s="92" customFormat="1" ht="15">
      <c r="B174" s="179"/>
      <c r="C174" s="179"/>
      <c r="D174" s="179"/>
      <c r="E174" s="179"/>
      <c r="F174" s="179"/>
      <c r="G174" s="180"/>
      <c r="H174" s="179"/>
      <c r="I174" s="179"/>
      <c r="J174" s="179"/>
      <c r="K174" s="181"/>
      <c r="L174" s="179"/>
    </row>
    <row r="175" spans="2:12" s="92" customFormat="1" ht="15">
      <c r="B175" s="179"/>
      <c r="C175" s="179"/>
      <c r="D175" s="179"/>
      <c r="E175" s="179"/>
      <c r="F175" s="179"/>
      <c r="G175" s="180"/>
      <c r="H175" s="179"/>
      <c r="I175" s="179"/>
      <c r="J175" s="179"/>
      <c r="K175" s="181"/>
      <c r="L175" s="179"/>
    </row>
    <row r="176" spans="2:12" s="92" customFormat="1" ht="15">
      <c r="B176" s="179"/>
      <c r="C176" s="179"/>
      <c r="D176" s="179"/>
      <c r="E176" s="179"/>
      <c r="F176" s="179"/>
      <c r="G176" s="180"/>
      <c r="H176" s="179"/>
      <c r="I176" s="179"/>
      <c r="J176" s="179"/>
      <c r="K176" s="181"/>
      <c r="L176" s="179"/>
    </row>
    <row r="177" spans="2:12" s="92" customFormat="1" ht="15">
      <c r="B177" s="179"/>
      <c r="C177" s="179"/>
      <c r="D177" s="179"/>
      <c r="E177" s="179"/>
      <c r="F177" s="179"/>
      <c r="G177" s="180"/>
      <c r="H177" s="179"/>
      <c r="I177" s="180"/>
      <c r="J177" s="179"/>
      <c r="K177" s="181"/>
      <c r="L177" s="179"/>
    </row>
    <row r="178" spans="2:12" s="92" customFormat="1" ht="15">
      <c r="B178" s="179"/>
      <c r="C178" s="179"/>
      <c r="D178" s="179"/>
      <c r="E178" s="179"/>
      <c r="F178" s="179"/>
      <c r="G178" s="180"/>
      <c r="H178" s="179"/>
      <c r="I178" s="179"/>
      <c r="J178" s="179"/>
      <c r="K178" s="181"/>
      <c r="L178" s="179"/>
    </row>
    <row r="179" spans="2:12" s="92" customFormat="1" ht="15">
      <c r="B179" s="179"/>
      <c r="C179" s="179"/>
      <c r="D179" s="179"/>
      <c r="E179" s="179"/>
      <c r="F179" s="179"/>
      <c r="G179" s="180"/>
      <c r="H179" s="179"/>
      <c r="I179" s="179"/>
      <c r="J179" s="179"/>
      <c r="K179" s="181"/>
      <c r="L179" s="179"/>
    </row>
    <row r="180" spans="2:12" s="92" customFormat="1" ht="15">
      <c r="B180" s="179"/>
      <c r="C180" s="179"/>
      <c r="D180" s="179"/>
      <c r="E180" s="179"/>
      <c r="F180" s="179"/>
      <c r="G180" s="180"/>
      <c r="H180" s="179"/>
      <c r="I180" s="179"/>
      <c r="J180" s="179"/>
      <c r="K180" s="181"/>
      <c r="L180" s="179"/>
    </row>
    <row r="181" spans="2:12" s="92" customFormat="1" ht="15">
      <c r="B181" s="179"/>
      <c r="C181" s="179"/>
      <c r="D181" s="179"/>
      <c r="E181" s="179"/>
      <c r="F181" s="179"/>
      <c r="G181" s="180"/>
      <c r="H181" s="179"/>
      <c r="I181" s="179"/>
      <c r="J181" s="179"/>
      <c r="K181" s="181"/>
      <c r="L181" s="179"/>
    </row>
    <row r="182" spans="2:12" s="92" customFormat="1" ht="15">
      <c r="B182" s="179"/>
      <c r="C182" s="179"/>
      <c r="D182" s="179"/>
      <c r="E182" s="179"/>
      <c r="F182" s="179"/>
      <c r="G182" s="180"/>
      <c r="H182" s="179"/>
      <c r="I182" s="179"/>
      <c r="J182" s="179"/>
      <c r="K182" s="181"/>
      <c r="L182" s="179"/>
    </row>
    <row r="183" spans="2:12" s="92" customFormat="1" ht="15">
      <c r="B183" s="179"/>
      <c r="C183" s="179"/>
      <c r="D183" s="179"/>
      <c r="E183" s="179"/>
      <c r="F183" s="179"/>
      <c r="G183" s="180"/>
      <c r="H183" s="179"/>
      <c r="I183" s="179"/>
      <c r="J183" s="179"/>
      <c r="K183" s="181"/>
      <c r="L183" s="179"/>
    </row>
    <row r="184" spans="2:12" s="92" customFormat="1" ht="15">
      <c r="B184" s="179"/>
      <c r="C184" s="179"/>
      <c r="D184" s="179"/>
      <c r="E184" s="179"/>
      <c r="F184" s="179"/>
      <c r="G184" s="180"/>
      <c r="H184" s="179"/>
      <c r="I184" s="179"/>
      <c r="J184" s="179"/>
      <c r="K184" s="181"/>
      <c r="L184" s="179"/>
    </row>
    <row r="185" spans="2:12" s="92" customFormat="1" ht="15">
      <c r="B185" s="179"/>
      <c r="C185" s="179"/>
      <c r="D185" s="179"/>
      <c r="E185" s="179"/>
      <c r="F185" s="179"/>
      <c r="G185" s="180"/>
      <c r="H185" s="179"/>
      <c r="I185" s="179"/>
      <c r="J185" s="179"/>
      <c r="K185" s="181"/>
      <c r="L185" s="179"/>
    </row>
    <row r="186" spans="2:12" s="92" customFormat="1" ht="15">
      <c r="B186" s="181"/>
      <c r="C186" s="181"/>
      <c r="D186" s="181"/>
      <c r="E186" s="181"/>
      <c r="F186" s="181"/>
      <c r="G186" s="181"/>
      <c r="H186" s="181"/>
      <c r="I186" s="181"/>
      <c r="J186" s="179"/>
      <c r="K186" s="181"/>
      <c r="L186" s="179"/>
    </row>
    <row r="187" spans="2:12" s="92" customFormat="1" ht="15">
      <c r="B187" s="181"/>
      <c r="C187" s="181"/>
      <c r="D187" s="181"/>
      <c r="E187" s="181"/>
      <c r="F187" s="181"/>
      <c r="G187" s="186"/>
      <c r="H187" s="181"/>
      <c r="I187" s="181"/>
      <c r="J187" s="179"/>
      <c r="K187" s="181"/>
      <c r="L187" s="186"/>
    </row>
    <row r="188" spans="2:12" s="92" customFormat="1" ht="15">
      <c r="B188" s="181"/>
      <c r="C188" s="181"/>
      <c r="D188" s="181"/>
      <c r="E188" s="181"/>
      <c r="F188" s="181"/>
      <c r="G188" s="181"/>
      <c r="H188" s="181"/>
      <c r="I188" s="187"/>
      <c r="J188" s="179"/>
      <c r="K188" s="181"/>
      <c r="L188" s="179"/>
    </row>
    <row r="189" spans="2:12" s="92" customFormat="1" ht="15">
      <c r="B189" s="179"/>
      <c r="C189" s="179"/>
      <c r="D189" s="179"/>
      <c r="E189" s="179"/>
      <c r="F189" s="179"/>
      <c r="G189" s="180"/>
      <c r="H189" s="179"/>
      <c r="I189" s="179"/>
      <c r="J189" s="179"/>
      <c r="K189" s="181"/>
      <c r="L189" s="179"/>
    </row>
    <row r="190" spans="2:12" s="92" customFormat="1" ht="15">
      <c r="B190" s="179"/>
      <c r="C190" s="179"/>
      <c r="D190" s="179"/>
      <c r="E190" s="179"/>
      <c r="F190" s="179"/>
      <c r="G190" s="180"/>
      <c r="H190" s="179"/>
      <c r="I190" s="179"/>
      <c r="J190" s="179"/>
      <c r="K190" s="181"/>
      <c r="L190" s="179"/>
    </row>
    <row r="191" spans="2:12" s="92" customFormat="1" ht="15">
      <c r="B191" s="179"/>
      <c r="C191" s="179"/>
      <c r="D191" s="179"/>
      <c r="E191" s="179"/>
      <c r="F191" s="179"/>
      <c r="G191" s="180"/>
      <c r="H191" s="179"/>
      <c r="I191" s="179"/>
      <c r="J191" s="179"/>
      <c r="K191" s="181"/>
      <c r="L191" s="179"/>
    </row>
    <row r="192" spans="2:12" s="92" customFormat="1" ht="15">
      <c r="B192" s="179"/>
      <c r="C192" s="179"/>
      <c r="D192" s="179"/>
      <c r="E192" s="179"/>
      <c r="F192" s="179"/>
      <c r="G192" s="180"/>
      <c r="H192" s="179"/>
      <c r="I192" s="179"/>
      <c r="J192" s="179"/>
      <c r="K192" s="181"/>
      <c r="L192" s="179"/>
    </row>
    <row r="193" spans="2:12" s="92" customFormat="1" ht="15">
      <c r="B193" s="179"/>
      <c r="C193" s="179"/>
      <c r="D193" s="179"/>
      <c r="E193" s="179"/>
      <c r="F193" s="179"/>
      <c r="G193" s="180"/>
      <c r="H193" s="179"/>
      <c r="I193" s="179"/>
      <c r="J193" s="179"/>
      <c r="K193" s="181"/>
      <c r="L193" s="179"/>
    </row>
    <row r="194" spans="2:12" s="92" customFormat="1" ht="15">
      <c r="B194" s="179"/>
      <c r="C194" s="179"/>
      <c r="D194" s="179"/>
      <c r="E194" s="179"/>
      <c r="F194" s="179"/>
      <c r="G194" s="180"/>
      <c r="H194" s="179"/>
      <c r="I194" s="179"/>
      <c r="J194" s="179"/>
      <c r="K194" s="181"/>
      <c r="L194" s="179"/>
    </row>
    <row r="195" spans="2:12" s="92" customFormat="1" ht="15">
      <c r="B195" s="179"/>
      <c r="C195" s="179"/>
      <c r="D195" s="179"/>
      <c r="E195" s="179"/>
      <c r="F195" s="179"/>
      <c r="G195" s="180"/>
      <c r="H195" s="181"/>
      <c r="I195" s="181"/>
      <c r="J195" s="179"/>
      <c r="K195" s="181"/>
      <c r="L195" s="179"/>
    </row>
    <row r="196" spans="2:12" s="92" customFormat="1" ht="15">
      <c r="B196" s="179"/>
      <c r="C196" s="179"/>
      <c r="D196" s="179"/>
      <c r="E196" s="179"/>
      <c r="F196" s="179"/>
      <c r="G196" s="180"/>
      <c r="H196" s="181"/>
      <c r="I196" s="181"/>
      <c r="J196" s="179"/>
      <c r="K196" s="181"/>
      <c r="L196" s="179"/>
    </row>
    <row r="197" spans="2:12" s="92" customFormat="1" ht="15">
      <c r="B197" s="179"/>
      <c r="C197" s="179"/>
      <c r="D197" s="179"/>
      <c r="E197" s="179"/>
      <c r="F197" s="179"/>
      <c r="G197" s="180"/>
      <c r="H197" s="181"/>
      <c r="I197" s="181"/>
      <c r="J197" s="179"/>
      <c r="K197" s="181"/>
      <c r="L197" s="179"/>
    </row>
    <row r="198" spans="2:12" s="92" customFormat="1" ht="15">
      <c r="B198" s="179"/>
      <c r="C198" s="179"/>
      <c r="D198" s="179"/>
      <c r="E198" s="179"/>
      <c r="F198" s="179"/>
      <c r="G198" s="180"/>
      <c r="H198" s="179"/>
      <c r="I198" s="179"/>
      <c r="J198" s="179"/>
      <c r="K198" s="181"/>
      <c r="L198" s="179"/>
    </row>
    <row r="199" spans="2:12" s="92" customFormat="1" ht="15">
      <c r="B199" s="179"/>
      <c r="C199" s="179"/>
      <c r="D199" s="179"/>
      <c r="E199" s="179"/>
      <c r="F199" s="179"/>
      <c r="G199" s="180"/>
      <c r="H199" s="179"/>
      <c r="I199" s="179"/>
      <c r="J199" s="179"/>
      <c r="K199" s="181"/>
      <c r="L199" s="179"/>
    </row>
    <row r="200" spans="2:12" s="92" customFormat="1" ht="15">
      <c r="B200" s="179"/>
      <c r="C200" s="179"/>
      <c r="D200" s="179"/>
      <c r="E200" s="179"/>
      <c r="F200" s="179"/>
      <c r="G200" s="180"/>
      <c r="H200" s="179"/>
      <c r="I200" s="179"/>
      <c r="J200" s="179"/>
      <c r="K200" s="181"/>
      <c r="L200" s="179"/>
    </row>
    <row r="201" spans="2:12" s="92" customFormat="1" ht="15">
      <c r="B201" s="179"/>
      <c r="C201" s="179"/>
      <c r="D201" s="179"/>
      <c r="E201" s="179"/>
      <c r="F201" s="179"/>
      <c r="G201" s="180"/>
      <c r="H201" s="179"/>
      <c r="I201" s="179"/>
      <c r="J201" s="179"/>
      <c r="K201" s="181"/>
      <c r="L201" s="179"/>
    </row>
    <row r="202" spans="2:12" s="92" customFormat="1" ht="15">
      <c r="B202" s="179"/>
      <c r="C202" s="179"/>
      <c r="D202" s="179"/>
      <c r="E202" s="179"/>
      <c r="F202" s="179"/>
      <c r="G202" s="180"/>
      <c r="H202" s="179"/>
      <c r="I202" s="179"/>
      <c r="J202" s="179"/>
      <c r="K202" s="181"/>
      <c r="L202" s="179"/>
    </row>
    <row r="203" spans="2:12" s="92" customFormat="1" ht="15">
      <c r="B203" s="179"/>
      <c r="C203" s="179"/>
      <c r="D203" s="179"/>
      <c r="E203" s="179"/>
      <c r="F203" s="179"/>
      <c r="G203" s="180"/>
      <c r="H203" s="179"/>
      <c r="I203" s="179"/>
      <c r="J203" s="179"/>
      <c r="K203" s="181"/>
      <c r="L203" s="179"/>
    </row>
    <row r="204" spans="2:12" s="92" customFormat="1" ht="15">
      <c r="B204" s="179"/>
      <c r="C204" s="179"/>
      <c r="D204" s="179"/>
      <c r="E204" s="179"/>
      <c r="F204" s="179"/>
      <c r="G204" s="180"/>
      <c r="H204" s="181"/>
      <c r="I204" s="181"/>
      <c r="J204" s="179"/>
      <c r="K204" s="181"/>
      <c r="L204" s="179"/>
    </row>
    <row r="205" spans="2:12" s="92" customFormat="1" ht="15">
      <c r="B205" s="179"/>
      <c r="C205" s="179"/>
      <c r="D205" s="179"/>
      <c r="E205" s="179"/>
      <c r="F205" s="179"/>
      <c r="G205" s="180"/>
      <c r="H205" s="181"/>
      <c r="I205" s="181"/>
      <c r="J205" s="179"/>
      <c r="K205" s="181"/>
      <c r="L205" s="179"/>
    </row>
    <row r="206" spans="2:12" s="92" customFormat="1" ht="15">
      <c r="B206" s="179"/>
      <c r="C206" s="179"/>
      <c r="D206" s="179"/>
      <c r="E206" s="179"/>
      <c r="F206" s="179"/>
      <c r="G206" s="180"/>
      <c r="H206" s="181"/>
      <c r="I206" s="181"/>
      <c r="J206" s="179"/>
      <c r="K206" s="181"/>
      <c r="L206" s="179"/>
    </row>
    <row r="207" spans="2:12" s="92" customFormat="1" ht="15">
      <c r="B207" s="179"/>
      <c r="C207" s="179"/>
      <c r="D207" s="179"/>
      <c r="E207" s="179"/>
      <c r="F207" s="179"/>
      <c r="G207" s="180"/>
      <c r="H207" s="179"/>
      <c r="I207" s="179"/>
      <c r="J207" s="179"/>
      <c r="K207" s="181"/>
      <c r="L207" s="179"/>
    </row>
    <row r="208" spans="2:12" s="92" customFormat="1" ht="15">
      <c r="B208" s="179"/>
      <c r="C208" s="179"/>
      <c r="D208" s="179"/>
      <c r="E208" s="179"/>
      <c r="F208" s="179"/>
      <c r="G208" s="180"/>
      <c r="H208" s="179"/>
      <c r="I208" s="179"/>
      <c r="J208" s="179"/>
      <c r="K208" s="181"/>
      <c r="L208" s="179"/>
    </row>
    <row r="209" spans="2:12" s="92" customFormat="1" ht="15">
      <c r="B209" s="179"/>
      <c r="C209" s="179"/>
      <c r="D209" s="179"/>
      <c r="E209" s="179"/>
      <c r="F209" s="179"/>
      <c r="G209" s="180"/>
      <c r="H209" s="179"/>
      <c r="I209" s="179"/>
      <c r="J209" s="179"/>
      <c r="K209" s="181"/>
      <c r="L209" s="179"/>
    </row>
    <row r="210" spans="2:12" s="92" customFormat="1" ht="15">
      <c r="B210" s="179"/>
      <c r="C210" s="179"/>
      <c r="D210" s="179"/>
      <c r="E210" s="179"/>
      <c r="F210" s="179"/>
      <c r="G210" s="180"/>
      <c r="H210" s="179"/>
      <c r="I210" s="179"/>
      <c r="J210" s="179"/>
      <c r="K210" s="181"/>
      <c r="L210" s="179"/>
    </row>
    <row r="211" spans="2:12" s="92" customFormat="1" ht="15">
      <c r="B211" s="179"/>
      <c r="C211" s="179"/>
      <c r="D211" s="179"/>
      <c r="E211" s="179"/>
      <c r="F211" s="179"/>
      <c r="G211" s="180"/>
      <c r="H211" s="179"/>
      <c r="I211" s="179"/>
      <c r="J211" s="179"/>
      <c r="K211" s="181"/>
      <c r="L211" s="179"/>
    </row>
    <row r="212" spans="2:12" s="92" customFormat="1" ht="15">
      <c r="B212" s="179"/>
      <c r="C212" s="179"/>
      <c r="D212" s="179"/>
      <c r="E212" s="179"/>
      <c r="F212" s="179"/>
      <c r="G212" s="180"/>
      <c r="H212" s="179"/>
      <c r="I212" s="179"/>
      <c r="J212" s="179"/>
      <c r="K212" s="181"/>
      <c r="L212" s="179"/>
    </row>
    <row r="213" spans="2:12" s="92" customFormat="1" ht="15">
      <c r="B213" s="179"/>
      <c r="C213" s="179"/>
      <c r="D213" s="179"/>
      <c r="E213" s="179"/>
      <c r="F213" s="179"/>
      <c r="G213" s="180"/>
      <c r="H213" s="179"/>
      <c r="I213" s="179"/>
      <c r="J213" s="179"/>
      <c r="K213" s="181"/>
      <c r="L213" s="179"/>
    </row>
    <row r="214" spans="2:12" s="92" customFormat="1" ht="15">
      <c r="B214" s="179"/>
      <c r="C214" s="179"/>
      <c r="D214" s="179"/>
      <c r="E214" s="179"/>
      <c r="F214" s="179"/>
      <c r="G214" s="180"/>
      <c r="H214" s="179"/>
      <c r="I214" s="179"/>
      <c r="J214" s="179"/>
      <c r="K214" s="181"/>
      <c r="L214" s="179"/>
    </row>
    <row r="215" spans="2:12" s="92" customFormat="1" ht="15">
      <c r="B215" s="179"/>
      <c r="C215" s="179"/>
      <c r="D215" s="179"/>
      <c r="E215" s="179"/>
      <c r="F215" s="179"/>
      <c r="G215" s="180"/>
      <c r="H215" s="179"/>
      <c r="I215" s="179"/>
      <c r="J215" s="179"/>
      <c r="K215" s="181"/>
      <c r="L215" s="179"/>
    </row>
    <row r="216" spans="2:12" s="92" customFormat="1" ht="15">
      <c r="B216" s="179"/>
      <c r="C216" s="179"/>
      <c r="D216" s="179"/>
      <c r="E216" s="179"/>
      <c r="F216" s="179"/>
      <c r="G216" s="180"/>
      <c r="H216" s="179"/>
      <c r="I216" s="179"/>
      <c r="J216" s="179"/>
      <c r="K216" s="181"/>
      <c r="L216" s="179"/>
    </row>
    <row r="217" spans="2:12" s="92" customFormat="1" ht="15">
      <c r="B217" s="179"/>
      <c r="C217" s="179"/>
      <c r="D217" s="179"/>
      <c r="E217" s="179"/>
      <c r="F217" s="179"/>
      <c r="G217" s="180"/>
      <c r="H217" s="179"/>
      <c r="I217" s="179"/>
      <c r="J217" s="179"/>
      <c r="K217" s="181"/>
      <c r="L217" s="179"/>
    </row>
    <row r="218" spans="2:12" s="92" customFormat="1" ht="15">
      <c r="B218" s="179"/>
      <c r="C218" s="179"/>
      <c r="D218" s="179"/>
      <c r="E218" s="179"/>
      <c r="F218" s="179"/>
      <c r="G218" s="180"/>
      <c r="H218" s="179"/>
      <c r="I218" s="179"/>
      <c r="J218" s="179"/>
      <c r="K218" s="181"/>
      <c r="L218" s="179"/>
    </row>
    <row r="219" spans="2:12" s="92" customFormat="1" ht="15">
      <c r="B219" s="179"/>
      <c r="C219" s="179"/>
      <c r="D219" s="179"/>
      <c r="E219" s="179"/>
      <c r="F219" s="179"/>
      <c r="G219" s="180"/>
      <c r="H219" s="179"/>
      <c r="I219" s="179"/>
      <c r="J219" s="179"/>
      <c r="K219" s="181"/>
      <c r="L219" s="179"/>
    </row>
    <row r="220" spans="2:12" s="92" customFormat="1" ht="15">
      <c r="B220" s="179"/>
      <c r="C220" s="179"/>
      <c r="D220" s="179"/>
      <c r="E220" s="179"/>
      <c r="F220" s="179"/>
      <c r="G220" s="180"/>
      <c r="H220" s="179"/>
      <c r="I220" s="179"/>
      <c r="J220" s="179"/>
      <c r="K220" s="181"/>
      <c r="L220" s="179"/>
    </row>
    <row r="221" spans="2:12" s="92" customFormat="1" ht="15">
      <c r="B221" s="179"/>
      <c r="C221" s="179"/>
      <c r="D221" s="179"/>
      <c r="E221" s="179"/>
      <c r="F221" s="179"/>
      <c r="G221" s="180"/>
      <c r="H221" s="179"/>
      <c r="I221" s="179"/>
      <c r="J221" s="179"/>
      <c r="K221" s="181"/>
      <c r="L221" s="179"/>
    </row>
    <row r="222" spans="2:12" s="92" customFormat="1" ht="15">
      <c r="B222" s="179"/>
      <c r="C222" s="179"/>
      <c r="D222" s="179"/>
      <c r="E222" s="179"/>
      <c r="F222" s="179"/>
      <c r="G222" s="180"/>
      <c r="H222" s="179"/>
      <c r="I222" s="179"/>
      <c r="J222" s="179"/>
      <c r="K222" s="181"/>
      <c r="L222" s="179"/>
    </row>
    <row r="223" spans="2:12" s="92" customFormat="1" ht="15">
      <c r="B223" s="179"/>
      <c r="C223" s="179"/>
      <c r="D223" s="179"/>
      <c r="E223" s="179"/>
      <c r="F223" s="179"/>
      <c r="G223" s="180"/>
      <c r="H223" s="179"/>
      <c r="I223" s="179"/>
      <c r="J223" s="179"/>
      <c r="K223" s="181"/>
      <c r="L223" s="179"/>
    </row>
    <row r="224" spans="2:12" s="92" customFormat="1" ht="15">
      <c r="B224" s="179"/>
      <c r="C224" s="179"/>
      <c r="D224" s="179"/>
      <c r="E224" s="179"/>
      <c r="F224" s="179"/>
      <c r="G224" s="180"/>
      <c r="H224" s="179"/>
      <c r="I224" s="179"/>
      <c r="J224" s="179"/>
      <c r="K224" s="181"/>
      <c r="L224" s="179"/>
    </row>
    <row r="225" spans="2:12" s="92" customFormat="1" ht="15">
      <c r="B225" s="179"/>
      <c r="C225" s="179"/>
      <c r="D225" s="179"/>
      <c r="E225" s="179"/>
      <c r="F225" s="179"/>
      <c r="G225" s="180"/>
      <c r="H225" s="179"/>
      <c r="I225" s="179"/>
      <c r="J225" s="179"/>
      <c r="K225" s="181"/>
      <c r="L225" s="179"/>
    </row>
    <row r="226" spans="2:12" s="92" customFormat="1" ht="15">
      <c r="B226" s="179"/>
      <c r="C226" s="179"/>
      <c r="D226" s="179"/>
      <c r="E226" s="179"/>
      <c r="F226" s="179"/>
      <c r="G226" s="180"/>
      <c r="H226" s="179"/>
      <c r="I226" s="179"/>
      <c r="J226" s="179"/>
      <c r="K226" s="181"/>
      <c r="L226" s="179"/>
    </row>
    <row r="227" spans="2:12" s="92" customFormat="1" ht="15">
      <c r="B227" s="179"/>
      <c r="C227" s="179"/>
      <c r="D227" s="179"/>
      <c r="E227" s="179"/>
      <c r="F227" s="179"/>
      <c r="G227" s="180"/>
      <c r="H227" s="179"/>
      <c r="I227" s="179"/>
      <c r="J227" s="179"/>
      <c r="K227" s="181"/>
      <c r="L227" s="179"/>
    </row>
    <row r="228" spans="2:12" s="92" customFormat="1" ht="15">
      <c r="B228" s="179"/>
      <c r="C228" s="179"/>
      <c r="D228" s="179"/>
      <c r="E228" s="179"/>
      <c r="F228" s="179"/>
      <c r="G228" s="180"/>
      <c r="H228" s="179"/>
      <c r="I228" s="179"/>
      <c r="J228" s="179"/>
      <c r="K228" s="181"/>
      <c r="L228" s="179"/>
    </row>
    <row r="229" spans="2:12" s="92" customFormat="1" ht="15">
      <c r="B229" s="179"/>
      <c r="C229" s="179"/>
      <c r="D229" s="179"/>
      <c r="E229" s="179"/>
      <c r="F229" s="179"/>
      <c r="G229" s="180"/>
      <c r="H229" s="179"/>
      <c r="I229" s="179"/>
      <c r="J229" s="179"/>
      <c r="K229" s="181"/>
      <c r="L229" s="179"/>
    </row>
    <row r="230" spans="2:12" s="92" customFormat="1" ht="15">
      <c r="B230" s="179"/>
      <c r="C230" s="179"/>
      <c r="D230" s="179"/>
      <c r="E230" s="179"/>
      <c r="F230" s="179"/>
      <c r="G230" s="180"/>
      <c r="H230" s="179"/>
      <c r="I230" s="179"/>
      <c r="J230" s="179"/>
      <c r="K230" s="181"/>
      <c r="L230" s="179"/>
    </row>
    <row r="231" spans="2:12" s="92" customFormat="1" ht="15">
      <c r="B231" s="179"/>
      <c r="C231" s="179"/>
      <c r="D231" s="179"/>
      <c r="E231" s="179"/>
      <c r="F231" s="179"/>
      <c r="G231" s="180"/>
      <c r="H231" s="179"/>
      <c r="I231" s="179"/>
      <c r="J231" s="179"/>
      <c r="K231" s="181"/>
      <c r="L231" s="179"/>
    </row>
    <row r="232" spans="2:12" s="92" customFormat="1" ht="15">
      <c r="B232" s="179"/>
      <c r="C232" s="179"/>
      <c r="D232" s="179"/>
      <c r="E232" s="179"/>
      <c r="F232" s="179"/>
      <c r="G232" s="180"/>
      <c r="H232" s="179"/>
      <c r="I232" s="179"/>
      <c r="J232" s="179"/>
      <c r="K232" s="181"/>
      <c r="L232" s="179"/>
    </row>
    <row r="233" spans="2:12" s="92" customFormat="1" ht="15">
      <c r="B233" s="179"/>
      <c r="C233" s="179"/>
      <c r="D233" s="179"/>
      <c r="E233" s="179"/>
      <c r="F233" s="179"/>
      <c r="G233" s="180"/>
      <c r="H233" s="179"/>
      <c r="I233" s="179"/>
      <c r="J233" s="179"/>
      <c r="K233" s="181"/>
      <c r="L233" s="179"/>
    </row>
    <row r="234" spans="2:12" s="92" customFormat="1" ht="15">
      <c r="B234" s="179"/>
      <c r="C234" s="179"/>
      <c r="D234" s="179"/>
      <c r="E234" s="179"/>
      <c r="F234" s="179"/>
      <c r="G234" s="180"/>
      <c r="H234" s="179"/>
      <c r="I234" s="179"/>
      <c r="J234" s="179"/>
      <c r="K234" s="181"/>
      <c r="L234" s="179"/>
    </row>
    <row r="235" spans="2:12" s="92" customFormat="1" ht="15">
      <c r="B235" s="179"/>
      <c r="C235" s="179"/>
      <c r="D235" s="179"/>
      <c r="E235" s="179"/>
      <c r="F235" s="179"/>
      <c r="G235" s="180"/>
      <c r="H235" s="179"/>
      <c r="I235" s="179"/>
      <c r="J235" s="179"/>
      <c r="K235" s="181"/>
      <c r="L235" s="179"/>
    </row>
    <row r="236" spans="2:12" s="92" customFormat="1" ht="15">
      <c r="B236" s="179"/>
      <c r="C236" s="179"/>
      <c r="D236" s="179"/>
      <c r="E236" s="179"/>
      <c r="F236" s="179"/>
      <c r="G236" s="180"/>
      <c r="H236" s="179"/>
      <c r="I236" s="179"/>
      <c r="J236" s="179"/>
      <c r="K236" s="181"/>
      <c r="L236" s="179"/>
    </row>
    <row r="237" spans="2:12" s="92" customFormat="1" ht="15">
      <c r="B237" s="179"/>
      <c r="C237" s="179"/>
      <c r="D237" s="179"/>
      <c r="E237" s="179"/>
      <c r="F237" s="179"/>
      <c r="G237" s="180"/>
      <c r="H237" s="179"/>
      <c r="I237" s="179"/>
      <c r="J237" s="179"/>
      <c r="K237" s="181"/>
      <c r="L237" s="179"/>
    </row>
    <row r="238" spans="2:12" s="92" customFormat="1" ht="15">
      <c r="B238" s="179"/>
      <c r="C238" s="179"/>
      <c r="D238" s="179"/>
      <c r="E238" s="179"/>
      <c r="F238" s="179"/>
      <c r="G238" s="180"/>
      <c r="H238" s="179"/>
      <c r="I238" s="179"/>
      <c r="J238" s="179"/>
      <c r="K238" s="181"/>
      <c r="L238" s="179"/>
    </row>
    <row r="239" spans="2:12" s="92" customFormat="1" ht="15">
      <c r="B239" s="179"/>
      <c r="C239" s="179"/>
      <c r="D239" s="179"/>
      <c r="E239" s="179"/>
      <c r="F239" s="179"/>
      <c r="G239" s="180"/>
      <c r="H239" s="179"/>
      <c r="I239" s="179"/>
      <c r="J239" s="179"/>
      <c r="K239" s="181"/>
      <c r="L239" s="179"/>
    </row>
    <row r="240" spans="2:12" s="92" customFormat="1" ht="15">
      <c r="B240" s="179"/>
      <c r="C240" s="179"/>
      <c r="D240" s="179"/>
      <c r="E240" s="179"/>
      <c r="F240" s="179"/>
      <c r="G240" s="180"/>
      <c r="H240" s="179"/>
      <c r="I240" s="179"/>
      <c r="J240" s="179"/>
      <c r="K240" s="181"/>
      <c r="L240" s="179"/>
    </row>
    <row r="241" spans="2:12" s="92" customFormat="1" ht="15">
      <c r="B241" s="179"/>
      <c r="C241" s="179"/>
      <c r="D241" s="179"/>
      <c r="E241" s="179"/>
      <c r="F241" s="179"/>
      <c r="G241" s="180"/>
      <c r="H241" s="179"/>
      <c r="I241" s="179"/>
      <c r="J241" s="179"/>
      <c r="K241" s="181"/>
      <c r="L241" s="179"/>
    </row>
    <row r="242" spans="2:12" s="92" customFormat="1" ht="15">
      <c r="B242" s="179"/>
      <c r="C242" s="179"/>
      <c r="D242" s="179"/>
      <c r="E242" s="179"/>
      <c r="F242" s="179"/>
      <c r="G242" s="180"/>
      <c r="H242" s="179"/>
      <c r="I242" s="179"/>
      <c r="J242" s="179"/>
      <c r="K242" s="181"/>
      <c r="L242" s="179"/>
    </row>
    <row r="243" spans="2:12" s="92" customFormat="1" ht="15">
      <c r="B243" s="179"/>
      <c r="C243" s="179"/>
      <c r="D243" s="179"/>
      <c r="E243" s="179"/>
      <c r="F243" s="179"/>
      <c r="G243" s="180"/>
      <c r="H243" s="179"/>
      <c r="I243" s="179"/>
      <c r="J243" s="179"/>
      <c r="K243" s="181"/>
      <c r="L243" s="179"/>
    </row>
    <row r="244" spans="2:12" s="92" customFormat="1" ht="15">
      <c r="B244" s="179"/>
      <c r="C244" s="179"/>
      <c r="D244" s="179"/>
      <c r="E244" s="179"/>
      <c r="F244" s="179"/>
      <c r="G244" s="180"/>
      <c r="H244" s="179"/>
      <c r="I244" s="179"/>
      <c r="J244" s="179"/>
      <c r="K244" s="181"/>
      <c r="L244" s="179"/>
    </row>
    <row r="245" spans="2:12" s="92" customFormat="1" ht="15">
      <c r="B245" s="179"/>
      <c r="C245" s="179"/>
      <c r="D245" s="179"/>
      <c r="E245" s="179"/>
      <c r="F245" s="179"/>
      <c r="G245" s="180"/>
      <c r="H245" s="179"/>
      <c r="I245" s="179"/>
      <c r="J245" s="179"/>
      <c r="K245" s="181"/>
      <c r="L245" s="179"/>
    </row>
    <row r="246" spans="2:12" s="92" customFormat="1" ht="15">
      <c r="B246" s="179"/>
      <c r="C246" s="179"/>
      <c r="D246" s="179"/>
      <c r="E246" s="179"/>
      <c r="F246" s="179"/>
      <c r="G246" s="180"/>
      <c r="H246" s="179"/>
      <c r="I246" s="179"/>
      <c r="J246" s="179"/>
      <c r="K246" s="181"/>
      <c r="L246" s="179"/>
    </row>
    <row r="247" spans="2:12" s="92" customFormat="1" ht="15">
      <c r="B247" s="179"/>
      <c r="C247" s="179"/>
      <c r="D247" s="179"/>
      <c r="E247" s="179"/>
      <c r="F247" s="179"/>
      <c r="G247" s="180"/>
      <c r="H247" s="179"/>
      <c r="I247" s="179"/>
      <c r="J247" s="179"/>
      <c r="K247" s="181"/>
      <c r="L247" s="179"/>
    </row>
    <row r="248" spans="2:12" s="92" customFormat="1" ht="15">
      <c r="B248" s="179"/>
      <c r="C248" s="179"/>
      <c r="D248" s="179"/>
      <c r="E248" s="179"/>
      <c r="F248" s="179"/>
      <c r="G248" s="180"/>
      <c r="H248" s="179"/>
      <c r="I248" s="179"/>
      <c r="J248" s="179"/>
      <c r="K248" s="181"/>
      <c r="L248" s="179"/>
    </row>
    <row r="249" spans="2:12" s="92" customFormat="1" ht="15">
      <c r="B249" s="179"/>
      <c r="C249" s="179"/>
      <c r="D249" s="179"/>
      <c r="E249" s="179"/>
      <c r="F249" s="179"/>
      <c r="G249" s="180"/>
      <c r="H249" s="179"/>
      <c r="I249" s="179"/>
      <c r="J249" s="179"/>
      <c r="K249" s="181"/>
      <c r="L249" s="179"/>
    </row>
    <row r="250" spans="2:12" s="92" customFormat="1" ht="15">
      <c r="B250" s="179"/>
      <c r="C250" s="179"/>
      <c r="D250" s="179"/>
      <c r="E250" s="179"/>
      <c r="F250" s="179"/>
      <c r="G250" s="180"/>
      <c r="H250" s="179"/>
      <c r="I250" s="179"/>
      <c r="J250" s="179"/>
      <c r="K250" s="181"/>
      <c r="L250" s="179"/>
    </row>
    <row r="251" spans="2:12" s="92" customFormat="1" ht="15">
      <c r="B251" s="179"/>
      <c r="C251" s="179"/>
      <c r="D251" s="179"/>
      <c r="E251" s="179"/>
      <c r="F251" s="179"/>
      <c r="G251" s="180"/>
      <c r="H251" s="179"/>
      <c r="I251" s="179"/>
      <c r="J251" s="179"/>
      <c r="K251" s="181"/>
      <c r="L251" s="179"/>
    </row>
    <row r="252" spans="2:12" s="92" customFormat="1" ht="15">
      <c r="B252" s="179"/>
      <c r="C252" s="179"/>
      <c r="D252" s="179"/>
      <c r="E252" s="179"/>
      <c r="F252" s="179"/>
      <c r="G252" s="180"/>
      <c r="H252" s="179"/>
      <c r="I252" s="179"/>
      <c r="J252" s="179"/>
      <c r="K252" s="181"/>
      <c r="L252" s="179"/>
    </row>
    <row r="253" spans="2:12" s="92" customFormat="1" ht="15">
      <c r="B253" s="179"/>
      <c r="C253" s="179"/>
      <c r="D253" s="179"/>
      <c r="E253" s="179"/>
      <c r="F253" s="179"/>
      <c r="G253" s="180"/>
      <c r="H253" s="179"/>
      <c r="I253" s="179"/>
      <c r="J253" s="179"/>
      <c r="K253" s="181"/>
      <c r="L253" s="179"/>
    </row>
    <row r="254" spans="2:12" s="92" customFormat="1" ht="15">
      <c r="B254" s="179"/>
      <c r="C254" s="179"/>
      <c r="D254" s="179"/>
      <c r="E254" s="179"/>
      <c r="F254" s="179"/>
      <c r="G254" s="180"/>
      <c r="H254" s="179"/>
      <c r="I254" s="179"/>
      <c r="J254" s="179"/>
      <c r="K254" s="181"/>
      <c r="L254" s="179"/>
    </row>
    <row r="255" spans="2:12" s="92" customFormat="1" ht="15">
      <c r="B255" s="179"/>
      <c r="C255" s="179"/>
      <c r="D255" s="179"/>
      <c r="E255" s="179"/>
      <c r="F255" s="179"/>
      <c r="G255" s="180"/>
      <c r="H255" s="179"/>
      <c r="I255" s="179"/>
      <c r="J255" s="179"/>
      <c r="K255" s="181"/>
      <c r="L255" s="179"/>
    </row>
    <row r="256" spans="2:12" s="92" customFormat="1" ht="15">
      <c r="B256" s="179"/>
      <c r="C256" s="179"/>
      <c r="D256" s="179"/>
      <c r="E256" s="179"/>
      <c r="F256" s="179"/>
      <c r="G256" s="180"/>
      <c r="H256" s="179"/>
      <c r="I256" s="179"/>
      <c r="J256" s="179"/>
      <c r="K256" s="181"/>
      <c r="L256" s="179"/>
    </row>
    <row r="257" spans="2:12" s="92" customFormat="1" ht="15">
      <c r="B257" s="179"/>
      <c r="C257" s="179"/>
      <c r="D257" s="179"/>
      <c r="E257" s="179"/>
      <c r="F257" s="179"/>
      <c r="G257" s="180"/>
      <c r="H257" s="179"/>
      <c r="I257" s="179"/>
      <c r="J257" s="179"/>
      <c r="K257" s="181"/>
      <c r="L257" s="179"/>
    </row>
    <row r="258" spans="2:12" s="92" customFormat="1" ht="15">
      <c r="B258" s="179"/>
      <c r="C258" s="179"/>
      <c r="D258" s="179"/>
      <c r="E258" s="179"/>
      <c r="F258" s="179"/>
      <c r="G258" s="180"/>
      <c r="H258" s="179"/>
      <c r="I258" s="179"/>
      <c r="J258" s="179"/>
      <c r="K258" s="181"/>
      <c r="L258" s="179"/>
    </row>
    <row r="259" spans="2:12" s="92" customFormat="1" ht="15">
      <c r="B259" s="179"/>
      <c r="C259" s="179"/>
      <c r="D259" s="179"/>
      <c r="E259" s="179"/>
      <c r="F259" s="179"/>
      <c r="G259" s="180"/>
      <c r="H259" s="179"/>
      <c r="I259" s="179"/>
      <c r="J259" s="179"/>
      <c r="K259" s="181"/>
      <c r="L259" s="179"/>
    </row>
    <row r="260" spans="2:12" s="92" customFormat="1" ht="15">
      <c r="B260" s="179"/>
      <c r="C260" s="179"/>
      <c r="D260" s="179"/>
      <c r="E260" s="179"/>
      <c r="F260" s="179"/>
      <c r="G260" s="180"/>
      <c r="H260" s="179"/>
      <c r="I260" s="179"/>
      <c r="J260" s="179"/>
      <c r="K260" s="181"/>
      <c r="L260" s="179"/>
    </row>
    <row r="261" spans="2:12" s="92" customFormat="1" ht="15">
      <c r="B261" s="179"/>
      <c r="C261" s="179"/>
      <c r="D261" s="179"/>
      <c r="E261" s="179"/>
      <c r="F261" s="179"/>
      <c r="G261" s="180"/>
      <c r="H261" s="179"/>
      <c r="I261" s="179"/>
      <c r="J261" s="179"/>
      <c r="K261" s="181"/>
      <c r="L261" s="179"/>
    </row>
    <row r="262" spans="2:12" s="92" customFormat="1" ht="15">
      <c r="B262" s="179"/>
      <c r="C262" s="179"/>
      <c r="D262" s="179"/>
      <c r="E262" s="179"/>
      <c r="F262" s="179"/>
      <c r="G262" s="180"/>
      <c r="H262" s="179"/>
      <c r="I262" s="179"/>
      <c r="J262" s="179"/>
      <c r="K262" s="181"/>
      <c r="L262" s="179"/>
    </row>
    <row r="263" spans="2:12" s="92" customFormat="1" ht="15">
      <c r="B263" s="179"/>
      <c r="C263" s="179"/>
      <c r="D263" s="179"/>
      <c r="E263" s="179"/>
      <c r="F263" s="179"/>
      <c r="G263" s="180"/>
      <c r="H263" s="179"/>
      <c r="I263" s="179"/>
      <c r="J263" s="179"/>
      <c r="K263" s="181"/>
      <c r="L263" s="179"/>
    </row>
    <row r="264" spans="2:12" s="92" customFormat="1" ht="15">
      <c r="B264" s="179"/>
      <c r="C264" s="179"/>
      <c r="D264" s="179"/>
      <c r="E264" s="179"/>
      <c r="F264" s="179"/>
      <c r="G264" s="180"/>
      <c r="H264" s="179"/>
      <c r="I264" s="179"/>
      <c r="J264" s="179"/>
      <c r="K264" s="181"/>
      <c r="L264" s="179"/>
    </row>
    <row r="265" spans="2:12" s="92" customFormat="1" ht="15">
      <c r="B265" s="179"/>
      <c r="C265" s="179"/>
      <c r="D265" s="179"/>
      <c r="E265" s="179"/>
      <c r="F265" s="179"/>
      <c r="G265" s="180"/>
      <c r="H265" s="179"/>
      <c r="I265" s="179"/>
      <c r="J265" s="179"/>
      <c r="K265" s="181"/>
      <c r="L265" s="179"/>
    </row>
    <row r="266" spans="2:12" s="92" customFormat="1" ht="15">
      <c r="B266" s="179"/>
      <c r="C266" s="179"/>
      <c r="D266" s="179"/>
      <c r="E266" s="179"/>
      <c r="F266" s="179"/>
      <c r="G266" s="180"/>
      <c r="H266" s="179"/>
      <c r="I266" s="179"/>
      <c r="J266" s="179"/>
      <c r="K266" s="181"/>
      <c r="L266" s="179"/>
    </row>
    <row r="267" spans="2:12" s="92" customFormat="1" ht="15">
      <c r="B267" s="179"/>
      <c r="C267" s="179"/>
      <c r="D267" s="179"/>
      <c r="E267" s="179"/>
      <c r="F267" s="179"/>
      <c r="G267" s="180"/>
      <c r="H267" s="179"/>
      <c r="I267" s="179"/>
      <c r="J267" s="179"/>
      <c r="K267" s="181"/>
      <c r="L267" s="179"/>
    </row>
    <row r="268" spans="2:12" s="92" customFormat="1" ht="15">
      <c r="B268" s="179"/>
      <c r="C268" s="179"/>
      <c r="D268" s="179"/>
      <c r="E268" s="179"/>
      <c r="F268" s="179"/>
      <c r="G268" s="180"/>
      <c r="H268" s="179"/>
      <c r="I268" s="179"/>
      <c r="J268" s="179"/>
      <c r="K268" s="181"/>
      <c r="L268" s="179"/>
    </row>
    <row r="269" spans="2:12" s="92" customFormat="1" ht="15">
      <c r="B269" s="179"/>
      <c r="C269" s="179"/>
      <c r="D269" s="179"/>
      <c r="E269" s="179"/>
      <c r="F269" s="179"/>
      <c r="G269" s="180"/>
      <c r="H269" s="179"/>
      <c r="I269" s="179"/>
      <c r="J269" s="179"/>
      <c r="K269" s="181"/>
      <c r="L269" s="179"/>
    </row>
    <row r="270" spans="2:12" s="92" customFormat="1" ht="15">
      <c r="B270" s="179"/>
      <c r="C270" s="179"/>
      <c r="D270" s="179"/>
      <c r="E270" s="179"/>
      <c r="F270" s="179"/>
      <c r="G270" s="180"/>
      <c r="H270" s="179"/>
      <c r="I270" s="179"/>
      <c r="J270" s="179"/>
      <c r="K270" s="181"/>
      <c r="L270" s="179"/>
    </row>
    <row r="271" spans="2:12" s="92" customFormat="1" ht="15">
      <c r="B271" s="179"/>
      <c r="C271" s="179"/>
      <c r="D271" s="179"/>
      <c r="E271" s="179"/>
      <c r="F271" s="179"/>
      <c r="G271" s="180"/>
      <c r="H271" s="179"/>
      <c r="I271" s="179"/>
      <c r="J271" s="179"/>
      <c r="K271" s="181"/>
      <c r="L271" s="179"/>
    </row>
    <row r="272" spans="2:12" s="92" customFormat="1" ht="15">
      <c r="B272" s="179"/>
      <c r="C272" s="179"/>
      <c r="D272" s="179"/>
      <c r="E272" s="179"/>
      <c r="F272" s="179"/>
      <c r="G272" s="180"/>
      <c r="H272" s="179"/>
      <c r="I272" s="179"/>
      <c r="J272" s="179"/>
      <c r="K272" s="181"/>
      <c r="L272" s="179"/>
    </row>
    <row r="273" spans="2:12" s="92" customFormat="1" ht="15">
      <c r="B273" s="179"/>
      <c r="C273" s="179"/>
      <c r="D273" s="179"/>
      <c r="E273" s="179"/>
      <c r="F273" s="179"/>
      <c r="G273" s="180"/>
      <c r="H273" s="179"/>
      <c r="I273" s="179"/>
      <c r="J273" s="179"/>
      <c r="K273" s="181"/>
      <c r="L273" s="179"/>
    </row>
    <row r="274" spans="2:12" s="92" customFormat="1" ht="15">
      <c r="B274" s="179"/>
      <c r="C274" s="179"/>
      <c r="D274" s="179"/>
      <c r="E274" s="179"/>
      <c r="F274" s="179"/>
      <c r="G274" s="180"/>
      <c r="H274" s="179"/>
      <c r="I274" s="179"/>
      <c r="J274" s="179"/>
      <c r="K274" s="181"/>
      <c r="L274" s="179"/>
    </row>
    <row r="275" spans="2:12" s="92" customFormat="1" ht="15">
      <c r="B275" s="179"/>
      <c r="C275" s="179"/>
      <c r="D275" s="179"/>
      <c r="E275" s="179"/>
      <c r="F275" s="179"/>
      <c r="G275" s="180"/>
      <c r="H275" s="179"/>
      <c r="I275" s="179"/>
      <c r="J275" s="179"/>
      <c r="K275" s="181"/>
      <c r="L275" s="179"/>
    </row>
    <row r="276" spans="2:12" s="92" customFormat="1" ht="15">
      <c r="B276" s="179"/>
      <c r="C276" s="179"/>
      <c r="D276" s="179"/>
      <c r="E276" s="179"/>
      <c r="F276" s="179"/>
      <c r="G276" s="180"/>
      <c r="H276" s="179"/>
      <c r="I276" s="179"/>
      <c r="J276" s="179"/>
      <c r="K276" s="181"/>
      <c r="L276" s="179"/>
    </row>
    <row r="277" spans="2:12" s="92" customFormat="1" ht="15">
      <c r="B277" s="179"/>
      <c r="C277" s="179"/>
      <c r="D277" s="179"/>
      <c r="E277" s="179"/>
      <c r="F277" s="179"/>
      <c r="G277" s="180"/>
      <c r="H277" s="179"/>
      <c r="I277" s="179"/>
      <c r="J277" s="179"/>
      <c r="K277" s="181"/>
      <c r="L277" s="179"/>
    </row>
    <row r="278" spans="2:12" s="92" customFormat="1" ht="15">
      <c r="B278" s="179"/>
      <c r="C278" s="179"/>
      <c r="D278" s="179"/>
      <c r="E278" s="179"/>
      <c r="F278" s="179"/>
      <c r="G278" s="180"/>
      <c r="H278" s="179"/>
      <c r="I278" s="179"/>
      <c r="J278" s="179"/>
      <c r="K278" s="181"/>
      <c r="L278" s="179"/>
    </row>
    <row r="279" spans="2:12" s="92" customFormat="1" ht="15">
      <c r="B279" s="179"/>
      <c r="C279" s="179"/>
      <c r="D279" s="179"/>
      <c r="E279" s="179"/>
      <c r="F279" s="179"/>
      <c r="G279" s="180"/>
      <c r="H279" s="179"/>
      <c r="I279" s="179"/>
      <c r="J279" s="179"/>
      <c r="K279" s="181"/>
      <c r="L279" s="179"/>
    </row>
    <row r="280" spans="2:12" s="92" customFormat="1" ht="15">
      <c r="B280" s="179"/>
      <c r="C280" s="179"/>
      <c r="D280" s="179"/>
      <c r="E280" s="179"/>
      <c r="F280" s="179"/>
      <c r="G280" s="180"/>
      <c r="H280" s="179"/>
      <c r="I280" s="179"/>
      <c r="J280" s="179"/>
      <c r="K280" s="181"/>
      <c r="L280" s="179"/>
    </row>
    <row r="281" spans="2:12" s="92" customFormat="1" ht="15">
      <c r="B281" s="179"/>
      <c r="C281" s="179"/>
      <c r="D281" s="179"/>
      <c r="E281" s="179"/>
      <c r="F281" s="179"/>
      <c r="G281" s="180"/>
      <c r="H281" s="179"/>
      <c r="I281" s="179"/>
      <c r="J281" s="179"/>
      <c r="K281" s="181"/>
      <c r="L281" s="179"/>
    </row>
    <row r="282" spans="2:12" s="92" customFormat="1" ht="15">
      <c r="B282" s="179"/>
      <c r="C282" s="179"/>
      <c r="D282" s="179"/>
      <c r="E282" s="179"/>
      <c r="F282" s="179"/>
      <c r="G282" s="180"/>
      <c r="H282" s="179"/>
      <c r="I282" s="179"/>
      <c r="J282" s="179"/>
      <c r="K282" s="181"/>
      <c r="L282" s="179"/>
    </row>
    <row r="283" spans="2:12" s="92" customFormat="1" ht="15">
      <c r="B283" s="179"/>
      <c r="C283" s="179"/>
      <c r="D283" s="179"/>
      <c r="E283" s="179"/>
      <c r="F283" s="179"/>
      <c r="G283" s="180"/>
      <c r="H283" s="179"/>
      <c r="I283" s="179"/>
      <c r="J283" s="179"/>
      <c r="K283" s="181"/>
      <c r="L283" s="179"/>
    </row>
    <row r="284" spans="2:12" s="92" customFormat="1" ht="15">
      <c r="B284" s="179"/>
      <c r="C284" s="179"/>
      <c r="D284" s="179"/>
      <c r="E284" s="179"/>
      <c r="F284" s="179"/>
      <c r="G284" s="180"/>
      <c r="H284" s="179"/>
      <c r="I284" s="179"/>
      <c r="J284" s="179"/>
      <c r="K284" s="181"/>
      <c r="L284" s="179"/>
    </row>
    <row r="285" spans="2:12" s="92" customFormat="1" ht="15">
      <c r="B285" s="179"/>
      <c r="C285" s="179"/>
      <c r="D285" s="179"/>
      <c r="E285" s="179"/>
      <c r="F285" s="179"/>
      <c r="G285" s="180"/>
      <c r="H285" s="179"/>
      <c r="I285" s="179"/>
      <c r="J285" s="179"/>
      <c r="K285" s="181"/>
      <c r="L285" s="179"/>
    </row>
    <row r="286" spans="2:12" s="92" customFormat="1" ht="15">
      <c r="B286" s="179"/>
      <c r="C286" s="179"/>
      <c r="D286" s="179"/>
      <c r="E286" s="179"/>
      <c r="F286" s="179"/>
      <c r="G286" s="180"/>
      <c r="H286" s="179"/>
      <c r="I286" s="179"/>
      <c r="J286" s="179"/>
      <c r="K286" s="181"/>
      <c r="L286" s="179"/>
    </row>
    <row r="287" spans="2:12" s="92" customFormat="1" ht="15">
      <c r="B287" s="179"/>
      <c r="C287" s="179"/>
      <c r="D287" s="179"/>
      <c r="E287" s="179"/>
      <c r="F287" s="179"/>
      <c r="G287" s="180"/>
      <c r="H287" s="179"/>
      <c r="I287" s="179"/>
      <c r="J287" s="179"/>
      <c r="K287" s="181"/>
      <c r="L287" s="179"/>
    </row>
    <row r="288" spans="2:12" s="92" customFormat="1" ht="15">
      <c r="B288" s="179"/>
      <c r="C288" s="179"/>
      <c r="D288" s="179"/>
      <c r="E288" s="179"/>
      <c r="F288" s="179"/>
      <c r="G288" s="180"/>
      <c r="H288" s="179"/>
      <c r="I288" s="179"/>
      <c r="J288" s="179"/>
      <c r="K288" s="181"/>
      <c r="L288" s="179"/>
    </row>
    <row r="289" spans="2:12" s="92" customFormat="1" ht="15">
      <c r="B289" s="179"/>
      <c r="C289" s="179"/>
      <c r="D289" s="179"/>
      <c r="E289" s="179"/>
      <c r="F289" s="179"/>
      <c r="G289" s="180"/>
      <c r="H289" s="179"/>
      <c r="I289" s="179"/>
      <c r="J289" s="179"/>
      <c r="K289" s="181"/>
      <c r="L289" s="179"/>
    </row>
    <row r="290" spans="2:12" s="92" customFormat="1" ht="15">
      <c r="B290" s="179"/>
      <c r="C290" s="179"/>
      <c r="D290" s="179"/>
      <c r="E290" s="179"/>
      <c r="F290" s="179"/>
      <c r="G290" s="180"/>
      <c r="H290" s="179"/>
      <c r="I290" s="179"/>
      <c r="J290" s="179"/>
      <c r="K290" s="181"/>
      <c r="L290" s="179"/>
    </row>
    <row r="291" spans="2:12" s="92" customFormat="1" ht="15">
      <c r="B291" s="179"/>
      <c r="C291" s="179"/>
      <c r="D291" s="179"/>
      <c r="E291" s="179"/>
      <c r="F291" s="179"/>
      <c r="G291" s="180"/>
      <c r="H291" s="179"/>
      <c r="I291" s="179"/>
      <c r="J291" s="179"/>
      <c r="K291" s="181"/>
      <c r="L291" s="179"/>
    </row>
    <row r="292" spans="2:12" s="92" customFormat="1" ht="15">
      <c r="B292" s="179"/>
      <c r="C292" s="179"/>
      <c r="D292" s="179"/>
      <c r="E292" s="179"/>
      <c r="F292" s="179"/>
      <c r="G292" s="180"/>
      <c r="H292" s="179"/>
      <c r="I292" s="179"/>
      <c r="J292" s="179"/>
      <c r="K292" s="181"/>
      <c r="L292" s="179"/>
    </row>
    <row r="293" spans="2:12" s="92" customFormat="1" ht="15">
      <c r="B293" s="179"/>
      <c r="C293" s="179"/>
      <c r="D293" s="179"/>
      <c r="E293" s="179"/>
      <c r="F293" s="179"/>
      <c r="G293" s="180"/>
      <c r="H293" s="179"/>
      <c r="I293" s="179"/>
      <c r="J293" s="179"/>
      <c r="K293" s="181"/>
      <c r="L293" s="179"/>
    </row>
    <row r="294" spans="2:12" s="92" customFormat="1" ht="15">
      <c r="B294" s="179"/>
      <c r="C294" s="179"/>
      <c r="D294" s="179"/>
      <c r="E294" s="179"/>
      <c r="F294" s="179"/>
      <c r="G294" s="180"/>
      <c r="H294" s="179"/>
      <c r="I294" s="179"/>
      <c r="J294" s="179"/>
      <c r="K294" s="181"/>
      <c r="L294" s="179"/>
    </row>
    <row r="295" spans="2:12" s="92" customFormat="1" ht="15">
      <c r="B295" s="179"/>
      <c r="C295" s="179"/>
      <c r="D295" s="179"/>
      <c r="E295" s="179"/>
      <c r="F295" s="179"/>
      <c r="G295" s="180"/>
      <c r="H295" s="179"/>
      <c r="I295" s="179"/>
      <c r="J295" s="179"/>
      <c r="K295" s="181"/>
      <c r="L295" s="179"/>
    </row>
    <row r="296" spans="2:12" s="92" customFormat="1" ht="15">
      <c r="B296" s="179"/>
      <c r="C296" s="179"/>
      <c r="D296" s="179"/>
      <c r="E296" s="179"/>
      <c r="F296" s="179"/>
      <c r="G296" s="180"/>
      <c r="H296" s="179"/>
      <c r="I296" s="179"/>
      <c r="J296" s="179"/>
      <c r="K296" s="181"/>
      <c r="L296" s="179"/>
    </row>
    <row r="297" spans="2:12" s="92" customFormat="1" ht="15">
      <c r="B297" s="179"/>
      <c r="C297" s="179"/>
      <c r="D297" s="179"/>
      <c r="E297" s="179"/>
      <c r="F297" s="179"/>
      <c r="G297" s="180"/>
      <c r="H297" s="179"/>
      <c r="I297" s="179"/>
      <c r="J297" s="179"/>
      <c r="K297" s="181"/>
      <c r="L297" s="179"/>
    </row>
    <row r="298" spans="2:12" s="92" customFormat="1" ht="15">
      <c r="B298" s="179"/>
      <c r="C298" s="179"/>
      <c r="D298" s="179"/>
      <c r="E298" s="179"/>
      <c r="F298" s="179"/>
      <c r="G298" s="180"/>
      <c r="H298" s="179"/>
      <c r="I298" s="179"/>
      <c r="J298" s="179"/>
      <c r="K298" s="181"/>
      <c r="L298" s="179"/>
    </row>
    <row r="299" spans="2:12" s="92" customFormat="1" ht="15">
      <c r="B299" s="179"/>
      <c r="C299" s="179"/>
      <c r="D299" s="179"/>
      <c r="E299" s="179"/>
      <c r="F299" s="179"/>
      <c r="G299" s="180"/>
      <c r="H299" s="179"/>
      <c r="I299" s="179"/>
      <c r="J299" s="179"/>
      <c r="K299" s="181"/>
      <c r="L299" s="179"/>
    </row>
    <row r="300" spans="2:12" s="92" customFormat="1" ht="15">
      <c r="B300" s="179"/>
      <c r="C300" s="179"/>
      <c r="D300" s="179"/>
      <c r="E300" s="179"/>
      <c r="F300" s="179"/>
      <c r="G300" s="180"/>
      <c r="H300" s="179"/>
      <c r="I300" s="179"/>
      <c r="J300" s="179"/>
      <c r="K300" s="181"/>
      <c r="L300" s="179"/>
    </row>
    <row r="301" spans="2:12" s="92" customFormat="1" ht="15">
      <c r="B301" s="179"/>
      <c r="C301" s="179"/>
      <c r="D301" s="179"/>
      <c r="E301" s="179"/>
      <c r="F301" s="179"/>
      <c r="G301" s="180"/>
      <c r="H301" s="179"/>
      <c r="I301" s="179"/>
      <c r="J301" s="179"/>
      <c r="K301" s="181"/>
      <c r="L301" s="179"/>
    </row>
    <row r="302" spans="2:12" s="92" customFormat="1" ht="15">
      <c r="B302" s="179"/>
      <c r="C302" s="179"/>
      <c r="D302" s="179"/>
      <c r="E302" s="179"/>
      <c r="F302" s="179"/>
      <c r="G302" s="180"/>
      <c r="H302" s="179"/>
      <c r="I302" s="179"/>
      <c r="J302" s="179"/>
      <c r="K302" s="181"/>
      <c r="L302" s="179"/>
    </row>
    <row r="303" spans="2:12" s="92" customFormat="1" ht="15">
      <c r="B303" s="179"/>
      <c r="C303" s="179"/>
      <c r="D303" s="179"/>
      <c r="E303" s="179"/>
      <c r="F303" s="179"/>
      <c r="G303" s="180"/>
      <c r="H303" s="179"/>
      <c r="I303" s="179"/>
      <c r="J303" s="179"/>
      <c r="K303" s="181"/>
      <c r="L303" s="179"/>
    </row>
    <row r="304" spans="2:12" s="92" customFormat="1" ht="15">
      <c r="B304" s="179"/>
      <c r="C304" s="179"/>
      <c r="D304" s="179"/>
      <c r="E304" s="179"/>
      <c r="F304" s="179"/>
      <c r="G304" s="180"/>
      <c r="H304" s="179"/>
      <c r="I304" s="179"/>
      <c r="J304" s="179"/>
      <c r="K304" s="181"/>
      <c r="L304" s="179"/>
    </row>
    <row r="305" spans="2:12" s="92" customFormat="1" ht="15">
      <c r="B305" s="179"/>
      <c r="C305" s="179"/>
      <c r="D305" s="179"/>
      <c r="E305" s="179"/>
      <c r="F305" s="179"/>
      <c r="G305" s="180"/>
      <c r="H305" s="179"/>
      <c r="I305" s="179"/>
      <c r="J305" s="179"/>
      <c r="K305" s="181"/>
      <c r="L305" s="179"/>
    </row>
    <row r="306" spans="2:12" s="92" customFormat="1" ht="15">
      <c r="B306" s="179"/>
      <c r="C306" s="179"/>
      <c r="D306" s="179"/>
      <c r="E306" s="179"/>
      <c r="F306" s="179"/>
      <c r="G306" s="180"/>
      <c r="H306" s="179"/>
      <c r="I306" s="179"/>
      <c r="J306" s="179"/>
      <c r="K306" s="181"/>
      <c r="L306" s="179"/>
    </row>
    <row r="307" spans="2:12" s="92" customFormat="1" ht="15">
      <c r="B307" s="179"/>
      <c r="C307" s="179"/>
      <c r="D307" s="179"/>
      <c r="E307" s="179"/>
      <c r="F307" s="179"/>
      <c r="G307" s="180"/>
      <c r="H307" s="179"/>
      <c r="I307" s="179"/>
      <c r="J307" s="179"/>
      <c r="K307" s="181"/>
      <c r="L307" s="179"/>
    </row>
    <row r="308" spans="2:12" s="92" customFormat="1" ht="15">
      <c r="B308" s="179"/>
      <c r="C308" s="179"/>
      <c r="D308" s="179"/>
      <c r="E308" s="179"/>
      <c r="F308" s="179"/>
      <c r="G308" s="180"/>
      <c r="H308" s="179"/>
      <c r="I308" s="179"/>
      <c r="J308" s="179"/>
      <c r="K308" s="181"/>
      <c r="L308" s="179"/>
    </row>
    <row r="309" spans="2:12" s="92" customFormat="1" ht="15">
      <c r="B309" s="179"/>
      <c r="C309" s="179"/>
      <c r="D309" s="179"/>
      <c r="E309" s="179"/>
      <c r="F309" s="179"/>
      <c r="G309" s="180"/>
      <c r="H309" s="179"/>
      <c r="I309" s="179"/>
      <c r="J309" s="179"/>
      <c r="K309" s="181"/>
      <c r="L309" s="179"/>
    </row>
    <row r="310" spans="2:12" s="92" customFormat="1" ht="15">
      <c r="B310" s="179"/>
      <c r="C310" s="179"/>
      <c r="D310" s="179"/>
      <c r="E310" s="179"/>
      <c r="F310" s="179"/>
      <c r="G310" s="180"/>
      <c r="H310" s="179"/>
      <c r="I310" s="179"/>
      <c r="J310" s="179"/>
      <c r="K310" s="181"/>
      <c r="L310" s="179"/>
    </row>
    <row r="311" spans="2:12" s="92" customFormat="1" ht="15">
      <c r="B311" s="179"/>
      <c r="C311" s="179"/>
      <c r="D311" s="179"/>
      <c r="E311" s="179"/>
      <c r="F311" s="179"/>
      <c r="G311" s="180"/>
      <c r="H311" s="179"/>
      <c r="I311" s="179"/>
      <c r="J311" s="179"/>
      <c r="K311" s="181"/>
      <c r="L311" s="179"/>
    </row>
    <row r="312" spans="2:12" s="92" customFormat="1" ht="15">
      <c r="B312" s="179"/>
      <c r="C312" s="179"/>
      <c r="D312" s="179"/>
      <c r="E312" s="179"/>
      <c r="F312" s="179"/>
      <c r="G312" s="180"/>
      <c r="H312" s="179"/>
      <c r="I312" s="179"/>
      <c r="J312" s="179"/>
      <c r="K312" s="181"/>
      <c r="L312" s="179"/>
    </row>
    <row r="313" spans="2:12" s="92" customFormat="1" ht="15">
      <c r="B313" s="179"/>
      <c r="C313" s="179"/>
      <c r="D313" s="179"/>
      <c r="E313" s="179"/>
      <c r="F313" s="179"/>
      <c r="G313" s="180"/>
      <c r="H313" s="179"/>
      <c r="I313" s="179"/>
      <c r="J313" s="179"/>
      <c r="K313" s="181"/>
      <c r="L313" s="179"/>
    </row>
    <row r="314" spans="2:12" s="92" customFormat="1" ht="15">
      <c r="B314" s="179"/>
      <c r="C314" s="179"/>
      <c r="D314" s="179"/>
      <c r="E314" s="179"/>
      <c r="F314" s="179"/>
      <c r="G314" s="180"/>
      <c r="H314" s="179"/>
      <c r="I314" s="179"/>
      <c r="J314" s="179"/>
      <c r="K314" s="181"/>
      <c r="L314" s="179"/>
    </row>
    <row r="315" spans="2:12" s="92" customFormat="1" ht="15">
      <c r="B315" s="179"/>
      <c r="C315" s="179"/>
      <c r="D315" s="179"/>
      <c r="E315" s="179"/>
      <c r="F315" s="179"/>
      <c r="G315" s="180"/>
      <c r="H315" s="179"/>
      <c r="I315" s="179"/>
      <c r="J315" s="179"/>
      <c r="K315" s="181"/>
      <c r="L315" s="179"/>
    </row>
    <row r="316" spans="2:12" s="92" customFormat="1" ht="15">
      <c r="B316" s="179"/>
      <c r="C316" s="179"/>
      <c r="D316" s="179"/>
      <c r="E316" s="179"/>
      <c r="F316" s="179"/>
      <c r="G316" s="180"/>
      <c r="H316" s="179"/>
      <c r="I316" s="179"/>
      <c r="J316" s="179"/>
      <c r="K316" s="181"/>
      <c r="L316" s="179"/>
    </row>
    <row r="317" spans="2:12" ht="15">
      <c r="B317" s="179"/>
      <c r="C317" s="179"/>
      <c r="D317" s="179"/>
      <c r="E317" s="179"/>
      <c r="F317" s="179"/>
      <c r="G317" s="180"/>
      <c r="H317" s="179"/>
      <c r="I317" s="179"/>
      <c r="J317" s="179"/>
      <c r="K317" s="181"/>
      <c r="L317" s="179"/>
    </row>
    <row r="318" spans="2:12" ht="15">
      <c r="B318" s="179"/>
      <c r="C318" s="179"/>
      <c r="D318" s="179"/>
      <c r="E318" s="179"/>
      <c r="F318" s="179"/>
      <c r="G318" s="180"/>
      <c r="H318" s="179"/>
      <c r="I318" s="179"/>
      <c r="J318" s="179"/>
      <c r="K318" s="181"/>
      <c r="L318" s="179"/>
    </row>
    <row r="319" spans="2:12" ht="15">
      <c r="B319" s="179"/>
      <c r="C319" s="179"/>
      <c r="D319" s="179"/>
      <c r="E319" s="179"/>
      <c r="F319" s="179"/>
      <c r="G319" s="180"/>
      <c r="H319" s="179"/>
      <c r="I319" s="179"/>
      <c r="J319" s="179"/>
      <c r="K319" s="181"/>
      <c r="L319" s="179"/>
    </row>
    <row r="320" spans="2:12" ht="15">
      <c r="B320" s="179"/>
      <c r="C320" s="179"/>
      <c r="D320" s="179"/>
      <c r="E320" s="179"/>
      <c r="F320" s="179"/>
      <c r="G320" s="180"/>
      <c r="H320" s="179"/>
      <c r="I320" s="179"/>
      <c r="J320" s="179"/>
      <c r="K320" s="181"/>
      <c r="L320" s="179"/>
    </row>
    <row r="321" spans="2:12" ht="15">
      <c r="B321" s="179"/>
      <c r="C321" s="179"/>
      <c r="D321" s="179"/>
      <c r="E321" s="179"/>
      <c r="F321" s="179"/>
      <c r="G321" s="180"/>
      <c r="H321" s="179"/>
      <c r="I321" s="179"/>
      <c r="J321" s="179"/>
      <c r="K321" s="181"/>
      <c r="L321" s="179"/>
    </row>
    <row r="322" spans="2:12" ht="15">
      <c r="B322" s="179"/>
      <c r="C322" s="179"/>
      <c r="D322" s="179"/>
      <c r="E322" s="179"/>
      <c r="F322" s="179"/>
      <c r="G322" s="180"/>
      <c r="H322" s="179"/>
      <c r="I322" s="179"/>
      <c r="J322" s="179"/>
      <c r="K322" s="181"/>
      <c r="L322" s="179"/>
    </row>
    <row r="323" spans="2:12" ht="15">
      <c r="B323" s="179"/>
      <c r="C323" s="179"/>
      <c r="D323" s="179"/>
      <c r="E323" s="179"/>
      <c r="F323" s="179"/>
      <c r="G323" s="180"/>
      <c r="H323" s="179"/>
      <c r="I323" s="179"/>
      <c r="J323" s="179"/>
      <c r="K323" s="181"/>
      <c r="L323" s="179"/>
    </row>
    <row r="324" spans="2:12" ht="15">
      <c r="B324" s="179"/>
      <c r="C324" s="179"/>
      <c r="D324" s="179"/>
      <c r="E324" s="179"/>
      <c r="F324" s="179"/>
      <c r="G324" s="180"/>
      <c r="H324" s="179"/>
      <c r="I324" s="179"/>
      <c r="J324" s="179"/>
      <c r="K324" s="181"/>
      <c r="L324" s="179"/>
    </row>
    <row r="325" spans="2:12" ht="15">
      <c r="B325" s="179"/>
      <c r="C325" s="179"/>
      <c r="D325" s="179"/>
      <c r="E325" s="179"/>
      <c r="F325" s="179"/>
      <c r="G325" s="180"/>
      <c r="H325" s="179"/>
      <c r="I325" s="179"/>
      <c r="J325" s="179"/>
      <c r="K325" s="181"/>
      <c r="L325" s="179"/>
    </row>
    <row r="326" spans="2:12" ht="15">
      <c r="B326" s="179"/>
      <c r="C326" s="179"/>
      <c r="D326" s="179"/>
      <c r="E326" s="179"/>
      <c r="F326" s="179"/>
      <c r="G326" s="180"/>
      <c r="H326" s="179"/>
      <c r="I326" s="179"/>
      <c r="J326" s="179"/>
      <c r="K326" s="181"/>
      <c r="L326" s="179"/>
    </row>
    <row r="327" spans="2:12" ht="15">
      <c r="B327" s="179"/>
      <c r="C327" s="179"/>
      <c r="D327" s="179"/>
      <c r="E327" s="179"/>
      <c r="F327" s="179"/>
      <c r="G327" s="180"/>
      <c r="H327" s="179"/>
      <c r="I327" s="179"/>
      <c r="J327" s="179"/>
      <c r="K327" s="181"/>
      <c r="L327" s="179"/>
    </row>
    <row r="328" spans="2:12" ht="15">
      <c r="B328" s="179"/>
      <c r="C328" s="179"/>
      <c r="D328" s="179"/>
      <c r="E328" s="179"/>
      <c r="F328" s="179"/>
      <c r="G328" s="180"/>
      <c r="H328" s="179"/>
      <c r="I328" s="179"/>
      <c r="J328" s="179"/>
      <c r="K328" s="181"/>
      <c r="L328" s="179"/>
    </row>
    <row r="329" spans="2:12" ht="15">
      <c r="B329" s="179"/>
      <c r="C329" s="179"/>
      <c r="D329" s="179"/>
      <c r="E329" s="179"/>
      <c r="F329" s="179"/>
      <c r="G329" s="180"/>
      <c r="H329" s="179"/>
      <c r="I329" s="179"/>
      <c r="J329" s="179"/>
      <c r="K329" s="181"/>
      <c r="L329" s="179"/>
    </row>
    <row r="330" spans="2:12" ht="15">
      <c r="B330" s="179"/>
      <c r="C330" s="179"/>
      <c r="D330" s="179"/>
      <c r="E330" s="179"/>
      <c r="F330" s="179"/>
      <c r="G330" s="180"/>
      <c r="H330" s="179"/>
      <c r="I330" s="179"/>
      <c r="J330" s="179"/>
      <c r="K330" s="181"/>
      <c r="L330" s="179"/>
    </row>
    <row r="331" spans="2:12" ht="15">
      <c r="B331" s="179"/>
      <c r="C331" s="179"/>
      <c r="D331" s="179"/>
      <c r="E331" s="179"/>
      <c r="F331" s="179"/>
      <c r="G331" s="180"/>
      <c r="H331" s="179"/>
      <c r="I331" s="179"/>
      <c r="J331" s="179"/>
      <c r="K331" s="181"/>
      <c r="L331" s="179"/>
    </row>
  </sheetData>
  <sheetProtection/>
  <mergeCells count="118">
    <mergeCell ref="B34:D34"/>
    <mergeCell ref="B32:D32"/>
    <mergeCell ref="B36:D36"/>
    <mergeCell ref="E33:F33"/>
    <mergeCell ref="E35:F35"/>
    <mergeCell ref="E34:F34"/>
    <mergeCell ref="E26:F26"/>
    <mergeCell ref="E27:F27"/>
    <mergeCell ref="E29:F29"/>
    <mergeCell ref="E28:F28"/>
    <mergeCell ref="B28:D28"/>
    <mergeCell ref="E32:F32"/>
    <mergeCell ref="E58:F58"/>
    <mergeCell ref="E59:F59"/>
    <mergeCell ref="E60:F60"/>
    <mergeCell ref="E36:F36"/>
    <mergeCell ref="E23:F23"/>
    <mergeCell ref="E24:F24"/>
    <mergeCell ref="E38:F38"/>
    <mergeCell ref="E39:F39"/>
    <mergeCell ref="B30:I30"/>
    <mergeCell ref="B24:D24"/>
    <mergeCell ref="B38:D38"/>
    <mergeCell ref="B35:D35"/>
    <mergeCell ref="E43:F43"/>
    <mergeCell ref="E22:F22"/>
    <mergeCell ref="E51:F51"/>
    <mergeCell ref="E52:F52"/>
    <mergeCell ref="B40:D40"/>
    <mergeCell ref="B23:D23"/>
    <mergeCell ref="B29:D29"/>
    <mergeCell ref="E25:F25"/>
    <mergeCell ref="D6:J6"/>
    <mergeCell ref="E20:F20"/>
    <mergeCell ref="B14:D14"/>
    <mergeCell ref="E21:F21"/>
    <mergeCell ref="E54:F54"/>
    <mergeCell ref="E48:F48"/>
    <mergeCell ref="B33:D33"/>
    <mergeCell ref="E37:F37"/>
    <mergeCell ref="B22:D22"/>
    <mergeCell ref="E53:F53"/>
    <mergeCell ref="B2:J2"/>
    <mergeCell ref="B12:E12"/>
    <mergeCell ref="G12:J12"/>
    <mergeCell ref="D4:H4"/>
    <mergeCell ref="B21:D21"/>
    <mergeCell ref="G104:H105"/>
    <mergeCell ref="J89:J90"/>
    <mergeCell ref="I99:J99"/>
    <mergeCell ref="E100:F100"/>
    <mergeCell ref="G98:H98"/>
    <mergeCell ref="B41:I41"/>
    <mergeCell ref="B43:D43"/>
    <mergeCell ref="E40:F40"/>
    <mergeCell ref="L83:O83"/>
    <mergeCell ref="G99:H99"/>
    <mergeCell ref="B85:D85"/>
    <mergeCell ref="B84:D84"/>
    <mergeCell ref="B87:I87"/>
    <mergeCell ref="B86:D86"/>
    <mergeCell ref="E61:F61"/>
    <mergeCell ref="B102:J103"/>
    <mergeCell ref="B114:J114"/>
    <mergeCell ref="I98:J98"/>
    <mergeCell ref="B95:J95"/>
    <mergeCell ref="I100:J100"/>
    <mergeCell ref="G106:H107"/>
    <mergeCell ref="B94:J94"/>
    <mergeCell ref="B139:C139"/>
    <mergeCell ref="B83:D83"/>
    <mergeCell ref="B100:D100"/>
    <mergeCell ref="E97:F97"/>
    <mergeCell ref="E106:F107"/>
    <mergeCell ref="E86:F86"/>
    <mergeCell ref="B98:D98"/>
    <mergeCell ref="B110:J110"/>
    <mergeCell ref="B113:J113"/>
    <mergeCell ref="E82:F82"/>
    <mergeCell ref="E66:F66"/>
    <mergeCell ref="I97:J97"/>
    <mergeCell ref="B106:D107"/>
    <mergeCell ref="B82:D82"/>
    <mergeCell ref="E85:F85"/>
    <mergeCell ref="B75:I75"/>
    <mergeCell ref="E96:J96"/>
    <mergeCell ref="E70:F70"/>
    <mergeCell ref="B99:D99"/>
    <mergeCell ref="E63:F63"/>
    <mergeCell ref="E62:F62"/>
    <mergeCell ref="E57:F57"/>
    <mergeCell ref="B117:J117"/>
    <mergeCell ref="E73:F73"/>
    <mergeCell ref="E74:F74"/>
    <mergeCell ref="B109:J109"/>
    <mergeCell ref="E69:F69"/>
    <mergeCell ref="E83:F83"/>
    <mergeCell ref="E84:F84"/>
    <mergeCell ref="B116:J116"/>
    <mergeCell ref="I104:J105"/>
    <mergeCell ref="G97:H97"/>
    <mergeCell ref="B104:D105"/>
    <mergeCell ref="B89:I90"/>
    <mergeCell ref="B111:J111"/>
    <mergeCell ref="B96:D97"/>
    <mergeCell ref="B115:J115"/>
    <mergeCell ref="G100:H100"/>
    <mergeCell ref="E98:F98"/>
    <mergeCell ref="D3:H3"/>
    <mergeCell ref="B112:J112"/>
    <mergeCell ref="B77:I77"/>
    <mergeCell ref="E44:F44"/>
    <mergeCell ref="E79:F79"/>
    <mergeCell ref="E99:F99"/>
    <mergeCell ref="E104:F105"/>
    <mergeCell ref="I106:J107"/>
    <mergeCell ref="E47:F47"/>
    <mergeCell ref="B74:D7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B8" sqref="B8"/>
    </sheetView>
  </sheetViews>
  <sheetFormatPr defaultColWidth="11.421875" defaultRowHeight="15"/>
  <cols>
    <col min="1" max="1" width="20.00390625" style="92" customWidth="1"/>
    <col min="2" max="2" width="32.57421875" style="92" customWidth="1"/>
    <col min="3" max="3" width="12.00390625" style="92" bestFit="1" customWidth="1"/>
    <col min="4" max="4" width="12.421875" style="92" bestFit="1" customWidth="1"/>
    <col min="5" max="5" width="13.140625" style="92" bestFit="1" customWidth="1"/>
    <col min="6" max="8" width="11.421875" style="92" customWidth="1"/>
    <col min="9" max="9" width="16.140625" style="92" customWidth="1"/>
    <col min="10" max="16384" width="11.421875" style="92" customWidth="1"/>
  </cols>
  <sheetData>
    <row r="1" spans="2:3" ht="15">
      <c r="B1" s="189" t="s">
        <v>68</v>
      </c>
      <c r="C1" s="190">
        <v>50400</v>
      </c>
    </row>
    <row r="2" spans="2:3" ht="15">
      <c r="B2" s="189" t="s">
        <v>69</v>
      </c>
      <c r="C2" s="191">
        <f>((rendimiento-$C$1)/$C$1)+1</f>
        <v>1</v>
      </c>
    </row>
    <row r="3" ht="18">
      <c r="B3" s="3"/>
    </row>
    <row r="4" spans="2:12" ht="18">
      <c r="B4" s="308" t="s">
        <v>33</v>
      </c>
      <c r="C4" s="308"/>
      <c r="E4" s="92" t="s">
        <v>73</v>
      </c>
      <c r="K4" s="192"/>
      <c r="L4" s="94"/>
    </row>
    <row r="5" spans="1:5" ht="18">
      <c r="A5" s="193" t="s">
        <v>70</v>
      </c>
      <c r="B5" s="71" t="s">
        <v>96</v>
      </c>
      <c r="C5" s="72"/>
      <c r="D5" s="72"/>
      <c r="E5" s="194">
        <v>50400</v>
      </c>
    </row>
    <row r="6" spans="1:5" ht="18">
      <c r="A6" s="193" t="s">
        <v>70</v>
      </c>
      <c r="B6" s="71"/>
      <c r="C6" s="73"/>
      <c r="D6" s="73"/>
      <c r="E6" s="194"/>
    </row>
    <row r="7" spans="1:5" ht="18">
      <c r="A7" s="193" t="s">
        <v>70</v>
      </c>
      <c r="B7" s="71"/>
      <c r="C7" s="73"/>
      <c r="D7" s="73"/>
      <c r="E7" s="194"/>
    </row>
    <row r="8" spans="1:5" ht="18">
      <c r="A8" s="195" t="s">
        <v>71</v>
      </c>
      <c r="B8" s="74" t="s">
        <v>83</v>
      </c>
      <c r="C8" s="76"/>
      <c r="D8" s="76"/>
      <c r="E8" s="194">
        <v>50400</v>
      </c>
    </row>
    <row r="9" spans="1:5" ht="18">
      <c r="A9" s="195" t="s">
        <v>71</v>
      </c>
      <c r="B9" s="74"/>
      <c r="C9" s="76"/>
      <c r="D9" s="76"/>
      <c r="E9" s="196"/>
    </row>
    <row r="10" spans="1:5" ht="18">
      <c r="A10" s="195" t="s">
        <v>71</v>
      </c>
      <c r="B10" s="74"/>
      <c r="C10" s="75"/>
      <c r="D10" s="75"/>
      <c r="E10" s="196"/>
    </row>
    <row r="11" spans="1:5" ht="18">
      <c r="A11" s="193" t="s">
        <v>72</v>
      </c>
      <c r="B11" s="71"/>
      <c r="C11" s="72"/>
      <c r="D11" s="72"/>
      <c r="E11" s="194"/>
    </row>
    <row r="12" spans="1:5" ht="18">
      <c r="A12" s="193" t="s">
        <v>72</v>
      </c>
      <c r="B12" s="71"/>
      <c r="C12" s="72"/>
      <c r="D12" s="72"/>
      <c r="E12" s="194"/>
    </row>
    <row r="13" spans="1:5" ht="18">
      <c r="A13" s="193" t="s">
        <v>72</v>
      </c>
      <c r="B13" s="71"/>
      <c r="C13" s="197"/>
      <c r="D13" s="197"/>
      <c r="E13" s="194"/>
    </row>
    <row r="18" spans="2:4" ht="15">
      <c r="B18" s="309" t="s">
        <v>29</v>
      </c>
      <c r="C18" s="309"/>
      <c r="D18" s="309"/>
    </row>
    <row r="20" spans="2:4" ht="18">
      <c r="B20" s="17" t="s">
        <v>31</v>
      </c>
      <c r="C20" s="198">
        <f>tomate!B98</f>
        <v>45360</v>
      </c>
      <c r="D20" s="198">
        <f>tomate!B100</f>
        <v>55440.00000000001</v>
      </c>
    </row>
    <row r="21" ht="15">
      <c r="B21" s="136"/>
    </row>
    <row r="22" spans="2:4" ht="15">
      <c r="B22" s="189" t="s">
        <v>32</v>
      </c>
      <c r="C22" s="190">
        <f>((C20-rendimiento)/rendimiento)+1</f>
        <v>0.9</v>
      </c>
      <c r="D22" s="190">
        <f>((D20-rendimiento)/rendimiento)+1</f>
        <v>1.1</v>
      </c>
    </row>
    <row r="23" spans="2:4" ht="18">
      <c r="B23" s="6"/>
      <c r="C23" s="198"/>
      <c r="D23" s="198"/>
    </row>
    <row r="24" spans="2:6" ht="18">
      <c r="B24" s="17" t="s">
        <v>19</v>
      </c>
      <c r="C24" s="198"/>
      <c r="D24" s="198"/>
      <c r="E24" s="94"/>
      <c r="F24" s="94"/>
    </row>
    <row r="25" spans="2:5" ht="18">
      <c r="B25" s="6" t="s">
        <v>35</v>
      </c>
      <c r="C25" s="94">
        <f>SUM(tomate!J22:J29)-_xlfn.IFERROR(INDEX(tomate!$J$22:$J$29,MATCH(B5,tomate!$B$22:$B$29,0)),"0")-_xlfn.IFERROR(INDEX(tomate!$J$22:$J$29,MATCH(B6,tomate!$B$22:$B$29,0)),"0")-_xlfn.IFERROR(INDEX(tomate!$J$22:$J$29,MATCH(B7,tomate!$B$22:$B$29,0)),"0")</f>
        <v>2347400</v>
      </c>
      <c r="D25" s="94">
        <f>SUM(tomate!J22:J29)-_xlfn.IFERROR(INDEX(tomate!$J$22:$J$29,MATCH(B5,tomate!$B$22:$B$29,0)),"0")-_xlfn.IFERROR(INDEX(tomate!$J$22:$J$29,MATCH(B6,tomate!$B$22:$B$29,0)),"0")-_xlfn.IFERROR(INDEX(tomate!$J$22:$J$29,MATCH(B7,tomate!$B$22:$B$29,0)),"0")</f>
        <v>2347400</v>
      </c>
      <c r="E25" s="94"/>
    </row>
    <row r="26" spans="2:4" ht="18">
      <c r="B26" s="18" t="s">
        <v>36</v>
      </c>
      <c r="C26" s="199">
        <f>C22*(_xlfn.IFERROR(INDEX(tomate!$J$22:$J$29,MATCH(B5,tomate!$B$22:$B$29,0)),"0")+_xlfn.IFERROR(INDEX(tomate!$J$22:$J$29,MATCH(B6,tomate!$B$22:$B$29,0)),"0")+_xlfn.IFERROR(INDEX(tomate!$J$22:$J$29,MATCH(B7,tomate!$B$22:$B$29,0)),"0"))</f>
        <v>0</v>
      </c>
      <c r="D26" s="199">
        <f>D22*(_xlfn.IFERROR(INDEX(tomate!$J$22:$J$29,MATCH(B5,tomate!$B$22:$B$29,0)),"0")+_xlfn.IFERROR(INDEX(tomate!$J$22:$J$29,MATCH(B6,tomate!$B$22:$B$29,0)),"0")+_xlfn.IFERROR(INDEX(tomate!$J$22:$J$29,MATCH(B7,tomate!$B$22:$B$29,0)),"0"))</f>
        <v>0</v>
      </c>
    </row>
    <row r="27" spans="2:4" ht="18">
      <c r="B27" s="6" t="s">
        <v>37</v>
      </c>
      <c r="C27" s="94">
        <f>SUM(C25:C26)</f>
        <v>2347400</v>
      </c>
      <c r="D27" s="94">
        <f>SUM(D25:D26)</f>
        <v>2347400</v>
      </c>
    </row>
    <row r="28" ht="18">
      <c r="B28" s="6"/>
    </row>
    <row r="29" ht="18">
      <c r="B29" s="17" t="s">
        <v>21</v>
      </c>
    </row>
    <row r="30" spans="2:4" ht="18">
      <c r="B30" s="6" t="s">
        <v>35</v>
      </c>
      <c r="C30" s="94">
        <f>SUM(tomate!J33:J40)-_xlfn.IFERROR(INDEX(tomate!$J$33:$J$40,MATCH(B8,tomate!$B$33:$B$40,0)),"0")-_xlfn.IFERROR(INDEX(tomate!$J$33:$J$40,MATCH(B9,tomate!$B$33:$B$40,0)),"0")-_xlfn.IFERROR(INDEX(tomate!$J$33:$J$40,MATCH(B10,tomate!$B$33:$B$40,0)),"0")</f>
        <v>417000</v>
      </c>
      <c r="D30" s="94">
        <f>SUM(tomate!J33:J40)-_xlfn.IFERROR(INDEX(tomate!$J$33:$J$40,MATCH(B8,tomate!$B$33:$B$40,0)),"0")-_xlfn.IFERROR(INDEX(tomate!$J$33:$J$40,MATCH(B9,tomate!$B$33:$B$40,0)),"0")-_xlfn.IFERROR(INDEX(tomate!$J$33:$J$40,MATCH(B10,tomate!$B$33:$B$40,0)),"0")</f>
        <v>417000</v>
      </c>
    </row>
    <row r="31" spans="2:4" ht="18">
      <c r="B31" s="18" t="s">
        <v>36</v>
      </c>
      <c r="C31" s="199">
        <f>C22*(_xlfn.IFERROR(INDEX(tomate!$J$33:$J$40,MATCH(B8,tomate!$B$33:$B$40,0)),"0")+_xlfn.IFERROR(INDEX(tomate!$J$33:$J$40,MATCH(B9,tomate!$B$33:$B$40,0)),"0")+_xlfn.IFERROR(INDEX(tomate!$J$33:$J$40,MATCH(B10,tomate!$B$33:$B$40,0)),"0"))</f>
        <v>408240</v>
      </c>
      <c r="D31" s="199">
        <f>D22*(_xlfn.IFERROR(INDEX(tomate!$J$33:$J$40,MATCH(B8,tomate!$B$33:$B$40,0)),"0")+_xlfn.IFERROR(INDEX(tomate!$J$33:$J$40,MATCH(B9,tomate!$B$33:$B$40,0)),"0")+_xlfn.IFERROR(INDEX(tomate!$J$33:$J$40,MATCH(B10,tomate!$B$33:$B$40,0)),"0"))</f>
        <v>498960.00000000006</v>
      </c>
    </row>
    <row r="32" spans="2:4" ht="18">
      <c r="B32" s="6" t="s">
        <v>37</v>
      </c>
      <c r="C32" s="94">
        <f>SUM(C30:C31)</f>
        <v>825240</v>
      </c>
      <c r="D32" s="94">
        <f>SUM(D30:D31)</f>
        <v>915960</v>
      </c>
    </row>
    <row r="34" ht="18">
      <c r="B34" s="17" t="s">
        <v>38</v>
      </c>
    </row>
    <row r="35" spans="2:4" ht="18">
      <c r="B35" s="6" t="s">
        <v>35</v>
      </c>
      <c r="C35" s="94">
        <f>SUM(tomate!J44:J74)-_xlfn.IFERROR(INDEX(tomate!$J$44:$J$74,MATCH(B11,tomate!$B$44:$B$74,0)),"0")-_xlfn.IFERROR(INDEX(tomate!$J$44:$J$74,MATCH(B12,tomate!$B$44:$B$74,0)),"0")-_xlfn.IFERROR(INDEX(tomate!$J$44:$J$74,MATCH(B13,tomate!$B$44:$B$74,0)),"0")</f>
        <v>2028161.2</v>
      </c>
      <c r="D35" s="94">
        <f>SUM(tomate!J44:J74)-_xlfn.IFERROR(INDEX(tomate!$J$44:$J$74,MATCH(B11,tomate!$B$44:$B$74,0)),"0")-_xlfn.IFERROR(INDEX(tomate!$J$44:$J$74,MATCH(B12,tomate!$B$44:$B$74,0)),"0")-_xlfn.IFERROR(INDEX(tomate!$J$44:$J$74,MATCH(B13,tomate!$B$44:$B$74,0)),"0")</f>
        <v>2028161.2</v>
      </c>
    </row>
    <row r="36" spans="2:4" ht="18">
      <c r="B36" s="18" t="s">
        <v>36</v>
      </c>
      <c r="C36" s="199">
        <f>C22*(_xlfn.IFERROR(INDEX(tomate!$J$44:$J$74,MATCH(B11,tomate!$B$44:$B$74,0)),"0")+_xlfn.IFERROR(INDEX(tomate!$J$44:$J$74,MATCH(B12,tomate!$B$44:$B$74,0)),"0")+_xlfn.IFERROR(INDEX(tomate!$J$44:$J$74,MATCH(B13,tomate!$B$44:$B$74,0)),"0"))</f>
        <v>0</v>
      </c>
      <c r="D36" s="199">
        <f>D22*(_xlfn.IFERROR(INDEX(tomate!$J$44:$J$74,MATCH(B11,tomate!$B$44:$B$74,0)),"0")+_xlfn.IFERROR(INDEX(tomate!$J$44:$J$74,MATCH(B12,tomate!$B$44:$B$74,0)),"0")+_xlfn.IFERROR(INDEX(tomate!$J$44:$J$74,MATCH(B13,tomate!$B$44:$B$74,0)),"0"))</f>
        <v>0</v>
      </c>
    </row>
    <row r="37" spans="2:4" ht="18">
      <c r="B37" s="6" t="s">
        <v>37</v>
      </c>
      <c r="C37" s="94">
        <f>SUM(C35:C36)</f>
        <v>2028161.2</v>
      </c>
      <c r="D37" s="94">
        <f>SUM(D35:D36)</f>
        <v>2028161.2</v>
      </c>
    </row>
    <row r="38" spans="2:4" ht="15">
      <c r="B38" s="136"/>
      <c r="C38" s="129"/>
      <c r="D38" s="129"/>
    </row>
    <row r="39" spans="2:4" ht="18">
      <c r="B39" s="20" t="s">
        <v>39</v>
      </c>
      <c r="C39" s="200">
        <f>C27+C32+C37</f>
        <v>5200801.2</v>
      </c>
      <c r="D39" s="200">
        <f>D27+D32+D37</f>
        <v>5291521.2</v>
      </c>
    </row>
    <row r="40" ht="15">
      <c r="B40" s="136"/>
    </row>
    <row r="41" spans="2:4" ht="18">
      <c r="B41" s="19" t="s">
        <v>0</v>
      </c>
      <c r="C41" s="94">
        <f>C39*tomate!$G$79</f>
        <v>260040.06000000003</v>
      </c>
      <c r="D41" s="94">
        <f>D39*tomate!$G$79</f>
        <v>264576.06</v>
      </c>
    </row>
    <row r="42" spans="2:4" ht="18">
      <c r="B42" s="19" t="s">
        <v>25</v>
      </c>
      <c r="C42" s="94">
        <f>C39*tasa_interes_mensual*meses_financiamiento*0.5</f>
        <v>234036.054</v>
      </c>
      <c r="D42" s="94">
        <f>D39*tasa_interes_mensual*meses_financiamiento*0.5</f>
        <v>238118.454</v>
      </c>
    </row>
    <row r="43" ht="15">
      <c r="B43" s="136"/>
    </row>
    <row r="44" spans="2:4" ht="18">
      <c r="B44" s="20" t="s">
        <v>28</v>
      </c>
      <c r="C44" s="200">
        <f>C39+C41+C42</f>
        <v>5694877.313999999</v>
      </c>
      <c r="D44" s="200">
        <f>D39+D41+D42</f>
        <v>5794215.714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2017-11-30T14:29:38Z</cp:lastPrinted>
  <dcterms:created xsi:type="dcterms:W3CDTF">2012-07-09T18:51:50Z</dcterms:created>
  <dcterms:modified xsi:type="dcterms:W3CDTF">2017-11-30T14:46:10Z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e93b8d81-ee45-4557-b1d9-b22666c21f68</vt:lpwstr>
  </property>
</Properties>
</file>