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Uva de mesa" sheetId="1" r:id="rId1"/>
    <sheet name="Hoja1" sheetId="2" r:id="rId2"/>
  </sheets>
  <definedNames>
    <definedName name="_xlnm.Print_Area" localSheetId="0">'Uva de mesa'!$A$1:$K$133</definedName>
  </definedNames>
  <calcPr fullCalcOnLoad="1"/>
</workbook>
</file>

<file path=xl/sharedStrings.xml><?xml version="1.0" encoding="utf-8"?>
<sst xmlns="http://schemas.openxmlformats.org/spreadsheetml/2006/main" count="254" uniqueCount="167">
  <si>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</si>
  <si>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</si>
  <si>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</si>
  <si>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</si>
  <si>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</si>
  <si>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</si>
  <si>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</si>
  <si>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</si>
  <si>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</si>
  <si>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</si>
  <si>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</si>
  <si>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</si>
  <si>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</si>
  <si>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</si>
  <si>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</si>
  <si>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</si>
  <si>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</si>
  <si>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</si>
  <si>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</si>
  <si>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</si>
  <si>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</si>
  <si>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</si>
  <si>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</si>
  <si>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</si>
  <si>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</si>
  <si>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</si>
  <si>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</si>
  <si>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</si>
  <si>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</si>
  <si>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</si>
  <si>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</si>
  <si>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</si>
  <si>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</si>
  <si>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</si>
  <si>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</si>
  <si>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</si>
  <si>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</si>
  <si>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</si>
  <si>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</si>
  <si>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</si>
  <si>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</si>
  <si>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</si>
  <si>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</si>
  <si>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</si>
  <si>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</si>
  <si>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</si>
  <si>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</si>
  <si>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</si>
  <si>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</si>
  <si>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</si>
  <si>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</si>
  <si>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</si>
  <si>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</si>
  <si>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</si>
  <si>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</si>
  <si>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</si>
  <si>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</si>
  <si>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</si>
  <si>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(4) 1,5% mensual simple, tasa de interés promedio de las empresas distribuidoras de insumos</t>
  </si>
  <si>
    <t>Herbicida:</t>
  </si>
  <si>
    <t>Huerto en producción</t>
  </si>
  <si>
    <t>Aplicación fitosanitarios</t>
  </si>
  <si>
    <t>Acarreo de cosecha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</si>
  <si>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</si>
  <si>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</si>
  <si>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</si>
  <si>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</si>
  <si>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</si>
  <si>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</si>
  <si>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</si>
  <si>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Enero-febrero</t>
  </si>
  <si>
    <t>Agosto-abril</t>
  </si>
  <si>
    <t>Planta</t>
  </si>
  <si>
    <t>Septiembre-febrero</t>
  </si>
  <si>
    <t>Triturar poda</t>
  </si>
  <si>
    <t>Octubre-noviembre</t>
  </si>
  <si>
    <t>Aplicación de pesticidas</t>
  </si>
  <si>
    <t>Junio-agosto</t>
  </si>
  <si>
    <t>Mayo-enero</t>
  </si>
  <si>
    <t>Poda y amarra de poda</t>
  </si>
  <si>
    <t>Mayo-julio</t>
  </si>
  <si>
    <t>Plantas</t>
  </si>
  <si>
    <t>Noviembre</t>
  </si>
  <si>
    <t>Tomar grados</t>
  </si>
  <si>
    <t>Uva de mesa</t>
  </si>
  <si>
    <t>Tecnología de riego: riego por surco</t>
  </si>
  <si>
    <t>Desbrote, raleo y regular carga</t>
  </si>
  <si>
    <t>Rastraje</t>
  </si>
  <si>
    <t>Melgadura</t>
  </si>
  <si>
    <t>Junio-julio</t>
  </si>
  <si>
    <t>Agosto-diciembre</t>
  </si>
  <si>
    <t>Mayo-octubre</t>
  </si>
  <si>
    <t>Septiembre-enero</t>
  </si>
  <si>
    <t>Noviembre-enero</t>
  </si>
  <si>
    <t xml:space="preserve">Junio-julio </t>
  </si>
  <si>
    <t>Agosto-octubre</t>
  </si>
  <si>
    <t>Julio-diciembre</t>
  </si>
  <si>
    <t xml:space="preserve">                 </t>
  </si>
  <si>
    <t>Flete</t>
  </si>
  <si>
    <t>Anual</t>
  </si>
  <si>
    <t>Septiembre-diciembre</t>
  </si>
  <si>
    <t>Septiembre-noviembre</t>
  </si>
  <si>
    <t>Septiembre-octubre</t>
  </si>
  <si>
    <t>Octubre</t>
  </si>
  <si>
    <t>Octubre-enero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</si>
  <si>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</si>
  <si>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>Reponer postes y lambrado (Infraestructura)</t>
  </si>
  <si>
    <t>Arreglo y colocar protección al racimo</t>
  </si>
  <si>
    <t>Acarreo de cajas durante la cosecha.</t>
  </si>
  <si>
    <t>Cosecha</t>
  </si>
  <si>
    <t>Controles de malezas (alrededor de la planta)</t>
  </si>
  <si>
    <t>Análisis</t>
  </si>
  <si>
    <t>Densidad (Plantas/ha): 1.250 (4,0m X 2,0m)</t>
  </si>
  <si>
    <t>Febrero</t>
  </si>
  <si>
    <t>Un</t>
  </si>
  <si>
    <t>Región O'Higgins</t>
  </si>
  <si>
    <t>Agosto - noviembre</t>
  </si>
  <si>
    <t>1 hectárea Abril 2015</t>
  </si>
  <si>
    <t xml:space="preserve"> (1) El precio del kilo de uva de mesa  corresponde al promedio estimado de la región a nivel predial durante el periodo de cosecha en la temporada  en el 2014/ 2015. </t>
  </si>
  <si>
    <t>Diciembre-enero</t>
  </si>
  <si>
    <t>Octubre-diciembre</t>
  </si>
  <si>
    <t>Cosecha: Febrero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</si>
  <si>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</si>
  <si>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</si>
  <si>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</si>
  <si>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</si>
  <si>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</si>
  <si>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Acarreo de cajas durante la cosecha</t>
  </si>
  <si>
    <t>Riego y revisión de surcos</t>
  </si>
  <si>
    <t xml:space="preserve">  Urea</t>
  </si>
  <si>
    <t xml:space="preserve">  Muriato de Potasio</t>
  </si>
  <si>
    <t xml:space="preserve">  Nitrato de Potasio</t>
  </si>
  <si>
    <t xml:space="preserve">  Podexal</t>
  </si>
  <si>
    <t xml:space="preserve">  Azufre mojable</t>
  </si>
  <si>
    <t xml:space="preserve">  Captan 80 WP</t>
  </si>
  <si>
    <t xml:space="preserve">  Rovral  50%  WP</t>
  </si>
  <si>
    <t xml:space="preserve">  Switch 62.5 WG</t>
  </si>
  <si>
    <t xml:space="preserve">  Stroby SC</t>
  </si>
  <si>
    <t xml:space="preserve">  Karate con tecnología Zeon</t>
  </si>
  <si>
    <t xml:space="preserve">  Imidan 70 WP</t>
  </si>
  <si>
    <t xml:space="preserve">  Movento 100 SC</t>
  </si>
  <si>
    <t xml:space="preserve">  Confidor Forte 200 SL</t>
  </si>
  <si>
    <t xml:space="preserve">  Perfekthion</t>
  </si>
  <si>
    <t xml:space="preserve">  Dipel WG</t>
  </si>
  <si>
    <t xml:space="preserve">  Avaunt 30 WG</t>
  </si>
  <si>
    <t xml:space="preserve">  Success 48</t>
  </si>
  <si>
    <t xml:space="preserve">  Roundup</t>
  </si>
  <si>
    <t xml:space="preserve">  Abamite ME</t>
  </si>
  <si>
    <t xml:space="preserve">  Aceite Citroliv Miscible</t>
  </si>
  <si>
    <t xml:space="preserve">  N Boron</t>
  </si>
  <si>
    <t xml:space="preserve">  Zintrac 700</t>
  </si>
  <si>
    <t xml:space="preserve">  Potassium Max</t>
  </si>
  <si>
    <t xml:space="preserve">  Calibra</t>
  </si>
  <si>
    <t xml:space="preserve">  Fosfimax 40 20</t>
  </si>
  <si>
    <t xml:space="preserve">  Nitrofoska</t>
  </si>
  <si>
    <t xml:space="preserve">  Complesal 12-4-6</t>
  </si>
  <si>
    <t xml:space="preserve">  Hydromag Flow</t>
  </si>
  <si>
    <t xml:space="preserve">  Baño quimicos</t>
  </si>
  <si>
    <t xml:space="preserve">  Break thru</t>
  </si>
  <si>
    <t xml:space="preserve">  Cinta de amarre</t>
  </si>
  <si>
    <t xml:space="preserve">  Agua de riego</t>
  </si>
  <si>
    <r>
      <t xml:space="preserve">  Análisis foliar </t>
    </r>
    <r>
      <rPr>
        <vertAlign val="superscript"/>
        <sz val="14"/>
        <rFont val="Arial"/>
        <family val="2"/>
      </rPr>
      <t>(3)</t>
    </r>
    <r>
      <rPr>
        <sz val="14"/>
        <rFont val="Arial"/>
        <family val="2"/>
      </rPr>
      <t xml:space="preserve"> </t>
    </r>
  </si>
  <si>
    <t xml:space="preserve">  Kelpak</t>
  </si>
  <si>
    <t>Acaricida:</t>
  </si>
  <si>
    <t>Fertilizantes foliares:</t>
  </si>
  <si>
    <t>Otros:</t>
  </si>
  <si>
    <t>Variedad: Red Globe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</si>
</sst>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02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8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10" fillId="34" borderId="11" xfId="58" applyFont="1" applyFill="1" applyBorder="1" applyAlignment="1">
      <alignment horizontal="center"/>
      <protection/>
    </xf>
    <xf numFmtId="0" fontId="8" fillId="34" borderId="0" xfId="57" applyFont="1" applyFill="1" applyBorder="1" applyAlignment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5" fillId="34" borderId="11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68" fillId="23" borderId="25" xfId="58" applyFont="1" applyFill="1" applyBorder="1" applyAlignment="1" applyProtection="1">
      <alignment horizontal="center" vertical="center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10" fillId="34" borderId="12" xfId="58" applyFont="1" applyFill="1" applyBorder="1" applyAlignment="1">
      <alignment horizontal="center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67" fillId="38" borderId="17" xfId="0" applyFont="1" applyFill="1" applyBorder="1" applyAlignment="1">
      <alignment horizontal="center" vertical="center"/>
    </xf>
    <xf numFmtId="0" fontId="67" fillId="38" borderId="14" xfId="0" applyFont="1" applyFill="1" applyBorder="1" applyAlignment="1">
      <alignment horizontal="center" vertical="center"/>
    </xf>
    <xf numFmtId="0" fontId="67" fillId="38" borderId="19" xfId="0" applyFont="1" applyFill="1" applyBorder="1" applyAlignment="1">
      <alignment horizontal="center" vertical="center"/>
    </xf>
    <xf numFmtId="0" fontId="67" fillId="38" borderId="18" xfId="0" applyFont="1" applyFill="1" applyBorder="1" applyAlignment="1">
      <alignment horizontal="center" vertical="center"/>
    </xf>
    <xf numFmtId="0" fontId="67" fillId="38" borderId="13" xfId="0" applyFont="1" applyFill="1" applyBorder="1" applyAlignment="1">
      <alignment horizontal="center" vertical="center"/>
    </xf>
    <xf numFmtId="0" fontId="67" fillId="38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>
      <alignment horizontal="center" vertical="center" wrapText="1"/>
    </xf>
    <xf numFmtId="180" fontId="68" fillId="0" borderId="0" xfId="69" applyFont="1" applyFill="1" applyBorder="1" applyAlignment="1" applyProtection="1">
      <alignment horizontal="lef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3" fillId="34" borderId="18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67" fillId="38" borderId="17" xfId="0" applyFont="1" applyFill="1" applyBorder="1" applyAlignment="1">
      <alignment horizontal="center"/>
    </xf>
    <xf numFmtId="0" fontId="67" fillId="38" borderId="14" xfId="0" applyFont="1" applyFill="1" applyBorder="1" applyAlignment="1">
      <alignment horizontal="center"/>
    </xf>
    <xf numFmtId="0" fontId="67" fillId="38" borderId="19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67" fillId="38" borderId="18" xfId="0" applyFont="1" applyFill="1" applyBorder="1" applyAlignment="1">
      <alignment horizontal="center"/>
    </xf>
    <xf numFmtId="0" fontId="67" fillId="38" borderId="13" xfId="0" applyFont="1" applyFill="1" applyBorder="1" applyAlignment="1">
      <alignment horizontal="center"/>
    </xf>
    <xf numFmtId="0" fontId="67" fillId="38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67" fillId="23" borderId="25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17" fontId="67" fillId="39" borderId="25" xfId="69" applyNumberFormat="1" applyFont="1" applyFill="1" applyBorder="1" applyAlignment="1" applyProtection="1">
      <alignment horizontal="center"/>
      <protection/>
    </xf>
    <xf numFmtId="17" fontId="67" fillId="39" borderId="21" xfId="69" applyNumberFormat="1" applyFont="1" applyFill="1" applyBorder="1" applyAlignment="1" applyProtection="1">
      <alignment horizontal="center"/>
      <protection/>
    </xf>
    <xf numFmtId="17" fontId="67" fillId="39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39" borderId="17" xfId="57" applyFont="1" applyFill="1" applyBorder="1" applyAlignment="1">
      <alignment horizontal="center"/>
      <protection/>
    </xf>
    <xf numFmtId="0" fontId="67" fillId="39" borderId="14" xfId="57" applyFont="1" applyFill="1" applyBorder="1" applyAlignment="1">
      <alignment horizontal="center"/>
      <protection/>
    </xf>
    <xf numFmtId="0" fontId="67" fillId="39" borderId="19" xfId="57" applyFont="1" applyFill="1" applyBorder="1" applyAlignment="1">
      <alignment horizontal="center"/>
      <protection/>
    </xf>
    <xf numFmtId="0" fontId="67" fillId="39" borderId="25" xfId="57" applyFont="1" applyFill="1" applyBorder="1" applyAlignment="1">
      <alignment horizontal="center"/>
      <protection/>
    </xf>
    <xf numFmtId="0" fontId="67" fillId="39" borderId="21" xfId="57" applyFont="1" applyFill="1" applyBorder="1" applyAlignment="1">
      <alignment horizontal="center"/>
      <protection/>
    </xf>
    <xf numFmtId="0" fontId="67" fillId="39" borderId="15" xfId="57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0" fontId="10" fillId="34" borderId="12" xfId="58" applyFont="1" applyFill="1" applyBorder="1" applyAlignment="1" applyProtection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628650</xdr:colOff>
      <xdr:row>132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30508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5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91" t="s">
        <v>8</v>
      </c>
      <c r="C2" s="291"/>
      <c r="D2" s="291"/>
      <c r="E2" s="291"/>
      <c r="F2" s="291"/>
      <c r="G2" s="291"/>
      <c r="H2" s="291"/>
      <c r="I2" s="291"/>
      <c r="J2" s="291"/>
    </row>
    <row r="3" spans="2:11" s="3" customFormat="1" ht="18" customHeight="1">
      <c r="B3" s="87"/>
      <c r="C3" s="110"/>
      <c r="D3" s="110"/>
      <c r="E3" s="292" t="s">
        <v>84</v>
      </c>
      <c r="F3" s="292"/>
      <c r="G3" s="292"/>
      <c r="H3" s="110"/>
      <c r="I3" s="111"/>
      <c r="J3" s="110"/>
      <c r="K3" s="14"/>
    </row>
    <row r="4" spans="2:11" s="3" customFormat="1" ht="18" customHeight="1">
      <c r="B4" s="87"/>
      <c r="C4" s="110"/>
      <c r="D4" s="292" t="s">
        <v>115</v>
      </c>
      <c r="E4" s="292"/>
      <c r="F4" s="292"/>
      <c r="G4" s="292"/>
      <c r="H4" s="292"/>
      <c r="I4" s="110"/>
      <c r="J4" s="110"/>
      <c r="K4" s="14"/>
    </row>
    <row r="5" spans="2:11" s="3" customFormat="1" ht="18" customHeight="1">
      <c r="B5" s="42"/>
      <c r="C5" s="42"/>
      <c r="D5" s="112"/>
      <c r="E5" s="44"/>
      <c r="F5" s="44"/>
      <c r="G5" s="95"/>
      <c r="H5" s="44"/>
      <c r="I5" s="42"/>
      <c r="J5" s="113"/>
      <c r="K5" s="16"/>
    </row>
    <row r="6" spans="2:11" s="3" customFormat="1" ht="18" customHeight="1">
      <c r="B6" s="42"/>
      <c r="C6" s="42"/>
      <c r="D6" s="285" t="s">
        <v>50</v>
      </c>
      <c r="E6" s="286"/>
      <c r="F6" s="286"/>
      <c r="G6" s="286"/>
      <c r="H6" s="286"/>
      <c r="I6" s="286"/>
      <c r="J6" s="287"/>
      <c r="K6" s="16"/>
    </row>
    <row r="7" spans="2:11" s="3" customFormat="1" ht="18" customHeight="1">
      <c r="B7" s="42"/>
      <c r="C7" s="42"/>
      <c r="D7" s="137" t="s">
        <v>117</v>
      </c>
      <c r="E7" s="85"/>
      <c r="F7" s="85"/>
      <c r="G7" s="138" t="s">
        <v>166</v>
      </c>
      <c r="H7" s="139"/>
      <c r="I7" s="140"/>
      <c r="J7" s="141"/>
      <c r="K7" s="16"/>
    </row>
    <row r="8" spans="2:11" s="3" customFormat="1" ht="18" customHeight="1">
      <c r="B8" s="42"/>
      <c r="C8" s="42"/>
      <c r="D8" s="142" t="s">
        <v>85</v>
      </c>
      <c r="E8" s="86"/>
      <c r="F8" s="86"/>
      <c r="G8" s="143" t="s">
        <v>45</v>
      </c>
      <c r="H8" s="87"/>
      <c r="I8" s="88"/>
      <c r="J8" s="144"/>
      <c r="K8" s="16"/>
    </row>
    <row r="9" spans="2:11" s="3" customFormat="1" ht="18" customHeight="1">
      <c r="B9" s="42"/>
      <c r="C9" s="42"/>
      <c r="D9" s="142" t="s">
        <v>112</v>
      </c>
      <c r="E9" s="86"/>
      <c r="F9" s="86"/>
      <c r="G9" s="143" t="s">
        <v>46</v>
      </c>
      <c r="H9" s="87"/>
      <c r="I9" s="88"/>
      <c r="J9" s="144"/>
      <c r="K9" s="18"/>
    </row>
    <row r="10" spans="2:11" s="3" customFormat="1" ht="18" customHeight="1">
      <c r="B10" s="42"/>
      <c r="C10" s="42"/>
      <c r="D10" s="145" t="s">
        <v>60</v>
      </c>
      <c r="E10" s="146"/>
      <c r="F10" s="146"/>
      <c r="G10" s="147" t="s">
        <v>121</v>
      </c>
      <c r="H10" s="148"/>
      <c r="I10" s="149"/>
      <c r="J10" s="150"/>
      <c r="K10" s="18"/>
    </row>
    <row r="11" spans="2:11" s="3" customFormat="1" ht="18" customHeight="1">
      <c r="B11" s="42"/>
      <c r="C11" s="42"/>
      <c r="D11" s="26"/>
      <c r="E11" s="86"/>
      <c r="F11" s="86"/>
      <c r="G11" s="26"/>
      <c r="H11" s="87"/>
      <c r="I11" s="88"/>
      <c r="J11" s="122"/>
      <c r="K11" s="18"/>
    </row>
    <row r="12" spans="2:11" ht="18">
      <c r="B12" s="293" t="s">
        <v>51</v>
      </c>
      <c r="C12" s="294"/>
      <c r="D12" s="294"/>
      <c r="E12" s="295"/>
      <c r="F12" s="41"/>
      <c r="G12" s="296" t="s">
        <v>14</v>
      </c>
      <c r="H12" s="297"/>
      <c r="I12" s="297"/>
      <c r="J12" s="298"/>
      <c r="K12" s="16"/>
    </row>
    <row r="13" spans="2:11" ht="18">
      <c r="B13" s="98" t="s">
        <v>65</v>
      </c>
      <c r="C13" s="99"/>
      <c r="D13" s="85"/>
      <c r="E13" s="151">
        <v>28000</v>
      </c>
      <c r="F13" s="42"/>
      <c r="G13" s="102" t="s">
        <v>7</v>
      </c>
      <c r="H13" s="85"/>
      <c r="I13" s="85"/>
      <c r="J13" s="103">
        <f>E13*E14</f>
        <v>11200000</v>
      </c>
      <c r="K13" s="16"/>
    </row>
    <row r="14" spans="2:11" ht="21">
      <c r="B14" s="289" t="s">
        <v>122</v>
      </c>
      <c r="C14" s="290"/>
      <c r="D14" s="290"/>
      <c r="E14" s="152">
        <v>400</v>
      </c>
      <c r="F14" s="42"/>
      <c r="G14" s="104" t="s">
        <v>10</v>
      </c>
      <c r="H14" s="42"/>
      <c r="I14" s="42"/>
      <c r="J14" s="105">
        <f>J32+J41+J91+J95</f>
        <v>6605274.0600000005</v>
      </c>
      <c r="K14" s="16"/>
    </row>
    <row r="15" spans="2:11" ht="18">
      <c r="B15" s="130" t="s">
        <v>9</v>
      </c>
      <c r="C15" s="43"/>
      <c r="D15" s="42"/>
      <c r="E15" s="152">
        <v>13000</v>
      </c>
      <c r="F15" s="42"/>
      <c r="G15" s="104" t="s">
        <v>11</v>
      </c>
      <c r="H15" s="44"/>
      <c r="I15" s="42"/>
      <c r="J15" s="105">
        <f>J32+J41+J91+J103+J95</f>
        <v>7171440.408000001</v>
      </c>
      <c r="K15" s="16"/>
    </row>
    <row r="16" spans="2:11" ht="18">
      <c r="B16" s="130" t="s">
        <v>4</v>
      </c>
      <c r="C16" s="45"/>
      <c r="D16" s="42"/>
      <c r="E16" s="153">
        <v>0.015</v>
      </c>
      <c r="F16" s="42"/>
      <c r="G16" s="104" t="s">
        <v>12</v>
      </c>
      <c r="H16" s="42"/>
      <c r="I16" s="42"/>
      <c r="J16" s="105">
        <f>J13-J14</f>
        <v>4594725.9399999995</v>
      </c>
      <c r="K16" s="16"/>
    </row>
    <row r="17" spans="2:11" ht="18">
      <c r="B17" s="100" t="s">
        <v>5</v>
      </c>
      <c r="C17" s="101"/>
      <c r="D17" s="89"/>
      <c r="E17" s="154">
        <v>12</v>
      </c>
      <c r="F17" s="42"/>
      <c r="G17" s="104" t="s">
        <v>13</v>
      </c>
      <c r="H17" s="42"/>
      <c r="I17" s="42"/>
      <c r="J17" s="105">
        <f>J13-J15</f>
        <v>4028559.5919999992</v>
      </c>
      <c r="K17" s="16"/>
    </row>
    <row r="18" spans="2:11" ht="18">
      <c r="B18" s="156"/>
      <c r="C18" s="45"/>
      <c r="D18" s="42"/>
      <c r="E18" s="160"/>
      <c r="F18" s="42"/>
      <c r="G18" s="161" t="s">
        <v>47</v>
      </c>
      <c r="H18" s="89"/>
      <c r="I18" s="162"/>
      <c r="J18" s="163">
        <f>G122</f>
        <v>256.12287171428574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5" t="s">
        <v>48</v>
      </c>
      <c r="C20" s="114"/>
      <c r="D20" s="114"/>
      <c r="E20" s="288" t="s">
        <v>15</v>
      </c>
      <c r="F20" s="288"/>
      <c r="G20" s="164" t="s">
        <v>16</v>
      </c>
      <c r="H20" s="165" t="s">
        <v>17</v>
      </c>
      <c r="I20" s="166" t="s">
        <v>57</v>
      </c>
      <c r="J20" s="167" t="s">
        <v>3</v>
      </c>
      <c r="K20" s="16"/>
    </row>
    <row r="21" spans="2:11" s="3" customFormat="1" ht="18">
      <c r="B21" s="277" t="s">
        <v>19</v>
      </c>
      <c r="C21" s="278"/>
      <c r="D21" s="278"/>
      <c r="E21" s="218"/>
      <c r="F21" s="218"/>
      <c r="G21" s="106"/>
      <c r="H21" s="107"/>
      <c r="I21" s="108"/>
      <c r="J21" s="109"/>
      <c r="K21" s="16"/>
    </row>
    <row r="22" spans="2:11" s="3" customFormat="1" ht="18">
      <c r="B22" s="208" t="s">
        <v>76</v>
      </c>
      <c r="C22" s="209"/>
      <c r="D22" s="210"/>
      <c r="E22" s="204" t="s">
        <v>78</v>
      </c>
      <c r="F22" s="205"/>
      <c r="G22" s="168">
        <v>5</v>
      </c>
      <c r="H22" s="123" t="s">
        <v>6</v>
      </c>
      <c r="I22" s="169">
        <v>13000</v>
      </c>
      <c r="J22" s="170">
        <f>G22*I22</f>
        <v>65000</v>
      </c>
      <c r="K22" s="16"/>
    </row>
    <row r="23" spans="2:11" s="3" customFormat="1" ht="18">
      <c r="B23" s="208" t="s">
        <v>79</v>
      </c>
      <c r="C23" s="209"/>
      <c r="D23" s="210"/>
      <c r="E23" s="204" t="s">
        <v>80</v>
      </c>
      <c r="F23" s="205"/>
      <c r="G23" s="168">
        <v>1250</v>
      </c>
      <c r="H23" s="123" t="s">
        <v>72</v>
      </c>
      <c r="I23" s="169">
        <v>500</v>
      </c>
      <c r="J23" s="170">
        <f aca="true" t="shared" si="0" ref="J23:J31">G23*I23</f>
        <v>625000</v>
      </c>
      <c r="K23" s="16"/>
    </row>
    <row r="24" spans="2:11" s="3" customFormat="1" ht="18">
      <c r="B24" s="208" t="s">
        <v>106</v>
      </c>
      <c r="C24" s="209"/>
      <c r="D24" s="210"/>
      <c r="E24" s="204" t="s">
        <v>77</v>
      </c>
      <c r="F24" s="205"/>
      <c r="G24" s="168">
        <v>6</v>
      </c>
      <c r="H24" s="123" t="s">
        <v>6</v>
      </c>
      <c r="I24" s="169">
        <v>13000</v>
      </c>
      <c r="J24" s="170">
        <f t="shared" si="0"/>
        <v>78000</v>
      </c>
      <c r="K24" s="16"/>
    </row>
    <row r="25" spans="2:11" s="3" customFormat="1" ht="18">
      <c r="B25" s="158" t="s">
        <v>128</v>
      </c>
      <c r="C25" s="157"/>
      <c r="D25" s="159"/>
      <c r="E25" s="204" t="s">
        <v>71</v>
      </c>
      <c r="F25" s="205"/>
      <c r="G25" s="168">
        <v>10</v>
      </c>
      <c r="H25" s="123" t="s">
        <v>6</v>
      </c>
      <c r="I25" s="169">
        <v>13000</v>
      </c>
      <c r="J25" s="170">
        <f t="shared" si="0"/>
        <v>130000</v>
      </c>
      <c r="K25" s="16"/>
    </row>
    <row r="26" spans="2:11" s="3" customFormat="1" ht="18">
      <c r="B26" s="208" t="s">
        <v>110</v>
      </c>
      <c r="C26" s="209"/>
      <c r="D26" s="210"/>
      <c r="E26" s="204" t="s">
        <v>73</v>
      </c>
      <c r="F26" s="205"/>
      <c r="G26" s="168">
        <v>7</v>
      </c>
      <c r="H26" s="123" t="s">
        <v>6</v>
      </c>
      <c r="I26" s="169">
        <v>13000</v>
      </c>
      <c r="J26" s="170">
        <f t="shared" si="0"/>
        <v>91000</v>
      </c>
      <c r="K26" s="16"/>
    </row>
    <row r="27" spans="2:11" s="3" customFormat="1" ht="18">
      <c r="B27" s="158" t="s">
        <v>86</v>
      </c>
      <c r="C27" s="157"/>
      <c r="D27" s="159"/>
      <c r="E27" s="204" t="s">
        <v>75</v>
      </c>
      <c r="F27" s="205"/>
      <c r="G27" s="168">
        <v>1250</v>
      </c>
      <c r="H27" s="123" t="s">
        <v>81</v>
      </c>
      <c r="I27" s="169">
        <v>400</v>
      </c>
      <c r="J27" s="170">
        <f t="shared" si="0"/>
        <v>500000</v>
      </c>
      <c r="K27" s="16"/>
    </row>
    <row r="28" spans="2:11" s="3" customFormat="1" ht="18">
      <c r="B28" s="158" t="s">
        <v>107</v>
      </c>
      <c r="C28" s="157"/>
      <c r="D28" s="159"/>
      <c r="E28" s="204" t="s">
        <v>82</v>
      </c>
      <c r="F28" s="205"/>
      <c r="G28" s="168">
        <v>6</v>
      </c>
      <c r="H28" s="123" t="s">
        <v>6</v>
      </c>
      <c r="I28" s="169">
        <v>13000</v>
      </c>
      <c r="J28" s="170">
        <f t="shared" si="0"/>
        <v>78000</v>
      </c>
      <c r="K28" s="16"/>
    </row>
    <row r="29" spans="2:11" s="3" customFormat="1" ht="18">
      <c r="B29" s="158" t="s">
        <v>83</v>
      </c>
      <c r="C29" s="157"/>
      <c r="D29" s="159"/>
      <c r="E29" s="204" t="s">
        <v>70</v>
      </c>
      <c r="F29" s="205"/>
      <c r="G29" s="168">
        <v>1</v>
      </c>
      <c r="H29" s="123" t="s">
        <v>6</v>
      </c>
      <c r="I29" s="169">
        <v>13000</v>
      </c>
      <c r="J29" s="170">
        <f t="shared" si="0"/>
        <v>13000</v>
      </c>
      <c r="K29" s="16"/>
    </row>
    <row r="30" spans="2:11" s="3" customFormat="1" ht="18">
      <c r="B30" s="208" t="s">
        <v>109</v>
      </c>
      <c r="C30" s="209"/>
      <c r="D30" s="210"/>
      <c r="E30" s="204" t="s">
        <v>113</v>
      </c>
      <c r="F30" s="205"/>
      <c r="G30" s="168">
        <f>Hoja1!E5*Hoja1!$C$2</f>
        <v>28000</v>
      </c>
      <c r="H30" s="123" t="s">
        <v>44</v>
      </c>
      <c r="I30" s="169">
        <v>55</v>
      </c>
      <c r="J30" s="170">
        <f>G30*I30</f>
        <v>1540000</v>
      </c>
      <c r="K30" s="16"/>
    </row>
    <row r="31" spans="2:11" s="3" customFormat="1" ht="18">
      <c r="B31" s="158" t="s">
        <v>62</v>
      </c>
      <c r="C31" s="157"/>
      <c r="D31" s="159"/>
      <c r="E31" s="204" t="s">
        <v>113</v>
      </c>
      <c r="F31" s="205"/>
      <c r="G31" s="168">
        <f>Hoja1!E6*Hoja1!$C$2</f>
        <v>28000</v>
      </c>
      <c r="H31" s="123" t="s">
        <v>44</v>
      </c>
      <c r="I31" s="169">
        <v>10</v>
      </c>
      <c r="J31" s="170">
        <f t="shared" si="0"/>
        <v>280000</v>
      </c>
      <c r="K31" s="16"/>
    </row>
    <row r="32" spans="2:11" ht="18">
      <c r="B32" s="283" t="s">
        <v>20</v>
      </c>
      <c r="C32" s="284"/>
      <c r="D32" s="284"/>
      <c r="E32" s="284"/>
      <c r="F32" s="284"/>
      <c r="G32" s="284"/>
      <c r="H32" s="284"/>
      <c r="I32" s="284"/>
      <c r="J32" s="90">
        <f>SUM(J22:J31)</f>
        <v>3400000</v>
      </c>
      <c r="K32" s="16"/>
    </row>
    <row r="33" spans="2:11" s="3" customFormat="1" ht="18">
      <c r="B33" s="20"/>
      <c r="C33" s="20"/>
      <c r="D33" s="20"/>
      <c r="E33" s="20"/>
      <c r="F33" s="20"/>
      <c r="G33" s="178"/>
      <c r="H33" s="20"/>
      <c r="I33" s="20"/>
      <c r="J33" s="179"/>
      <c r="K33" s="16"/>
    </row>
    <row r="34" spans="2:11" s="28" customFormat="1" ht="18">
      <c r="B34" s="277" t="s">
        <v>21</v>
      </c>
      <c r="C34" s="278"/>
      <c r="D34" s="278"/>
      <c r="E34" s="218"/>
      <c r="F34" s="218"/>
      <c r="G34" s="106"/>
      <c r="H34" s="107"/>
      <c r="I34" s="108"/>
      <c r="J34" s="186"/>
      <c r="K34" s="16"/>
    </row>
    <row r="35" spans="2:11" s="3" customFormat="1" ht="18">
      <c r="B35" s="279" t="s">
        <v>61</v>
      </c>
      <c r="C35" s="280"/>
      <c r="D35" s="280"/>
      <c r="E35" s="281" t="s">
        <v>96</v>
      </c>
      <c r="F35" s="282"/>
      <c r="G35" s="171">
        <v>10</v>
      </c>
      <c r="H35" s="172" t="s">
        <v>63</v>
      </c>
      <c r="I35" s="173">
        <v>15000</v>
      </c>
      <c r="J35" s="174">
        <f aca="true" t="shared" si="1" ref="J35:J40">G35*I35</f>
        <v>150000</v>
      </c>
      <c r="K35" s="16"/>
    </row>
    <row r="36" spans="2:11" s="3" customFormat="1" ht="18">
      <c r="B36" s="187" t="s">
        <v>74</v>
      </c>
      <c r="C36" s="188"/>
      <c r="D36" s="188"/>
      <c r="E36" s="204" t="s">
        <v>89</v>
      </c>
      <c r="F36" s="205"/>
      <c r="G36" s="175">
        <v>2</v>
      </c>
      <c r="H36" s="168" t="s">
        <v>63</v>
      </c>
      <c r="I36" s="176">
        <v>35000</v>
      </c>
      <c r="J36" s="169">
        <f t="shared" si="1"/>
        <v>70000</v>
      </c>
      <c r="K36" s="16"/>
    </row>
    <row r="37" spans="2:11" s="3" customFormat="1" ht="18">
      <c r="B37" s="187" t="s">
        <v>87</v>
      </c>
      <c r="C37" s="188"/>
      <c r="D37" s="188"/>
      <c r="E37" s="204" t="s">
        <v>91</v>
      </c>
      <c r="F37" s="205"/>
      <c r="G37" s="175">
        <v>2</v>
      </c>
      <c r="H37" s="168" t="s">
        <v>63</v>
      </c>
      <c r="I37" s="176">
        <v>30000</v>
      </c>
      <c r="J37" s="169">
        <f t="shared" si="1"/>
        <v>60000</v>
      </c>
      <c r="K37" s="16"/>
    </row>
    <row r="38" spans="2:11" s="3" customFormat="1" ht="18">
      <c r="B38" s="187" t="s">
        <v>88</v>
      </c>
      <c r="C38" s="188"/>
      <c r="D38" s="188"/>
      <c r="E38" s="204" t="s">
        <v>91</v>
      </c>
      <c r="F38" s="205"/>
      <c r="G38" s="175">
        <v>2</v>
      </c>
      <c r="H38" s="168" t="s">
        <v>63</v>
      </c>
      <c r="I38" s="176">
        <v>20000</v>
      </c>
      <c r="J38" s="169">
        <f t="shared" si="1"/>
        <v>40000</v>
      </c>
      <c r="K38" s="16"/>
    </row>
    <row r="39" spans="2:11" s="3" customFormat="1" ht="18">
      <c r="B39" s="187" t="s">
        <v>127</v>
      </c>
      <c r="C39" s="188"/>
      <c r="D39" s="188"/>
      <c r="E39" s="204" t="s">
        <v>70</v>
      </c>
      <c r="F39" s="205"/>
      <c r="G39" s="168">
        <f>Hoja1!E7*Hoja1!$C$2</f>
        <v>28000</v>
      </c>
      <c r="H39" s="168" t="s">
        <v>44</v>
      </c>
      <c r="I39" s="176">
        <v>6</v>
      </c>
      <c r="J39" s="169">
        <f t="shared" si="1"/>
        <v>168000</v>
      </c>
      <c r="K39" s="16"/>
    </row>
    <row r="40" spans="2:11" s="3" customFormat="1" ht="18">
      <c r="B40" s="208" t="s">
        <v>98</v>
      </c>
      <c r="C40" s="209"/>
      <c r="D40" s="209"/>
      <c r="E40" s="204" t="s">
        <v>70</v>
      </c>
      <c r="F40" s="205"/>
      <c r="G40" s="168">
        <f>Hoja1!E8*Hoja1!$C$2</f>
        <v>28000</v>
      </c>
      <c r="H40" s="168" t="s">
        <v>44</v>
      </c>
      <c r="I40" s="176">
        <v>7</v>
      </c>
      <c r="J40" s="177">
        <f t="shared" si="1"/>
        <v>196000</v>
      </c>
      <c r="K40" s="16"/>
    </row>
    <row r="41" spans="2:12" ht="18">
      <c r="B41" s="283" t="s">
        <v>22</v>
      </c>
      <c r="C41" s="284"/>
      <c r="D41" s="284"/>
      <c r="E41" s="284"/>
      <c r="F41" s="284"/>
      <c r="G41" s="284"/>
      <c r="H41" s="284"/>
      <c r="I41" s="284"/>
      <c r="J41" s="116">
        <f>SUM(J35:J40)</f>
        <v>684000</v>
      </c>
      <c r="K41" s="16"/>
      <c r="L41" s="16"/>
    </row>
    <row r="42" spans="2:12" s="3" customFormat="1" ht="18">
      <c r="B42" s="83"/>
      <c r="C42" s="83"/>
      <c r="D42" s="83"/>
      <c r="E42" s="83"/>
      <c r="F42" s="83"/>
      <c r="G42" s="25" t="s">
        <v>64</v>
      </c>
      <c r="H42" s="83"/>
      <c r="I42" s="83"/>
      <c r="J42" s="27"/>
      <c r="K42" s="16"/>
      <c r="L42" s="19"/>
    </row>
    <row r="43" spans="2:12" s="3" customFormat="1" ht="21">
      <c r="B43" s="277" t="s">
        <v>123</v>
      </c>
      <c r="C43" s="278"/>
      <c r="D43" s="278"/>
      <c r="E43" s="218"/>
      <c r="F43" s="218"/>
      <c r="G43" s="106"/>
      <c r="H43" s="107"/>
      <c r="I43" s="108"/>
      <c r="J43" s="109"/>
      <c r="K43" s="16"/>
      <c r="L43" s="24"/>
    </row>
    <row r="44" spans="2:12" s="3" customFormat="1" ht="18">
      <c r="B44" s="189" t="s">
        <v>41</v>
      </c>
      <c r="C44" s="190"/>
      <c r="D44" s="191"/>
      <c r="E44" s="206"/>
      <c r="F44" s="205"/>
      <c r="G44" s="124"/>
      <c r="H44" s="125"/>
      <c r="I44" s="126"/>
      <c r="J44" s="11"/>
      <c r="K44" s="16"/>
      <c r="L44" s="24"/>
    </row>
    <row r="45" spans="2:12" s="3" customFormat="1" ht="18">
      <c r="B45" s="198" t="s">
        <v>129</v>
      </c>
      <c r="C45" s="199"/>
      <c r="D45" s="200"/>
      <c r="E45" s="206" t="s">
        <v>90</v>
      </c>
      <c r="F45" s="207"/>
      <c r="G45" s="80">
        <v>150</v>
      </c>
      <c r="H45" s="123" t="s">
        <v>44</v>
      </c>
      <c r="I45" s="126">
        <v>330</v>
      </c>
      <c r="J45" s="11">
        <f>G45*I45</f>
        <v>49500</v>
      </c>
      <c r="K45" s="16"/>
      <c r="L45" s="24"/>
    </row>
    <row r="46" spans="2:12" s="3" customFormat="1" ht="18">
      <c r="B46" s="201" t="s">
        <v>130</v>
      </c>
      <c r="C46" s="202"/>
      <c r="D46" s="203"/>
      <c r="E46" s="204" t="s">
        <v>116</v>
      </c>
      <c r="F46" s="205"/>
      <c r="G46" s="80">
        <v>100</v>
      </c>
      <c r="H46" s="123" t="s">
        <v>44</v>
      </c>
      <c r="I46" s="126">
        <v>321</v>
      </c>
      <c r="J46" s="11">
        <f aca="true" t="shared" si="2" ref="J46:J90">G46*I46</f>
        <v>32100</v>
      </c>
      <c r="K46" s="16"/>
      <c r="L46" s="24"/>
    </row>
    <row r="47" spans="2:12" s="3" customFormat="1" ht="18">
      <c r="B47" s="201" t="s">
        <v>131</v>
      </c>
      <c r="C47" s="202"/>
      <c r="D47" s="203"/>
      <c r="E47" s="204" t="s">
        <v>95</v>
      </c>
      <c r="F47" s="205"/>
      <c r="G47" s="80">
        <v>150</v>
      </c>
      <c r="H47" s="123" t="s">
        <v>44</v>
      </c>
      <c r="I47" s="126">
        <v>713</v>
      </c>
      <c r="J47" s="11">
        <f t="shared" si="2"/>
        <v>106950</v>
      </c>
      <c r="K47" s="16"/>
      <c r="L47" s="24"/>
    </row>
    <row r="48" spans="2:12" s="3" customFormat="1" ht="18">
      <c r="B48" s="134"/>
      <c r="C48" s="135"/>
      <c r="D48" s="136"/>
      <c r="E48" s="133"/>
      <c r="F48" s="155"/>
      <c r="G48" s="80"/>
      <c r="H48" s="123"/>
      <c r="I48" s="126"/>
      <c r="J48" s="11"/>
      <c r="K48" s="16"/>
      <c r="L48" s="24"/>
    </row>
    <row r="49" spans="2:12" s="3" customFormat="1" ht="18">
      <c r="B49" s="195" t="s">
        <v>42</v>
      </c>
      <c r="C49" s="196"/>
      <c r="D49" s="197"/>
      <c r="E49" s="204"/>
      <c r="F49" s="205"/>
      <c r="G49" s="80"/>
      <c r="H49" s="123"/>
      <c r="I49" s="126"/>
      <c r="J49" s="11"/>
      <c r="K49" s="16"/>
      <c r="L49" s="24"/>
    </row>
    <row r="50" spans="2:12" s="3" customFormat="1" ht="18">
      <c r="B50" s="134" t="s">
        <v>132</v>
      </c>
      <c r="C50" s="135"/>
      <c r="D50" s="136"/>
      <c r="E50" s="204" t="s">
        <v>80</v>
      </c>
      <c r="F50" s="205"/>
      <c r="G50" s="80">
        <v>3</v>
      </c>
      <c r="H50" s="123" t="s">
        <v>40</v>
      </c>
      <c r="I50" s="126">
        <v>3721</v>
      </c>
      <c r="J50" s="11">
        <f t="shared" si="2"/>
        <v>11163</v>
      </c>
      <c r="K50" s="16"/>
      <c r="L50" s="24"/>
    </row>
    <row r="51" spans="2:12" s="3" customFormat="1" ht="18">
      <c r="B51" s="134" t="s">
        <v>133</v>
      </c>
      <c r="C51" s="135"/>
      <c r="D51" s="136"/>
      <c r="E51" s="204" t="s">
        <v>92</v>
      </c>
      <c r="F51" s="205"/>
      <c r="G51" s="80">
        <v>40</v>
      </c>
      <c r="H51" s="123" t="s">
        <v>44</v>
      </c>
      <c r="I51" s="126">
        <v>1237</v>
      </c>
      <c r="J51" s="11">
        <f t="shared" si="2"/>
        <v>49480</v>
      </c>
      <c r="K51" s="16"/>
      <c r="L51" s="24"/>
    </row>
    <row r="52" spans="2:12" s="3" customFormat="1" ht="18">
      <c r="B52" s="134" t="s">
        <v>134</v>
      </c>
      <c r="C52" s="135"/>
      <c r="D52" s="136"/>
      <c r="E52" s="204" t="s">
        <v>100</v>
      </c>
      <c r="F52" s="205"/>
      <c r="G52" s="80">
        <v>5</v>
      </c>
      <c r="H52" s="123" t="s">
        <v>44</v>
      </c>
      <c r="I52" s="126">
        <v>6396</v>
      </c>
      <c r="J52" s="11">
        <f t="shared" si="2"/>
        <v>31980</v>
      </c>
      <c r="K52" s="16"/>
      <c r="L52" s="24"/>
    </row>
    <row r="53" spans="2:12" s="3" customFormat="1" ht="18">
      <c r="B53" s="134" t="s">
        <v>135</v>
      </c>
      <c r="C53" s="135"/>
      <c r="D53" s="136"/>
      <c r="E53" s="204" t="s">
        <v>93</v>
      </c>
      <c r="F53" s="205"/>
      <c r="G53" s="80">
        <v>5</v>
      </c>
      <c r="H53" s="123" t="s">
        <v>44</v>
      </c>
      <c r="I53" s="126">
        <v>54500</v>
      </c>
      <c r="J53" s="11">
        <f t="shared" si="2"/>
        <v>272500</v>
      </c>
      <c r="K53" s="16"/>
      <c r="L53" s="24"/>
    </row>
    <row r="54" spans="2:12" s="3" customFormat="1" ht="18">
      <c r="B54" s="134" t="s">
        <v>136</v>
      </c>
      <c r="C54" s="135"/>
      <c r="D54" s="136"/>
      <c r="E54" s="204" t="s">
        <v>101</v>
      </c>
      <c r="F54" s="205"/>
      <c r="G54" s="80">
        <v>1</v>
      </c>
      <c r="H54" s="123" t="s">
        <v>44</v>
      </c>
      <c r="I54" s="126">
        <v>172847</v>
      </c>
      <c r="J54" s="11">
        <f t="shared" si="2"/>
        <v>172847</v>
      </c>
      <c r="K54" s="16"/>
      <c r="L54" s="24"/>
    </row>
    <row r="55" spans="2:12" s="3" customFormat="1" ht="18">
      <c r="B55" s="134" t="s">
        <v>137</v>
      </c>
      <c r="C55" s="135"/>
      <c r="D55" s="136"/>
      <c r="E55" s="204" t="s">
        <v>119</v>
      </c>
      <c r="F55" s="205"/>
      <c r="G55" s="80">
        <v>0.5</v>
      </c>
      <c r="H55" s="123" t="s">
        <v>40</v>
      </c>
      <c r="I55" s="126">
        <v>138852</v>
      </c>
      <c r="J55" s="11">
        <f t="shared" si="2"/>
        <v>69426</v>
      </c>
      <c r="K55" s="16"/>
      <c r="L55" s="24"/>
    </row>
    <row r="56" spans="2:12" s="3" customFormat="1" ht="18">
      <c r="B56" s="134"/>
      <c r="C56" s="135"/>
      <c r="D56" s="136"/>
      <c r="E56" s="204"/>
      <c r="F56" s="205"/>
      <c r="G56" s="80"/>
      <c r="H56" s="123"/>
      <c r="I56" s="126"/>
      <c r="J56" s="11"/>
      <c r="K56" s="16"/>
      <c r="L56" s="24"/>
    </row>
    <row r="57" spans="2:13" s="3" customFormat="1" ht="18">
      <c r="B57" s="195" t="s">
        <v>43</v>
      </c>
      <c r="C57" s="196"/>
      <c r="D57" s="197"/>
      <c r="E57" s="204"/>
      <c r="F57" s="205"/>
      <c r="G57" s="80"/>
      <c r="H57" s="123"/>
      <c r="I57" s="126"/>
      <c r="J57" s="11"/>
      <c r="K57" s="16"/>
      <c r="L57" s="24"/>
      <c r="M57" s="3" t="s">
        <v>97</v>
      </c>
    </row>
    <row r="58" spans="2:12" s="3" customFormat="1" ht="18">
      <c r="B58" s="192" t="s">
        <v>148</v>
      </c>
      <c r="C58" s="193"/>
      <c r="D58" s="194"/>
      <c r="E58" s="204" t="s">
        <v>94</v>
      </c>
      <c r="F58" s="205"/>
      <c r="G58" s="124">
        <v>30</v>
      </c>
      <c r="H58" s="125" t="s">
        <v>40</v>
      </c>
      <c r="I58" s="126">
        <v>3172</v>
      </c>
      <c r="J58" s="11">
        <f t="shared" si="2"/>
        <v>95160</v>
      </c>
      <c r="K58" s="16"/>
      <c r="L58" s="24"/>
    </row>
    <row r="59" spans="2:12" s="3" customFormat="1" ht="18">
      <c r="B59" s="192" t="s">
        <v>138</v>
      </c>
      <c r="C59" s="193"/>
      <c r="D59" s="194"/>
      <c r="E59" s="204" t="s">
        <v>93</v>
      </c>
      <c r="F59" s="205"/>
      <c r="G59" s="124">
        <v>0.5</v>
      </c>
      <c r="H59" s="125" t="s">
        <v>40</v>
      </c>
      <c r="I59" s="126">
        <v>32000</v>
      </c>
      <c r="J59" s="11">
        <f t="shared" si="2"/>
        <v>16000</v>
      </c>
      <c r="K59" s="16"/>
      <c r="L59" s="24"/>
    </row>
    <row r="60" spans="2:12" s="3" customFormat="1" ht="18">
      <c r="B60" s="192" t="s">
        <v>139</v>
      </c>
      <c r="C60" s="193"/>
      <c r="D60" s="194"/>
      <c r="E60" s="204" t="s">
        <v>93</v>
      </c>
      <c r="F60" s="205"/>
      <c r="G60" s="124">
        <v>2</v>
      </c>
      <c r="H60" s="125" t="s">
        <v>44</v>
      </c>
      <c r="I60" s="126">
        <v>25500</v>
      </c>
      <c r="J60" s="11">
        <f t="shared" si="2"/>
        <v>51000</v>
      </c>
      <c r="K60" s="16"/>
      <c r="L60" s="24"/>
    </row>
    <row r="61" spans="2:12" s="3" customFormat="1" ht="18">
      <c r="B61" s="192" t="s">
        <v>140</v>
      </c>
      <c r="C61" s="193"/>
      <c r="D61" s="194"/>
      <c r="E61" s="204" t="s">
        <v>75</v>
      </c>
      <c r="F61" s="205"/>
      <c r="G61" s="124">
        <v>2</v>
      </c>
      <c r="H61" s="125" t="s">
        <v>40</v>
      </c>
      <c r="I61" s="126">
        <v>82814</v>
      </c>
      <c r="J61" s="11">
        <f t="shared" si="2"/>
        <v>165628</v>
      </c>
      <c r="K61" s="16"/>
      <c r="L61" s="24"/>
    </row>
    <row r="62" spans="2:12" s="3" customFormat="1" ht="18">
      <c r="B62" s="192" t="s">
        <v>141</v>
      </c>
      <c r="C62" s="193"/>
      <c r="D62" s="194"/>
      <c r="E62" s="204" t="s">
        <v>101</v>
      </c>
      <c r="F62" s="205"/>
      <c r="G62" s="124">
        <v>2</v>
      </c>
      <c r="H62" s="125" t="s">
        <v>40</v>
      </c>
      <c r="I62" s="126">
        <v>98879</v>
      </c>
      <c r="J62" s="11">
        <f t="shared" si="2"/>
        <v>197758</v>
      </c>
      <c r="K62" s="16"/>
      <c r="L62" s="24"/>
    </row>
    <row r="63" spans="2:12" s="3" customFormat="1" ht="18">
      <c r="B63" s="192" t="s">
        <v>142</v>
      </c>
      <c r="C63" s="193"/>
      <c r="D63" s="194"/>
      <c r="E63" s="204" t="s">
        <v>102</v>
      </c>
      <c r="F63" s="205"/>
      <c r="G63" s="124">
        <v>2</v>
      </c>
      <c r="H63" s="125" t="s">
        <v>40</v>
      </c>
      <c r="I63" s="126">
        <v>4672</v>
      </c>
      <c r="J63" s="11">
        <f t="shared" si="2"/>
        <v>9344</v>
      </c>
      <c r="K63" s="16"/>
      <c r="L63" s="24"/>
    </row>
    <row r="64" spans="2:12" s="3" customFormat="1" ht="18">
      <c r="B64" s="192" t="s">
        <v>143</v>
      </c>
      <c r="C64" s="193"/>
      <c r="D64" s="194"/>
      <c r="E64" s="204" t="s">
        <v>100</v>
      </c>
      <c r="F64" s="205"/>
      <c r="G64" s="124">
        <v>1</v>
      </c>
      <c r="H64" s="125" t="s">
        <v>44</v>
      </c>
      <c r="I64" s="126">
        <v>42464</v>
      </c>
      <c r="J64" s="11">
        <f t="shared" si="2"/>
        <v>42464</v>
      </c>
      <c r="K64" s="16"/>
      <c r="L64" s="24"/>
    </row>
    <row r="65" spans="2:12" s="3" customFormat="1" ht="18">
      <c r="B65" s="192" t="s">
        <v>144</v>
      </c>
      <c r="C65" s="193"/>
      <c r="D65" s="194"/>
      <c r="E65" s="204" t="s">
        <v>104</v>
      </c>
      <c r="F65" s="205"/>
      <c r="G65" s="124">
        <v>0.5</v>
      </c>
      <c r="H65" s="125" t="s">
        <v>44</v>
      </c>
      <c r="I65" s="126">
        <v>59500</v>
      </c>
      <c r="J65" s="11">
        <f t="shared" si="2"/>
        <v>29750</v>
      </c>
      <c r="K65" s="16"/>
      <c r="L65" s="24"/>
    </row>
    <row r="66" spans="2:12" s="3" customFormat="1" ht="18">
      <c r="B66" s="192" t="s">
        <v>145</v>
      </c>
      <c r="C66" s="193"/>
      <c r="D66" s="194"/>
      <c r="E66" s="204" t="s">
        <v>120</v>
      </c>
      <c r="F66" s="205"/>
      <c r="G66" s="124">
        <v>0.5</v>
      </c>
      <c r="H66" s="125" t="s">
        <v>40</v>
      </c>
      <c r="I66" s="126">
        <v>389456</v>
      </c>
      <c r="J66" s="11">
        <f t="shared" si="2"/>
        <v>194728</v>
      </c>
      <c r="K66" s="16"/>
      <c r="L66" s="24"/>
    </row>
    <row r="67" spans="2:12" s="3" customFormat="1" ht="18">
      <c r="B67" s="134"/>
      <c r="C67" s="135"/>
      <c r="D67" s="136"/>
      <c r="E67" s="128"/>
      <c r="F67" s="127"/>
      <c r="G67" s="124"/>
      <c r="H67" s="125"/>
      <c r="I67" s="126"/>
      <c r="J67" s="11"/>
      <c r="K67" s="16"/>
      <c r="L67" s="24"/>
    </row>
    <row r="68" spans="2:12" s="3" customFormat="1" ht="18">
      <c r="B68" s="195" t="s">
        <v>59</v>
      </c>
      <c r="C68" s="135"/>
      <c r="D68" s="136"/>
      <c r="E68" s="128"/>
      <c r="F68" s="127"/>
      <c r="G68" s="124"/>
      <c r="H68" s="125"/>
      <c r="I68" s="126"/>
      <c r="J68" s="11"/>
      <c r="K68" s="16"/>
      <c r="L68" s="24"/>
    </row>
    <row r="69" spans="2:12" s="3" customFormat="1" ht="18">
      <c r="B69" s="134" t="s">
        <v>146</v>
      </c>
      <c r="C69" s="135"/>
      <c r="D69" s="136"/>
      <c r="E69" s="204" t="s">
        <v>95</v>
      </c>
      <c r="F69" s="205"/>
      <c r="G69" s="124">
        <v>8</v>
      </c>
      <c r="H69" s="125" t="s">
        <v>40</v>
      </c>
      <c r="I69" s="126">
        <v>3900</v>
      </c>
      <c r="J69" s="11">
        <f t="shared" si="2"/>
        <v>31200</v>
      </c>
      <c r="K69" s="16"/>
      <c r="L69" s="24"/>
    </row>
    <row r="70" spans="2:12" s="3" customFormat="1" ht="18">
      <c r="B70" s="134"/>
      <c r="C70" s="135"/>
      <c r="D70" s="136"/>
      <c r="E70" s="132"/>
      <c r="F70" s="131"/>
      <c r="G70" s="124"/>
      <c r="H70" s="125"/>
      <c r="I70" s="126"/>
      <c r="J70" s="11"/>
      <c r="K70" s="16"/>
      <c r="L70" s="24"/>
    </row>
    <row r="71" spans="2:12" s="3" customFormat="1" ht="18">
      <c r="B71" s="195" t="s">
        <v>163</v>
      </c>
      <c r="C71" s="135"/>
      <c r="D71" s="136"/>
      <c r="E71" s="132"/>
      <c r="F71" s="131"/>
      <c r="G71" s="124"/>
      <c r="H71" s="125"/>
      <c r="I71" s="126"/>
      <c r="J71" s="11"/>
      <c r="K71" s="16"/>
      <c r="L71" s="24"/>
    </row>
    <row r="72" spans="2:12" s="3" customFormat="1" ht="18">
      <c r="B72" s="134" t="s">
        <v>147</v>
      </c>
      <c r="C72" s="135"/>
      <c r="D72" s="136"/>
      <c r="E72" s="204" t="s">
        <v>93</v>
      </c>
      <c r="F72" s="205"/>
      <c r="G72" s="124">
        <v>2</v>
      </c>
      <c r="H72" s="125" t="s">
        <v>40</v>
      </c>
      <c r="I72" s="126">
        <v>9450</v>
      </c>
      <c r="J72" s="11">
        <f t="shared" si="2"/>
        <v>18900</v>
      </c>
      <c r="K72" s="16"/>
      <c r="L72" s="24"/>
    </row>
    <row r="73" spans="2:12" s="3" customFormat="1" ht="18">
      <c r="B73" s="134"/>
      <c r="C73" s="135"/>
      <c r="D73" s="136"/>
      <c r="E73" s="132"/>
      <c r="F73" s="131"/>
      <c r="G73" s="124"/>
      <c r="H73" s="125"/>
      <c r="I73" s="126"/>
      <c r="J73" s="11"/>
      <c r="K73" s="16"/>
      <c r="L73" s="24"/>
    </row>
    <row r="74" spans="2:12" s="3" customFormat="1" ht="18">
      <c r="B74" s="195" t="s">
        <v>164</v>
      </c>
      <c r="C74" s="135"/>
      <c r="D74" s="136"/>
      <c r="E74" s="132"/>
      <c r="F74" s="131"/>
      <c r="G74" s="124"/>
      <c r="H74" s="125"/>
      <c r="I74" s="126"/>
      <c r="J74" s="11"/>
      <c r="K74" s="16"/>
      <c r="L74" s="24"/>
    </row>
    <row r="75" spans="2:12" s="3" customFormat="1" ht="18">
      <c r="B75" s="134" t="s">
        <v>150</v>
      </c>
      <c r="C75" s="135"/>
      <c r="D75" s="136"/>
      <c r="E75" s="204" t="s">
        <v>102</v>
      </c>
      <c r="F75" s="205"/>
      <c r="G75" s="124">
        <v>4</v>
      </c>
      <c r="H75" s="125" t="s">
        <v>40</v>
      </c>
      <c r="I75" s="126">
        <v>8200</v>
      </c>
      <c r="J75" s="11">
        <f t="shared" si="2"/>
        <v>32800</v>
      </c>
      <c r="K75" s="16"/>
      <c r="L75" s="24"/>
    </row>
    <row r="76" spans="2:12" s="3" customFormat="1" ht="18">
      <c r="B76" s="134" t="s">
        <v>151</v>
      </c>
      <c r="C76" s="135"/>
      <c r="D76" s="136"/>
      <c r="E76" s="204" t="s">
        <v>82</v>
      </c>
      <c r="F76" s="205"/>
      <c r="G76" s="124">
        <v>8</v>
      </c>
      <c r="H76" s="125" t="s">
        <v>40</v>
      </c>
      <c r="I76" s="126">
        <v>5623</v>
      </c>
      <c r="J76" s="11">
        <f t="shared" si="2"/>
        <v>44984</v>
      </c>
      <c r="K76" s="16"/>
      <c r="L76" s="24"/>
    </row>
    <row r="77" spans="2:12" s="3" customFormat="1" ht="18">
      <c r="B77" s="134" t="s">
        <v>152</v>
      </c>
      <c r="C77" s="135"/>
      <c r="D77" s="136"/>
      <c r="E77" s="204" t="s">
        <v>82</v>
      </c>
      <c r="F77" s="205"/>
      <c r="G77" s="124">
        <v>6</v>
      </c>
      <c r="H77" s="125" t="s">
        <v>40</v>
      </c>
      <c r="I77" s="126">
        <v>8828</v>
      </c>
      <c r="J77" s="11">
        <f t="shared" si="2"/>
        <v>52968</v>
      </c>
      <c r="K77" s="16"/>
      <c r="L77" s="24"/>
    </row>
    <row r="78" spans="2:12" s="3" customFormat="1" ht="18">
      <c r="B78" s="134" t="s">
        <v>149</v>
      </c>
      <c r="C78" s="135"/>
      <c r="D78" s="136"/>
      <c r="E78" s="204" t="s">
        <v>103</v>
      </c>
      <c r="F78" s="205"/>
      <c r="G78" s="124">
        <v>2.2</v>
      </c>
      <c r="H78" s="125" t="s">
        <v>40</v>
      </c>
      <c r="I78" s="126">
        <v>3521</v>
      </c>
      <c r="J78" s="11">
        <f t="shared" si="2"/>
        <v>7746.200000000001</v>
      </c>
      <c r="K78" s="16"/>
      <c r="L78" s="24"/>
    </row>
    <row r="79" spans="2:12" s="3" customFormat="1" ht="18">
      <c r="B79" s="134" t="s">
        <v>153</v>
      </c>
      <c r="C79" s="135"/>
      <c r="D79" s="136"/>
      <c r="E79" s="204" t="s">
        <v>101</v>
      </c>
      <c r="F79" s="205"/>
      <c r="G79" s="124">
        <v>8</v>
      </c>
      <c r="H79" s="125" t="s">
        <v>40</v>
      </c>
      <c r="I79" s="126">
        <v>7850</v>
      </c>
      <c r="J79" s="11">
        <f t="shared" si="2"/>
        <v>62800</v>
      </c>
      <c r="K79" s="16"/>
      <c r="L79" s="24"/>
    </row>
    <row r="80" spans="2:12" s="3" customFormat="1" ht="18">
      <c r="B80" s="134" t="s">
        <v>154</v>
      </c>
      <c r="C80" s="135"/>
      <c r="D80" s="136"/>
      <c r="E80" s="204" t="s">
        <v>104</v>
      </c>
      <c r="F80" s="205"/>
      <c r="G80" s="124">
        <v>5</v>
      </c>
      <c r="H80" s="125" t="s">
        <v>40</v>
      </c>
      <c r="I80" s="126">
        <v>2718</v>
      </c>
      <c r="J80" s="11">
        <f t="shared" si="2"/>
        <v>13590</v>
      </c>
      <c r="K80" s="16"/>
      <c r="L80" s="24"/>
    </row>
    <row r="81" spans="2:12" s="3" customFormat="1" ht="18">
      <c r="B81" s="134" t="s">
        <v>155</v>
      </c>
      <c r="D81" s="136"/>
      <c r="E81" s="204" t="s">
        <v>120</v>
      </c>
      <c r="F81" s="205"/>
      <c r="G81" s="124">
        <v>5</v>
      </c>
      <c r="H81" s="125" t="s">
        <v>40</v>
      </c>
      <c r="I81" s="126">
        <v>1483</v>
      </c>
      <c r="J81" s="11">
        <f t="shared" si="2"/>
        <v>7415</v>
      </c>
      <c r="K81" s="16"/>
      <c r="L81" s="24"/>
    </row>
    <row r="82" spans="2:12" s="3" customFormat="1" ht="18">
      <c r="B82" s="134" t="s">
        <v>156</v>
      </c>
      <c r="C82" s="135"/>
      <c r="D82" s="136"/>
      <c r="E82" s="204" t="s">
        <v>102</v>
      </c>
      <c r="F82" s="205"/>
      <c r="G82" s="124">
        <v>4</v>
      </c>
      <c r="H82" s="125" t="s">
        <v>40</v>
      </c>
      <c r="I82" s="126">
        <v>4139</v>
      </c>
      <c r="J82" s="11">
        <f t="shared" si="2"/>
        <v>16556</v>
      </c>
      <c r="K82" s="16"/>
      <c r="L82" s="24"/>
    </row>
    <row r="83" spans="2:12" s="3" customFormat="1" ht="18">
      <c r="B83" s="134" t="s">
        <v>162</v>
      </c>
      <c r="C83" s="135"/>
      <c r="D83" s="136"/>
      <c r="E83" s="204" t="s">
        <v>82</v>
      </c>
      <c r="F83" s="205"/>
      <c r="G83" s="124">
        <v>8</v>
      </c>
      <c r="H83" s="125" t="s">
        <v>40</v>
      </c>
      <c r="I83" s="126">
        <v>6000</v>
      </c>
      <c r="J83" s="11">
        <f t="shared" si="2"/>
        <v>48000</v>
      </c>
      <c r="K83" s="16"/>
      <c r="L83" s="24"/>
    </row>
    <row r="84" spans="2:12" s="3" customFormat="1" ht="18">
      <c r="B84" s="198"/>
      <c r="C84" s="199"/>
      <c r="D84" s="200"/>
      <c r="E84" s="121"/>
      <c r="F84" s="120"/>
      <c r="G84" s="124"/>
      <c r="H84" s="125"/>
      <c r="I84" s="126"/>
      <c r="J84" s="11"/>
      <c r="K84" s="16"/>
      <c r="L84" s="24"/>
    </row>
    <row r="85" spans="2:12" s="3" customFormat="1" ht="18">
      <c r="B85" s="189" t="s">
        <v>165</v>
      </c>
      <c r="C85" s="199"/>
      <c r="D85" s="200"/>
      <c r="E85" s="121"/>
      <c r="F85" s="120"/>
      <c r="G85" s="124"/>
      <c r="H85" s="125"/>
      <c r="I85" s="126"/>
      <c r="J85" s="11"/>
      <c r="K85" s="16"/>
      <c r="L85" s="24"/>
    </row>
    <row r="86" spans="2:12" s="3" customFormat="1" ht="18">
      <c r="B86" s="198" t="s">
        <v>157</v>
      </c>
      <c r="C86" s="199"/>
      <c r="D86" s="200"/>
      <c r="E86" s="204" t="s">
        <v>113</v>
      </c>
      <c r="F86" s="205"/>
      <c r="G86" s="124">
        <v>2</v>
      </c>
      <c r="H86" s="125" t="s">
        <v>114</v>
      </c>
      <c r="I86" s="126">
        <v>60000</v>
      </c>
      <c r="J86" s="11">
        <f t="shared" si="2"/>
        <v>120000</v>
      </c>
      <c r="K86" s="16"/>
      <c r="L86" s="24"/>
    </row>
    <row r="87" spans="2:12" s="3" customFormat="1" ht="18">
      <c r="B87" s="198" t="s">
        <v>158</v>
      </c>
      <c r="C87" s="199"/>
      <c r="D87" s="200"/>
      <c r="E87" s="204" t="s">
        <v>92</v>
      </c>
      <c r="F87" s="205"/>
      <c r="G87" s="124">
        <v>4</v>
      </c>
      <c r="H87" s="125" t="s">
        <v>40</v>
      </c>
      <c r="I87" s="126">
        <v>15500</v>
      </c>
      <c r="J87" s="11">
        <f t="shared" si="2"/>
        <v>62000</v>
      </c>
      <c r="K87" s="16"/>
      <c r="L87" s="24"/>
    </row>
    <row r="88" spans="2:12" s="3" customFormat="1" ht="18">
      <c r="B88" s="198" t="s">
        <v>159</v>
      </c>
      <c r="C88" s="199"/>
      <c r="D88" s="200"/>
      <c r="E88" s="204" t="s">
        <v>75</v>
      </c>
      <c r="F88" s="205"/>
      <c r="G88" s="124">
        <v>7</v>
      </c>
      <c r="H88" s="125" t="s">
        <v>44</v>
      </c>
      <c r="I88" s="126">
        <v>5000</v>
      </c>
      <c r="J88" s="11">
        <f t="shared" si="2"/>
        <v>35000</v>
      </c>
      <c r="K88" s="16"/>
      <c r="L88" s="24"/>
    </row>
    <row r="89" spans="2:12" s="3" customFormat="1" ht="18">
      <c r="B89" s="198" t="s">
        <v>160</v>
      </c>
      <c r="C89" s="199"/>
      <c r="D89" s="200"/>
      <c r="E89" s="204" t="s">
        <v>99</v>
      </c>
      <c r="F89" s="205"/>
      <c r="G89" s="124">
        <v>1</v>
      </c>
      <c r="H89" s="125" t="s">
        <v>63</v>
      </c>
      <c r="I89" s="126">
        <v>30000</v>
      </c>
      <c r="J89" s="11">
        <f t="shared" si="2"/>
        <v>30000</v>
      </c>
      <c r="K89" s="16"/>
      <c r="L89" s="24"/>
    </row>
    <row r="90" spans="2:12" s="3" customFormat="1" ht="21">
      <c r="B90" s="201" t="s">
        <v>161</v>
      </c>
      <c r="C90" s="202"/>
      <c r="D90" s="203"/>
      <c r="E90" s="204" t="s">
        <v>82</v>
      </c>
      <c r="F90" s="205"/>
      <c r="G90" s="124">
        <v>1</v>
      </c>
      <c r="H90" s="125" t="s">
        <v>111</v>
      </c>
      <c r="I90" s="126">
        <v>25000</v>
      </c>
      <c r="J90" s="11">
        <f t="shared" si="2"/>
        <v>25000</v>
      </c>
      <c r="K90" s="16"/>
      <c r="L90" s="24"/>
    </row>
    <row r="91" spans="2:14" ht="18">
      <c r="B91" s="223" t="s">
        <v>23</v>
      </c>
      <c r="C91" s="224"/>
      <c r="D91" s="224"/>
      <c r="E91" s="224"/>
      <c r="F91" s="224"/>
      <c r="G91" s="224"/>
      <c r="H91" s="224"/>
      <c r="I91" s="224"/>
      <c r="J91" s="119">
        <f>SUM(J44:J90)</f>
        <v>2206737.2</v>
      </c>
      <c r="K91" s="16"/>
      <c r="M91" s="16"/>
      <c r="N91" s="16"/>
    </row>
    <row r="92" spans="2:14" s="3" customFormat="1" ht="18">
      <c r="B92" s="29"/>
      <c r="C92" s="29"/>
      <c r="D92" s="29"/>
      <c r="E92" s="29"/>
      <c r="F92" s="29"/>
      <c r="G92" s="30"/>
      <c r="H92" s="29"/>
      <c r="I92" s="29"/>
      <c r="J92" s="31"/>
      <c r="K92" s="16"/>
      <c r="M92" s="16"/>
      <c r="N92" s="16"/>
    </row>
    <row r="93" spans="2:16" ht="18">
      <c r="B93" s="275" t="s">
        <v>24</v>
      </c>
      <c r="C93" s="276"/>
      <c r="D93" s="276"/>
      <c r="E93" s="276"/>
      <c r="F93" s="276"/>
      <c r="G93" s="276"/>
      <c r="H93" s="276"/>
      <c r="I93" s="276"/>
      <c r="J93" s="90">
        <f>J32+J41+J91</f>
        <v>6290737.2</v>
      </c>
      <c r="K93" s="16"/>
      <c r="M93" s="16"/>
      <c r="N93" s="16"/>
      <c r="O93" s="10"/>
      <c r="P93" s="10"/>
    </row>
    <row r="94" spans="2:14" s="3" customFormat="1" ht="18">
      <c r="B94" s="84"/>
      <c r="C94" s="84"/>
      <c r="D94" s="84"/>
      <c r="E94" s="84"/>
      <c r="F94" s="84"/>
      <c r="G94" s="32"/>
      <c r="H94" s="84"/>
      <c r="I94" s="84"/>
      <c r="J94" s="27"/>
      <c r="K94" s="16"/>
      <c r="M94" s="16"/>
      <c r="N94" s="16"/>
    </row>
    <row r="95" spans="2:14" s="3" customFormat="1" ht="18">
      <c r="B95" s="180" t="s">
        <v>54</v>
      </c>
      <c r="C95" s="181"/>
      <c r="D95" s="182"/>
      <c r="E95" s="229" t="s">
        <v>99</v>
      </c>
      <c r="F95" s="229"/>
      <c r="G95" s="183">
        <v>0.05</v>
      </c>
      <c r="H95" s="184" t="s">
        <v>1</v>
      </c>
      <c r="I95" s="185"/>
      <c r="J95" s="185">
        <f>J93*G95</f>
        <v>314536.86000000004</v>
      </c>
      <c r="K95" s="16"/>
      <c r="M95" s="16"/>
      <c r="N95" s="16"/>
    </row>
    <row r="96" spans="2:14" s="3" customFormat="1" ht="18">
      <c r="B96" s="129"/>
      <c r="C96" s="129"/>
      <c r="D96" s="129"/>
      <c r="E96" s="129"/>
      <c r="F96" s="129"/>
      <c r="G96" s="32"/>
      <c r="H96" s="129"/>
      <c r="I96" s="129"/>
      <c r="J96" s="27"/>
      <c r="K96" s="16"/>
      <c r="M96" s="16"/>
      <c r="N96" s="16"/>
    </row>
    <row r="97" spans="2:14" s="3" customFormat="1" ht="20.25">
      <c r="B97" s="115" t="s">
        <v>53</v>
      </c>
      <c r="C97" s="114"/>
      <c r="D97" s="114"/>
      <c r="E97" s="20"/>
      <c r="F97" s="20"/>
      <c r="G97" s="21"/>
      <c r="H97" s="22"/>
      <c r="I97" s="23"/>
      <c r="J97" s="23"/>
      <c r="K97" s="16"/>
      <c r="M97" s="16"/>
      <c r="N97" s="16"/>
    </row>
    <row r="98" spans="2:14" s="3" customFormat="1" ht="18">
      <c r="B98" s="217" t="s">
        <v>52</v>
      </c>
      <c r="C98" s="218"/>
      <c r="D98" s="218"/>
      <c r="E98" s="218" t="s">
        <v>15</v>
      </c>
      <c r="F98" s="218"/>
      <c r="G98" s="106" t="s">
        <v>16</v>
      </c>
      <c r="H98" s="107" t="s">
        <v>17</v>
      </c>
      <c r="I98" s="108" t="s">
        <v>18</v>
      </c>
      <c r="J98" s="109" t="s">
        <v>3</v>
      </c>
      <c r="K98" s="16"/>
      <c r="M98" s="16"/>
      <c r="N98" s="16"/>
    </row>
    <row r="99" spans="2:15" s="3" customFormat="1" ht="21">
      <c r="B99" s="208" t="s">
        <v>124</v>
      </c>
      <c r="C99" s="209"/>
      <c r="D99" s="210"/>
      <c r="E99" s="204" t="s">
        <v>99</v>
      </c>
      <c r="F99" s="205"/>
      <c r="G99" s="117">
        <f>E16</f>
        <v>0.015</v>
      </c>
      <c r="H99" s="9" t="s">
        <v>1</v>
      </c>
      <c r="I99" s="118"/>
      <c r="J99" s="11">
        <f>J93*E16*E17*0.5</f>
        <v>566166.348</v>
      </c>
      <c r="K99" s="16"/>
      <c r="L99" s="209"/>
      <c r="M99" s="209"/>
      <c r="N99" s="209"/>
      <c r="O99" s="209"/>
    </row>
    <row r="100" spans="2:14" s="3" customFormat="1" ht="18">
      <c r="B100" s="208" t="s">
        <v>26</v>
      </c>
      <c r="C100" s="209"/>
      <c r="D100" s="210"/>
      <c r="E100" s="219"/>
      <c r="F100" s="220"/>
      <c r="G100" s="91"/>
      <c r="H100" s="91"/>
      <c r="I100" s="91"/>
      <c r="J100" s="93"/>
      <c r="K100" s="16"/>
      <c r="M100" s="16"/>
      <c r="N100" s="16"/>
    </row>
    <row r="101" spans="2:14" s="3" customFormat="1" ht="18">
      <c r="B101" s="208" t="s">
        <v>2</v>
      </c>
      <c r="C101" s="209"/>
      <c r="D101" s="210"/>
      <c r="E101" s="219"/>
      <c r="F101" s="220"/>
      <c r="G101" s="91"/>
      <c r="H101" s="91"/>
      <c r="I101" s="91"/>
      <c r="J101" s="93"/>
      <c r="K101" s="16"/>
      <c r="M101" s="16"/>
      <c r="N101" s="16"/>
    </row>
    <row r="102" spans="2:14" s="3" customFormat="1" ht="18">
      <c r="B102" s="233" t="s">
        <v>27</v>
      </c>
      <c r="C102" s="234"/>
      <c r="D102" s="235"/>
      <c r="E102" s="270"/>
      <c r="F102" s="271"/>
      <c r="G102" s="92"/>
      <c r="H102" s="92"/>
      <c r="I102" s="92"/>
      <c r="J102" s="94"/>
      <c r="K102" s="16"/>
      <c r="M102" s="16"/>
      <c r="N102" s="16"/>
    </row>
    <row r="103" spans="2:14" ht="18">
      <c r="B103" s="227" t="s">
        <v>49</v>
      </c>
      <c r="C103" s="228"/>
      <c r="D103" s="228"/>
      <c r="E103" s="228"/>
      <c r="F103" s="228"/>
      <c r="G103" s="228"/>
      <c r="H103" s="228"/>
      <c r="I103" s="228"/>
      <c r="J103" s="116">
        <f>SUM(J99:J102)</f>
        <v>566166.348</v>
      </c>
      <c r="K103" s="16"/>
      <c r="M103" s="16"/>
      <c r="N103" s="16"/>
    </row>
    <row r="104" spans="2:12" s="3" customFormat="1" ht="18" customHeight="1">
      <c r="B104" s="83"/>
      <c r="C104" s="83"/>
      <c r="D104" s="83"/>
      <c r="E104" s="83"/>
      <c r="F104" s="83"/>
      <c r="G104" s="25"/>
      <c r="H104" s="83"/>
      <c r="I104" s="83"/>
      <c r="J104" s="27"/>
      <c r="K104" s="16"/>
      <c r="L104" s="16"/>
    </row>
    <row r="105" spans="2:12" ht="18" customHeight="1">
      <c r="B105" s="225" t="s">
        <v>28</v>
      </c>
      <c r="C105" s="226"/>
      <c r="D105" s="226"/>
      <c r="E105" s="226"/>
      <c r="F105" s="226"/>
      <c r="G105" s="226"/>
      <c r="H105" s="226"/>
      <c r="I105" s="226"/>
      <c r="J105" s="254">
        <f>J93+J95+J103</f>
        <v>7171440.408000001</v>
      </c>
      <c r="K105" s="16"/>
      <c r="L105" s="16"/>
    </row>
    <row r="106" spans="2:12" s="3" customFormat="1" ht="18" customHeight="1">
      <c r="B106" s="227"/>
      <c r="C106" s="228"/>
      <c r="D106" s="228"/>
      <c r="E106" s="228"/>
      <c r="F106" s="228"/>
      <c r="G106" s="228"/>
      <c r="H106" s="228"/>
      <c r="I106" s="228"/>
      <c r="J106" s="255"/>
      <c r="K106" s="16"/>
      <c r="L106" s="16"/>
    </row>
    <row r="107" spans="2:12" s="3" customFormat="1" ht="18" customHeight="1">
      <c r="B107" s="29"/>
      <c r="C107" s="29"/>
      <c r="D107" s="29"/>
      <c r="E107" s="29"/>
      <c r="F107" s="29"/>
      <c r="G107" s="30"/>
      <c r="H107" s="29"/>
      <c r="I107" s="29"/>
      <c r="J107" s="31"/>
      <c r="K107" s="16"/>
      <c r="L107" s="16"/>
    </row>
    <row r="108" spans="2:12" s="3" customFormat="1" ht="18" customHeight="1">
      <c r="B108" s="83"/>
      <c r="C108" s="83"/>
      <c r="D108" s="83"/>
      <c r="E108" s="83"/>
      <c r="F108" s="83"/>
      <c r="G108" s="25"/>
      <c r="H108" s="83"/>
      <c r="I108" s="83"/>
      <c r="J108" s="27"/>
      <c r="K108" s="16"/>
      <c r="L108" s="16"/>
    </row>
    <row r="109" spans="2:12" s="3" customFormat="1" ht="18" customHeight="1">
      <c r="B109" s="83"/>
      <c r="C109" s="83"/>
      <c r="D109" s="83"/>
      <c r="E109" s="83"/>
      <c r="F109" s="83"/>
      <c r="G109" s="25"/>
      <c r="H109" s="83"/>
      <c r="I109" s="83"/>
      <c r="J109" s="27"/>
      <c r="K109" s="16"/>
      <c r="L109" s="16"/>
    </row>
    <row r="110" spans="2:12" ht="18" customHeight="1">
      <c r="B110" s="263" t="s">
        <v>125</v>
      </c>
      <c r="C110" s="264"/>
      <c r="D110" s="264"/>
      <c r="E110" s="264"/>
      <c r="F110" s="264"/>
      <c r="G110" s="264"/>
      <c r="H110" s="264"/>
      <c r="I110" s="264"/>
      <c r="J110" s="265"/>
      <c r="K110" s="16"/>
      <c r="L110" s="24"/>
    </row>
    <row r="111" spans="2:12" ht="18" customHeight="1">
      <c r="B111" s="267" t="s">
        <v>34</v>
      </c>
      <c r="C111" s="268"/>
      <c r="D111" s="268"/>
      <c r="E111" s="268"/>
      <c r="F111" s="268"/>
      <c r="G111" s="268"/>
      <c r="H111" s="268"/>
      <c r="I111" s="268"/>
      <c r="J111" s="269"/>
      <c r="K111" s="16"/>
      <c r="L111" s="24"/>
    </row>
    <row r="112" spans="2:12" s="3" customFormat="1" ht="18" customHeight="1">
      <c r="B112" s="256" t="s">
        <v>67</v>
      </c>
      <c r="C112" s="256"/>
      <c r="D112" s="256"/>
      <c r="E112" s="272" t="s">
        <v>66</v>
      </c>
      <c r="F112" s="273"/>
      <c r="G112" s="273"/>
      <c r="H112" s="273"/>
      <c r="I112" s="273"/>
      <c r="J112" s="274"/>
      <c r="K112" s="16"/>
      <c r="L112" s="24"/>
    </row>
    <row r="113" spans="2:12" s="3" customFormat="1" ht="18" customHeight="1">
      <c r="B113" s="256"/>
      <c r="C113" s="256"/>
      <c r="D113" s="256"/>
      <c r="E113" s="244">
        <f>G113*0.9</f>
        <v>360</v>
      </c>
      <c r="F113" s="244"/>
      <c r="G113" s="266">
        <v>400</v>
      </c>
      <c r="H113" s="266"/>
      <c r="I113" s="244">
        <f>G113*1.1</f>
        <v>440.00000000000006</v>
      </c>
      <c r="J113" s="244"/>
      <c r="K113" s="16"/>
      <c r="L113" s="24"/>
    </row>
    <row r="114" spans="2:12" s="3" customFormat="1" ht="18" customHeight="1">
      <c r="B114" s="244">
        <f>B115*0.9</f>
        <v>25200</v>
      </c>
      <c r="C114" s="244"/>
      <c r="D114" s="244"/>
      <c r="E114" s="211">
        <f>E$113*$B$114-Hoja1!$C$40</f>
        <v>2149535.5919999992</v>
      </c>
      <c r="F114" s="211"/>
      <c r="G114" s="211">
        <f>G$113*$B$114-Hoja1!$C$40</f>
        <v>3157535.5919999992</v>
      </c>
      <c r="H114" s="211"/>
      <c r="I114" s="211">
        <f>I$113*$B$114-Hoja1!$C$40</f>
        <v>4165535.592000001</v>
      </c>
      <c r="J114" s="211"/>
      <c r="K114" s="16"/>
      <c r="L114" s="24"/>
    </row>
    <row r="115" spans="2:12" s="3" customFormat="1" ht="18" customHeight="1">
      <c r="B115" s="244">
        <f>E13</f>
        <v>28000</v>
      </c>
      <c r="C115" s="244"/>
      <c r="D115" s="244"/>
      <c r="E115" s="211">
        <f>E$113*$B$115-$J$105</f>
        <v>2908559.5919999992</v>
      </c>
      <c r="F115" s="211"/>
      <c r="G115" s="211">
        <f>G$113*$B$115-$J$105</f>
        <v>4028559.5919999992</v>
      </c>
      <c r="H115" s="211"/>
      <c r="I115" s="211">
        <f>I$113*$B$115-$J$105</f>
        <v>5148559.592000001</v>
      </c>
      <c r="J115" s="211"/>
      <c r="K115" s="16"/>
      <c r="L115" s="24"/>
    </row>
    <row r="116" spans="2:12" s="3" customFormat="1" ht="18" customHeight="1">
      <c r="B116" s="244">
        <f>B115*1.1</f>
        <v>30800.000000000004</v>
      </c>
      <c r="C116" s="244"/>
      <c r="D116" s="244"/>
      <c r="E116" s="211">
        <f>E$113*$B$116-Hoja1!$D$40</f>
        <v>3667583.592000001</v>
      </c>
      <c r="F116" s="211"/>
      <c r="G116" s="211">
        <f>G$113*$B$116-Hoja1!$D$40</f>
        <v>4899583.592000001</v>
      </c>
      <c r="H116" s="211"/>
      <c r="I116" s="211">
        <f>I$113*$B$116-Hoja1!$D$40</f>
        <v>6131583.592000003</v>
      </c>
      <c r="J116" s="211"/>
      <c r="K116" s="16"/>
      <c r="L116" s="24"/>
    </row>
    <row r="117" spans="2:12" s="3" customFormat="1" ht="18" customHeight="1">
      <c r="B117" s="34"/>
      <c r="C117" s="34"/>
      <c r="D117" s="35"/>
      <c r="E117" s="35"/>
      <c r="F117" s="35"/>
      <c r="G117" s="36"/>
      <c r="H117" s="12"/>
      <c r="I117" s="15"/>
      <c r="J117" s="15"/>
      <c r="K117" s="16"/>
      <c r="L117" s="24"/>
    </row>
    <row r="118" spans="2:12" s="3" customFormat="1" ht="18" customHeight="1">
      <c r="B118" s="248" t="s">
        <v>126</v>
      </c>
      <c r="C118" s="249"/>
      <c r="D118" s="249"/>
      <c r="E118" s="249"/>
      <c r="F118" s="249"/>
      <c r="G118" s="249"/>
      <c r="H118" s="249"/>
      <c r="I118" s="249"/>
      <c r="J118" s="250"/>
      <c r="K118" s="16"/>
      <c r="L118" s="24"/>
    </row>
    <row r="119" spans="2:12" s="3" customFormat="1" ht="18" customHeight="1">
      <c r="B119" s="251"/>
      <c r="C119" s="252"/>
      <c r="D119" s="252"/>
      <c r="E119" s="252"/>
      <c r="F119" s="252"/>
      <c r="G119" s="252"/>
      <c r="H119" s="252"/>
      <c r="I119" s="252"/>
      <c r="J119" s="253"/>
      <c r="K119" s="16"/>
      <c r="L119" s="24"/>
    </row>
    <row r="120" spans="2:12" s="3" customFormat="1" ht="18" customHeight="1">
      <c r="B120" s="221" t="s">
        <v>67</v>
      </c>
      <c r="C120" s="212"/>
      <c r="D120" s="212"/>
      <c r="E120" s="212">
        <f>B114</f>
        <v>25200</v>
      </c>
      <c r="F120" s="212"/>
      <c r="G120" s="212">
        <f>E13</f>
        <v>28000</v>
      </c>
      <c r="H120" s="212"/>
      <c r="I120" s="212">
        <f>B116</f>
        <v>30800.000000000004</v>
      </c>
      <c r="J120" s="258"/>
      <c r="K120" s="16"/>
      <c r="L120" s="24"/>
    </row>
    <row r="121" spans="2:12" ht="18" customHeight="1">
      <c r="B121" s="222"/>
      <c r="C121" s="213"/>
      <c r="D121" s="213"/>
      <c r="E121" s="213"/>
      <c r="F121" s="213"/>
      <c r="G121" s="213"/>
      <c r="H121" s="213"/>
      <c r="I121" s="213"/>
      <c r="J121" s="259"/>
      <c r="K121" s="16"/>
      <c r="L121" s="24"/>
    </row>
    <row r="122" spans="2:12" ht="18" customHeight="1">
      <c r="B122" s="236" t="s">
        <v>68</v>
      </c>
      <c r="C122" s="237"/>
      <c r="D122" s="237"/>
      <c r="E122" s="240">
        <f>Hoja1!C40/'Uva de mesa'!E120</f>
        <v>274.7009685714286</v>
      </c>
      <c r="F122" s="240"/>
      <c r="G122" s="242">
        <f>$J$105/G120</f>
        <v>256.12287171428574</v>
      </c>
      <c r="H122" s="242"/>
      <c r="I122" s="240">
        <f>Hoja1!D40/'Uva de mesa'!I120</f>
        <v>240.92261064935064</v>
      </c>
      <c r="J122" s="241"/>
      <c r="K122" s="16"/>
      <c r="L122" s="24"/>
    </row>
    <row r="123" spans="2:12" ht="18" customHeight="1">
      <c r="B123" s="238"/>
      <c r="C123" s="239"/>
      <c r="D123" s="239"/>
      <c r="E123" s="242"/>
      <c r="F123" s="242"/>
      <c r="G123" s="242"/>
      <c r="H123" s="242"/>
      <c r="I123" s="242"/>
      <c r="J123" s="243"/>
      <c r="K123" s="16"/>
      <c r="L123" s="24"/>
    </row>
    <row r="124" spans="2:12" ht="18" customHeight="1">
      <c r="B124" s="46"/>
      <c r="C124" s="1"/>
      <c r="D124" s="3"/>
      <c r="E124" s="3"/>
      <c r="F124" s="96"/>
      <c r="G124" s="96"/>
      <c r="H124" s="96"/>
      <c r="I124" s="15"/>
      <c r="J124" s="15"/>
      <c r="K124" s="16"/>
      <c r="L124" s="24"/>
    </row>
    <row r="125" spans="2:11" s="3" customFormat="1" ht="18" customHeight="1">
      <c r="B125" s="214" t="s">
        <v>30</v>
      </c>
      <c r="C125" s="215"/>
      <c r="D125" s="215"/>
      <c r="E125" s="215"/>
      <c r="F125" s="215"/>
      <c r="G125" s="215"/>
      <c r="H125" s="215"/>
      <c r="I125" s="215"/>
      <c r="J125" s="216"/>
      <c r="K125" s="81"/>
    </row>
    <row r="126" spans="2:14" s="3" customFormat="1" ht="18" customHeight="1">
      <c r="B126" s="245" t="s">
        <v>118</v>
      </c>
      <c r="C126" s="246"/>
      <c r="D126" s="246"/>
      <c r="E126" s="246"/>
      <c r="F126" s="246"/>
      <c r="G126" s="246"/>
      <c r="H126" s="246"/>
      <c r="I126" s="246"/>
      <c r="J126" s="247"/>
      <c r="K126" s="81"/>
      <c r="N126" s="97"/>
    </row>
    <row r="127" spans="2:11" s="3" customFormat="1" ht="30.75" customHeight="1">
      <c r="B127" s="245" t="s">
        <v>105</v>
      </c>
      <c r="C127" s="246"/>
      <c r="D127" s="246"/>
      <c r="E127" s="246"/>
      <c r="F127" s="246"/>
      <c r="G127" s="246"/>
      <c r="H127" s="246"/>
      <c r="I127" s="246"/>
      <c r="J127" s="247"/>
      <c r="K127" s="82"/>
    </row>
    <row r="128" spans="2:11" s="3" customFormat="1" ht="18" customHeight="1">
      <c r="B128" s="245" t="s">
        <v>69</v>
      </c>
      <c r="C128" s="246"/>
      <c r="D128" s="246"/>
      <c r="E128" s="246"/>
      <c r="F128" s="246"/>
      <c r="G128" s="246"/>
      <c r="H128" s="246"/>
      <c r="I128" s="246"/>
      <c r="J128" s="247"/>
      <c r="K128" s="81"/>
    </row>
    <row r="129" spans="2:11" s="3" customFormat="1" ht="18" customHeight="1">
      <c r="B129" s="245" t="s">
        <v>58</v>
      </c>
      <c r="C129" s="246"/>
      <c r="D129" s="246"/>
      <c r="E129" s="246"/>
      <c r="F129" s="246"/>
      <c r="G129" s="246"/>
      <c r="H129" s="246"/>
      <c r="I129" s="246"/>
      <c r="J129" s="247"/>
      <c r="K129" s="81"/>
    </row>
    <row r="130" spans="2:11" s="3" customFormat="1" ht="18">
      <c r="B130" s="230" t="s">
        <v>55</v>
      </c>
      <c r="C130" s="231"/>
      <c r="D130" s="231"/>
      <c r="E130" s="231"/>
      <c r="F130" s="231"/>
      <c r="G130" s="231"/>
      <c r="H130" s="231"/>
      <c r="I130" s="231"/>
      <c r="J130" s="232"/>
      <c r="K130" s="81"/>
    </row>
    <row r="131" spans="2:11" s="3" customFormat="1" ht="18" customHeight="1">
      <c r="B131" s="260" t="s">
        <v>56</v>
      </c>
      <c r="C131" s="261"/>
      <c r="D131" s="261"/>
      <c r="E131" s="261"/>
      <c r="F131" s="261"/>
      <c r="G131" s="261"/>
      <c r="H131" s="261"/>
      <c r="I131" s="261"/>
      <c r="J131" s="262"/>
      <c r="K131" s="82"/>
    </row>
    <row r="132" spans="2:11" s="3" customFormat="1" ht="18" customHeight="1">
      <c r="B132" s="37"/>
      <c r="C132" s="38"/>
      <c r="D132" s="38"/>
      <c r="E132" s="38"/>
      <c r="F132" s="38"/>
      <c r="G132" s="38"/>
      <c r="H132" s="38"/>
      <c r="I132" s="38"/>
      <c r="J132" s="38"/>
      <c r="K132" s="33"/>
    </row>
    <row r="133" spans="2:11" s="3" customFormat="1" ht="16.5" customHeight="1">
      <c r="B133" s="39"/>
      <c r="C133" s="39"/>
      <c r="D133" s="39"/>
      <c r="E133" s="39"/>
      <c r="F133" s="39"/>
      <c r="G133" s="40"/>
      <c r="H133" s="39"/>
      <c r="I133" s="39"/>
      <c r="J133" s="39"/>
      <c r="K133" s="10"/>
    </row>
    <row r="134" spans="2:11" s="3" customFormat="1" ht="15">
      <c r="B134" s="4"/>
      <c r="C134" s="4"/>
      <c r="D134" s="4"/>
      <c r="E134" s="4"/>
      <c r="F134" s="4"/>
      <c r="G134" s="5"/>
      <c r="H134" s="4"/>
      <c r="I134" s="4"/>
      <c r="J134" s="4"/>
      <c r="K134" s="10"/>
    </row>
    <row r="135" spans="2:11" s="3" customFormat="1" ht="15">
      <c r="B135" s="6"/>
      <c r="C135" s="6"/>
      <c r="D135" s="6"/>
      <c r="E135" s="6"/>
      <c r="F135" s="6"/>
      <c r="G135" s="7"/>
      <c r="H135" s="6"/>
      <c r="I135" s="6"/>
      <c r="J135" s="6"/>
      <c r="K135" s="10"/>
    </row>
    <row r="136" spans="2:11" s="3" customFormat="1" ht="15">
      <c r="B136" s="6"/>
      <c r="C136" s="6"/>
      <c r="D136" s="6"/>
      <c r="E136" s="6"/>
      <c r="F136" s="6"/>
      <c r="G136" s="7"/>
      <c r="H136" s="6"/>
      <c r="I136" s="6"/>
      <c r="J136" s="6"/>
      <c r="K136" s="10"/>
    </row>
    <row r="137" spans="2:11" s="3" customFormat="1" ht="15">
      <c r="B137" s="6"/>
      <c r="C137" s="6"/>
      <c r="D137" s="6"/>
      <c r="E137" s="6"/>
      <c r="F137" s="6"/>
      <c r="G137" s="7"/>
      <c r="H137" s="6"/>
      <c r="I137" s="6"/>
      <c r="J137" s="6"/>
      <c r="K137" s="10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ht="18">
      <c r="B142" s="56"/>
      <c r="C142" s="56"/>
      <c r="D142" s="57"/>
      <c r="E142" s="57"/>
      <c r="F142" s="58"/>
      <c r="G142" s="58"/>
      <c r="H142" s="58"/>
      <c r="I142" s="67"/>
      <c r="J142" s="67"/>
      <c r="K142" s="69"/>
      <c r="L142" s="67"/>
    </row>
    <row r="143" spans="2:12" ht="18">
      <c r="B143" s="56"/>
      <c r="C143" s="59"/>
      <c r="D143" s="59"/>
      <c r="E143" s="60"/>
      <c r="F143" s="59"/>
      <c r="G143" s="61"/>
      <c r="H143" s="62"/>
      <c r="I143" s="67"/>
      <c r="J143" s="67"/>
      <c r="K143" s="69"/>
      <c r="L143" s="67"/>
    </row>
    <row r="144" spans="2:12" ht="18">
      <c r="B144" s="57"/>
      <c r="C144" s="57"/>
      <c r="D144" s="57"/>
      <c r="E144" s="57"/>
      <c r="F144" s="57"/>
      <c r="G144" s="57"/>
      <c r="H144" s="57"/>
      <c r="I144" s="67"/>
      <c r="J144" s="67"/>
      <c r="K144" s="69"/>
      <c r="L144" s="67"/>
    </row>
    <row r="145" spans="2:12" ht="18">
      <c r="B145" s="56"/>
      <c r="C145" s="57"/>
      <c r="D145" s="57"/>
      <c r="E145" s="57"/>
      <c r="F145" s="57"/>
      <c r="G145" s="57"/>
      <c r="H145" s="57"/>
      <c r="I145" s="67"/>
      <c r="J145" s="67"/>
      <c r="K145" s="69"/>
      <c r="L145" s="67"/>
    </row>
    <row r="146" spans="2:12" ht="18">
      <c r="B146" s="70"/>
      <c r="C146" s="71"/>
      <c r="D146" s="71"/>
      <c r="E146" s="63"/>
      <c r="F146" s="63"/>
      <c r="G146" s="63"/>
      <c r="H146" s="63"/>
      <c r="I146" s="67"/>
      <c r="J146" s="69"/>
      <c r="K146" s="69"/>
      <c r="L146" s="67"/>
    </row>
    <row r="147" spans="2:12" ht="18">
      <c r="B147" s="70"/>
      <c r="C147" s="71"/>
      <c r="D147" s="71"/>
      <c r="E147" s="63"/>
      <c r="F147" s="63"/>
      <c r="G147" s="63"/>
      <c r="H147" s="63"/>
      <c r="I147" s="67"/>
      <c r="J147" s="69"/>
      <c r="K147" s="69"/>
      <c r="L147" s="67"/>
    </row>
    <row r="148" spans="2:12" ht="18">
      <c r="B148" s="64"/>
      <c r="C148" s="65"/>
      <c r="D148" s="65"/>
      <c r="E148" s="64"/>
      <c r="F148" s="64"/>
      <c r="G148" s="64"/>
      <c r="H148" s="66"/>
      <c r="I148" s="67"/>
      <c r="J148" s="67"/>
      <c r="K148" s="69"/>
      <c r="L148" s="67"/>
    </row>
    <row r="149" spans="2:12" ht="18">
      <c r="B149" s="57"/>
      <c r="C149" s="57"/>
      <c r="D149" s="57"/>
      <c r="E149" s="57"/>
      <c r="F149" s="57"/>
      <c r="G149" s="57"/>
      <c r="H149" s="57"/>
      <c r="I149" s="67"/>
      <c r="J149" s="67"/>
      <c r="K149" s="69"/>
      <c r="L149" s="67"/>
    </row>
    <row r="150" spans="2:12" ht="18">
      <c r="B150" s="56"/>
      <c r="C150" s="57"/>
      <c r="D150" s="57"/>
      <c r="E150" s="57"/>
      <c r="F150" s="57"/>
      <c r="G150" s="57"/>
      <c r="H150" s="57"/>
      <c r="I150" s="67"/>
      <c r="J150" s="67"/>
      <c r="K150" s="69"/>
      <c r="L150" s="67"/>
    </row>
    <row r="151" spans="2:12" ht="18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8">
      <c r="B152" s="72"/>
      <c r="C152" s="73"/>
      <c r="D152" s="74"/>
      <c r="E152" s="75"/>
      <c r="F152" s="74"/>
      <c r="G152" s="76"/>
      <c r="H152" s="76"/>
      <c r="I152" s="67"/>
      <c r="J152" s="67"/>
      <c r="K152" s="69"/>
      <c r="L152" s="67"/>
    </row>
    <row r="153" spans="2:12" ht="18">
      <c r="B153" s="257"/>
      <c r="C153" s="257"/>
      <c r="D153" s="74"/>
      <c r="E153" s="75"/>
      <c r="F153" s="74"/>
      <c r="G153" s="76"/>
      <c r="H153" s="76"/>
      <c r="I153" s="67"/>
      <c r="J153" s="67"/>
      <c r="K153" s="69"/>
      <c r="L153" s="67"/>
    </row>
    <row r="154" spans="2:12" ht="18">
      <c r="B154" s="72"/>
      <c r="C154" s="73"/>
      <c r="D154" s="74"/>
      <c r="E154" s="75"/>
      <c r="F154" s="74"/>
      <c r="G154" s="76"/>
      <c r="H154" s="76"/>
      <c r="I154" s="67"/>
      <c r="J154" s="67"/>
      <c r="K154" s="69"/>
      <c r="L154" s="67"/>
    </row>
    <row r="155" spans="2:12" ht="18">
      <c r="B155" s="72"/>
      <c r="C155" s="73"/>
      <c r="D155" s="74"/>
      <c r="E155" s="75"/>
      <c r="F155" s="74"/>
      <c r="G155" s="76"/>
      <c r="H155" s="76"/>
      <c r="I155" s="67"/>
      <c r="J155" s="67"/>
      <c r="K155" s="69"/>
      <c r="L155" s="67"/>
    </row>
    <row r="156" spans="2:12" ht="18">
      <c r="B156" s="72"/>
      <c r="C156" s="73"/>
      <c r="D156" s="74"/>
      <c r="E156" s="75"/>
      <c r="F156" s="74"/>
      <c r="G156" s="76"/>
      <c r="H156" s="76"/>
      <c r="I156" s="67"/>
      <c r="J156" s="67"/>
      <c r="K156" s="69"/>
      <c r="L156" s="67"/>
    </row>
    <row r="157" spans="2:12" ht="18">
      <c r="B157" s="72"/>
      <c r="C157" s="73"/>
      <c r="D157" s="74"/>
      <c r="E157" s="75"/>
      <c r="F157" s="74"/>
      <c r="G157" s="76"/>
      <c r="H157" s="76"/>
      <c r="I157" s="67"/>
      <c r="J157" s="67"/>
      <c r="K157" s="69"/>
      <c r="L157" s="67"/>
    </row>
    <row r="158" spans="2:12" ht="18">
      <c r="B158" s="72"/>
      <c r="C158" s="73"/>
      <c r="D158" s="74"/>
      <c r="E158" s="75"/>
      <c r="F158" s="74"/>
      <c r="G158" s="76"/>
      <c r="H158" s="76"/>
      <c r="I158" s="67"/>
      <c r="J158" s="67"/>
      <c r="K158" s="69"/>
      <c r="L158" s="67"/>
    </row>
    <row r="159" spans="2:12" ht="18">
      <c r="B159" s="72"/>
      <c r="C159" s="73"/>
      <c r="D159" s="74"/>
      <c r="E159" s="75"/>
      <c r="F159" s="74"/>
      <c r="G159" s="76"/>
      <c r="H159" s="76"/>
      <c r="I159" s="67"/>
      <c r="J159" s="67"/>
      <c r="K159" s="69"/>
      <c r="L159" s="67"/>
    </row>
    <row r="160" spans="2:12" ht="18">
      <c r="B160" s="72"/>
      <c r="C160" s="73"/>
      <c r="D160" s="74"/>
      <c r="E160" s="75"/>
      <c r="F160" s="74"/>
      <c r="G160" s="76"/>
      <c r="H160" s="76"/>
      <c r="I160" s="67"/>
      <c r="J160" s="67"/>
      <c r="K160" s="69"/>
      <c r="L160" s="67"/>
    </row>
    <row r="161" spans="2:12" ht="18">
      <c r="B161" s="72"/>
      <c r="C161" s="73"/>
      <c r="D161" s="74"/>
      <c r="E161" s="75"/>
      <c r="F161" s="74"/>
      <c r="G161" s="76"/>
      <c r="H161" s="76"/>
      <c r="I161" s="67"/>
      <c r="J161" s="67"/>
      <c r="K161" s="69"/>
      <c r="L161" s="67"/>
    </row>
    <row r="162" spans="2:12" ht="18">
      <c r="B162" s="72"/>
      <c r="C162" s="73"/>
      <c r="D162" s="74"/>
      <c r="E162" s="75"/>
      <c r="F162" s="74"/>
      <c r="G162" s="76"/>
      <c r="H162" s="76"/>
      <c r="I162" s="67"/>
      <c r="J162" s="67"/>
      <c r="K162" s="69"/>
      <c r="L162" s="67"/>
    </row>
    <row r="163" spans="2:12" ht="18">
      <c r="B163" s="72"/>
      <c r="C163" s="73"/>
      <c r="D163" s="74"/>
      <c r="E163" s="75"/>
      <c r="F163" s="74"/>
      <c r="G163" s="76"/>
      <c r="H163" s="76"/>
      <c r="I163" s="67"/>
      <c r="J163" s="67"/>
      <c r="K163" s="69"/>
      <c r="L163" s="67"/>
    </row>
    <row r="164" spans="2:12" ht="18">
      <c r="B164" s="64"/>
      <c r="C164" s="65"/>
      <c r="D164" s="65"/>
      <c r="E164" s="64"/>
      <c r="F164" s="64"/>
      <c r="G164" s="64"/>
      <c r="H164" s="66"/>
      <c r="I164" s="67"/>
      <c r="J164" s="67"/>
      <c r="K164" s="69"/>
      <c r="L164" s="67"/>
    </row>
    <row r="165" spans="2:12" ht="18">
      <c r="B165" s="57"/>
      <c r="C165" s="57"/>
      <c r="D165" s="57"/>
      <c r="E165" s="57"/>
      <c r="F165" s="57"/>
      <c r="G165" s="57"/>
      <c r="H165" s="57"/>
      <c r="I165" s="67"/>
      <c r="J165" s="67"/>
      <c r="K165" s="69"/>
      <c r="L165" s="67"/>
    </row>
    <row r="166" spans="2:12" ht="18">
      <c r="B166" s="64"/>
      <c r="C166" s="65"/>
      <c r="D166" s="65"/>
      <c r="E166" s="64"/>
      <c r="F166" s="64"/>
      <c r="G166" s="64"/>
      <c r="H166" s="66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77"/>
      <c r="C177" s="77"/>
      <c r="D177" s="77"/>
      <c r="E177" s="77"/>
      <c r="F177" s="7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9"/>
      <c r="D180" s="69"/>
      <c r="E180" s="69"/>
      <c r="F180" s="69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9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9"/>
      <c r="D187" s="69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8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9"/>
      <c r="C200" s="69"/>
      <c r="D200" s="69"/>
      <c r="E200" s="69"/>
      <c r="F200" s="69"/>
      <c r="G200" s="69"/>
      <c r="H200" s="69"/>
      <c r="I200" s="69"/>
      <c r="J200" s="67"/>
      <c r="K200" s="69"/>
      <c r="L200" s="67"/>
    </row>
    <row r="201" spans="2:12" s="3" customFormat="1" ht="15">
      <c r="B201" s="69"/>
      <c r="C201" s="69"/>
      <c r="D201" s="69"/>
      <c r="E201" s="69"/>
      <c r="F201" s="69"/>
      <c r="G201" s="78"/>
      <c r="H201" s="69"/>
      <c r="I201" s="69"/>
      <c r="J201" s="67"/>
      <c r="K201" s="69"/>
      <c r="L201" s="78"/>
    </row>
    <row r="202" spans="2:12" s="3" customFormat="1" ht="15">
      <c r="B202" s="69"/>
      <c r="C202" s="69"/>
      <c r="D202" s="69"/>
      <c r="E202" s="69"/>
      <c r="F202" s="69"/>
      <c r="G202" s="69"/>
      <c r="H202" s="69"/>
      <c r="I202" s="79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9"/>
      <c r="I209" s="69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9"/>
      <c r="I210" s="69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9"/>
      <c r="I211" s="69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9"/>
      <c r="I218" s="69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9"/>
      <c r="I219" s="69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9"/>
      <c r="I220" s="69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ht="1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  <row r="335" spans="2:12" ht="15">
      <c r="B335" s="67"/>
      <c r="C335" s="67"/>
      <c r="D335" s="67"/>
      <c r="E335" s="67"/>
      <c r="F335" s="67"/>
      <c r="G335" s="68"/>
      <c r="H335" s="67"/>
      <c r="I335" s="67"/>
      <c r="J335" s="67"/>
      <c r="K335" s="69"/>
      <c r="L335" s="67"/>
    </row>
    <row r="336" spans="2:12" ht="15">
      <c r="B336" s="67"/>
      <c r="C336" s="67"/>
      <c r="D336" s="67"/>
      <c r="E336" s="67"/>
      <c r="F336" s="67"/>
      <c r="G336" s="68"/>
      <c r="H336" s="67"/>
      <c r="I336" s="67"/>
      <c r="J336" s="67"/>
      <c r="K336" s="69"/>
      <c r="L336" s="67"/>
    </row>
    <row r="337" spans="2:12" ht="15">
      <c r="B337" s="67"/>
      <c r="C337" s="67"/>
      <c r="D337" s="67"/>
      <c r="E337" s="67"/>
      <c r="F337" s="67"/>
      <c r="G337" s="68"/>
      <c r="H337" s="67"/>
      <c r="I337" s="67"/>
      <c r="J337" s="67"/>
      <c r="K337" s="69"/>
      <c r="L337" s="67"/>
    </row>
    <row r="338" spans="2:12" ht="15">
      <c r="B338" s="67"/>
      <c r="C338" s="67"/>
      <c r="D338" s="67"/>
      <c r="E338" s="67"/>
      <c r="F338" s="67"/>
      <c r="G338" s="68"/>
      <c r="H338" s="67"/>
      <c r="I338" s="67"/>
      <c r="J338" s="67"/>
      <c r="K338" s="69"/>
      <c r="L338" s="67"/>
    </row>
    <row r="339" spans="2:12" ht="15">
      <c r="B339" s="67"/>
      <c r="C339" s="67"/>
      <c r="D339" s="67"/>
      <c r="E339" s="67"/>
      <c r="F339" s="67"/>
      <c r="G339" s="68"/>
      <c r="H339" s="67"/>
      <c r="I339" s="67"/>
      <c r="J339" s="67"/>
      <c r="K339" s="69"/>
      <c r="L339" s="67"/>
    </row>
    <row r="340" spans="2:12" ht="15">
      <c r="B340" s="67"/>
      <c r="C340" s="67"/>
      <c r="D340" s="67"/>
      <c r="E340" s="67"/>
      <c r="F340" s="67"/>
      <c r="G340" s="68"/>
      <c r="H340" s="67"/>
      <c r="I340" s="67"/>
      <c r="J340" s="67"/>
      <c r="K340" s="69"/>
      <c r="L340" s="67"/>
    </row>
    <row r="341" spans="2:12" ht="15">
      <c r="B341" s="67"/>
      <c r="C341" s="67"/>
      <c r="D341" s="67"/>
      <c r="E341" s="67"/>
      <c r="F341" s="67"/>
      <c r="G341" s="68"/>
      <c r="H341" s="67"/>
      <c r="I341" s="67"/>
      <c r="J341" s="67"/>
      <c r="K341" s="69"/>
      <c r="L341" s="67"/>
    </row>
    <row r="342" spans="2:12" ht="15">
      <c r="B342" s="67"/>
      <c r="C342" s="67"/>
      <c r="D342" s="67"/>
      <c r="E342" s="67"/>
      <c r="F342" s="67"/>
      <c r="G342" s="68"/>
      <c r="H342" s="67"/>
      <c r="I342" s="67"/>
      <c r="J342" s="67"/>
      <c r="K342" s="69"/>
      <c r="L342" s="67"/>
    </row>
    <row r="343" spans="2:12" ht="15">
      <c r="B343" s="67"/>
      <c r="C343" s="67"/>
      <c r="D343" s="67"/>
      <c r="E343" s="67"/>
      <c r="F343" s="67"/>
      <c r="G343" s="68"/>
      <c r="H343" s="67"/>
      <c r="I343" s="67"/>
      <c r="J343" s="67"/>
      <c r="K343" s="69"/>
      <c r="L343" s="67"/>
    </row>
    <row r="344" spans="2:12" ht="15">
      <c r="B344" s="67"/>
      <c r="C344" s="67"/>
      <c r="D344" s="67"/>
      <c r="E344" s="67"/>
      <c r="F344" s="67"/>
      <c r="G344" s="68"/>
      <c r="H344" s="67"/>
      <c r="I344" s="67"/>
      <c r="J344" s="67"/>
      <c r="K344" s="69"/>
      <c r="L344" s="67"/>
    </row>
    <row r="345" spans="2:12" ht="15">
      <c r="B345" s="67"/>
      <c r="C345" s="67"/>
      <c r="D345" s="67"/>
      <c r="E345" s="67"/>
      <c r="F345" s="67"/>
      <c r="G345" s="68"/>
      <c r="H345" s="67"/>
      <c r="I345" s="67"/>
      <c r="J345" s="67"/>
      <c r="K345" s="69"/>
      <c r="L345" s="67"/>
    </row>
  </sheetData>
  <sheetProtection/>
  <mergeCells count="130">
    <mergeCell ref="E87:F87"/>
    <mergeCell ref="E46:F46"/>
    <mergeCell ref="E86:F86"/>
    <mergeCell ref="E61:F61"/>
    <mergeCell ref="E60:F60"/>
    <mergeCell ref="E75:F75"/>
    <mergeCell ref="E59:F59"/>
    <mergeCell ref="E72:F72"/>
    <mergeCell ref="E64:F64"/>
    <mergeCell ref="E65:F65"/>
    <mergeCell ref="E43:F43"/>
    <mergeCell ref="B2:J2"/>
    <mergeCell ref="E3:G3"/>
    <mergeCell ref="B12:E12"/>
    <mergeCell ref="G12:J12"/>
    <mergeCell ref="D4:H4"/>
    <mergeCell ref="D6:J6"/>
    <mergeCell ref="E20:F20"/>
    <mergeCell ref="B14:D14"/>
    <mergeCell ref="E21:F21"/>
    <mergeCell ref="B26:D26"/>
    <mergeCell ref="E26:F26"/>
    <mergeCell ref="E23:F23"/>
    <mergeCell ref="B24:D24"/>
    <mergeCell ref="E28:F28"/>
    <mergeCell ref="B35:D35"/>
    <mergeCell ref="E35:F35"/>
    <mergeCell ref="E37:F37"/>
    <mergeCell ref="B32:I32"/>
    <mergeCell ref="B21:D21"/>
    <mergeCell ref="E89:F89"/>
    <mergeCell ref="B93:I93"/>
    <mergeCell ref="E31:F31"/>
    <mergeCell ref="E30:F30"/>
    <mergeCell ref="B34:D34"/>
    <mergeCell ref="E38:F38"/>
    <mergeCell ref="E40:F40"/>
    <mergeCell ref="E44:F44"/>
    <mergeCell ref="B41:I41"/>
    <mergeCell ref="B43:D43"/>
    <mergeCell ref="B114:D114"/>
    <mergeCell ref="E88:F88"/>
    <mergeCell ref="E34:F34"/>
    <mergeCell ref="B30:D30"/>
    <mergeCell ref="E112:J112"/>
    <mergeCell ref="E58:F58"/>
    <mergeCell ref="E52:F52"/>
    <mergeCell ref="E53:F53"/>
    <mergeCell ref="E57:F57"/>
    <mergeCell ref="E39:F39"/>
    <mergeCell ref="B111:J111"/>
    <mergeCell ref="B115:D115"/>
    <mergeCell ref="I115:J115"/>
    <mergeCell ref="L99:O99"/>
    <mergeCell ref="B40:D40"/>
    <mergeCell ref="G115:H115"/>
    <mergeCell ref="B101:D101"/>
    <mergeCell ref="B100:D100"/>
    <mergeCell ref="B103:I103"/>
    <mergeCell ref="E102:F102"/>
    <mergeCell ref="I120:J121"/>
    <mergeCell ref="B131:J131"/>
    <mergeCell ref="B127:J127"/>
    <mergeCell ref="B128:J128"/>
    <mergeCell ref="B110:J110"/>
    <mergeCell ref="G113:H113"/>
    <mergeCell ref="E114:F114"/>
    <mergeCell ref="G116:H116"/>
    <mergeCell ref="I116:J116"/>
    <mergeCell ref="I114:J114"/>
    <mergeCell ref="E90:F90"/>
    <mergeCell ref="G114:H114"/>
    <mergeCell ref="E116:F116"/>
    <mergeCell ref="B153:C153"/>
    <mergeCell ref="B126:J126"/>
    <mergeCell ref="B99:D99"/>
    <mergeCell ref="B116:D116"/>
    <mergeCell ref="E113:F113"/>
    <mergeCell ref="E122:F123"/>
    <mergeCell ref="G120:H121"/>
    <mergeCell ref="B130:J130"/>
    <mergeCell ref="B102:D102"/>
    <mergeCell ref="B122:D123"/>
    <mergeCell ref="I122:J123"/>
    <mergeCell ref="I113:J113"/>
    <mergeCell ref="B129:J129"/>
    <mergeCell ref="G122:H123"/>
    <mergeCell ref="B118:J119"/>
    <mergeCell ref="J105:J106"/>
    <mergeCell ref="B112:D113"/>
    <mergeCell ref="B125:J125"/>
    <mergeCell ref="B98:D98"/>
    <mergeCell ref="E101:F101"/>
    <mergeCell ref="B120:D121"/>
    <mergeCell ref="B91:I91"/>
    <mergeCell ref="B105:I106"/>
    <mergeCell ref="E98:F98"/>
    <mergeCell ref="E95:F95"/>
    <mergeCell ref="E99:F99"/>
    <mergeCell ref="E100:F100"/>
    <mergeCell ref="B22:D22"/>
    <mergeCell ref="E115:F115"/>
    <mergeCell ref="E120:F121"/>
    <mergeCell ref="E29:F29"/>
    <mergeCell ref="E22:F22"/>
    <mergeCell ref="B23:D23"/>
    <mergeCell ref="E76:F76"/>
    <mergeCell ref="E77:F77"/>
    <mergeCell ref="E82:F82"/>
    <mergeCell ref="E83:F83"/>
    <mergeCell ref="E79:F79"/>
    <mergeCell ref="E81:F81"/>
    <mergeCell ref="E25:F25"/>
    <mergeCell ref="E54:F54"/>
    <mergeCell ref="E55:F55"/>
    <mergeCell ref="E80:F80"/>
    <mergeCell ref="E62:F62"/>
    <mergeCell ref="E63:F63"/>
    <mergeCell ref="E50:F50"/>
    <mergeCell ref="E69:F69"/>
    <mergeCell ref="E78:F78"/>
    <mergeCell ref="E24:F24"/>
    <mergeCell ref="E45:F45"/>
    <mergeCell ref="E47:F47"/>
    <mergeCell ref="E66:F66"/>
    <mergeCell ref="E51:F51"/>
    <mergeCell ref="E56:F56"/>
    <mergeCell ref="E36:F36"/>
    <mergeCell ref="E49:F49"/>
    <mergeCell ref="E27:F2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32</v>
      </c>
      <c r="C2" s="50">
        <f>(('Uva de mesa'!E13-28000)/28000)+1</f>
        <v>1</v>
      </c>
    </row>
    <row r="3" ht="18">
      <c r="B3" s="13"/>
    </row>
    <row r="4" spans="2:3" ht="18">
      <c r="B4" s="299" t="s">
        <v>33</v>
      </c>
      <c r="C4" s="299"/>
    </row>
    <row r="5" spans="2:5" ht="18">
      <c r="B5" s="301" t="s">
        <v>109</v>
      </c>
      <c r="C5" s="301"/>
      <c r="D5" s="301"/>
      <c r="E5" s="47">
        <v>28000</v>
      </c>
    </row>
    <row r="6" spans="2:5" ht="18">
      <c r="B6" s="301" t="s">
        <v>62</v>
      </c>
      <c r="C6" s="301"/>
      <c r="D6" s="301"/>
      <c r="E6" s="47">
        <v>28000</v>
      </c>
    </row>
    <row r="7" spans="2:5" ht="18">
      <c r="B7" s="301" t="s">
        <v>108</v>
      </c>
      <c r="C7" s="301"/>
      <c r="D7" s="301"/>
      <c r="E7" s="47">
        <v>28000</v>
      </c>
    </row>
    <row r="8" spans="2:5" ht="18">
      <c r="B8" s="301" t="s">
        <v>98</v>
      </c>
      <c r="C8" s="301"/>
      <c r="D8" s="301"/>
      <c r="E8" s="47">
        <v>28000</v>
      </c>
    </row>
    <row r="14" spans="2:4" ht="15">
      <c r="B14" s="300" t="s">
        <v>29</v>
      </c>
      <c r="C14" s="300"/>
      <c r="D14" s="300"/>
    </row>
    <row r="16" spans="2:4" ht="18">
      <c r="B16" s="49" t="s">
        <v>31</v>
      </c>
      <c r="C16" s="48">
        <f>'Uva de mesa'!B114</f>
        <v>25200</v>
      </c>
      <c r="D16" s="48">
        <f>'Uva de mesa'!B116</f>
        <v>30800.000000000004</v>
      </c>
    </row>
    <row r="17" ht="15">
      <c r="B17" s="24"/>
    </row>
    <row r="18" spans="2:4" ht="15">
      <c r="B18" s="47" t="s">
        <v>32</v>
      </c>
      <c r="C18" s="50">
        <f>((C16-'Uva de mesa'!E13)/'Uva de mesa'!E13)+1</f>
        <v>0.9</v>
      </c>
      <c r="D18" s="50">
        <f>((D16-'Uva de mesa'!E13)/'Uva de mesa'!E13)+1</f>
        <v>1.1</v>
      </c>
    </row>
    <row r="19" spans="2:4" ht="18">
      <c r="B19" s="17"/>
      <c r="C19" s="48"/>
      <c r="D19" s="48"/>
    </row>
    <row r="20" spans="2:4" ht="18">
      <c r="B20" s="49" t="s">
        <v>19</v>
      </c>
      <c r="C20" s="48"/>
      <c r="D20" s="48"/>
    </row>
    <row r="21" spans="2:4" ht="18">
      <c r="B21" s="17" t="s">
        <v>35</v>
      </c>
      <c r="C21" s="10">
        <f>SUM('Uva de mesa'!J22:J29)</f>
        <v>1580000</v>
      </c>
      <c r="D21" s="10">
        <f>SUM('Uva de mesa'!J22:J29)</f>
        <v>1580000</v>
      </c>
    </row>
    <row r="22" spans="2:4" ht="18">
      <c r="B22" s="51" t="s">
        <v>36</v>
      </c>
      <c r="C22" s="52">
        <f>C18*SUM('Uva de mesa'!J30:J31)</f>
        <v>1638000</v>
      </c>
      <c r="D22" s="52">
        <f>D18*SUM('Uva de mesa'!J30:J31)</f>
        <v>2002000.0000000002</v>
      </c>
    </row>
    <row r="23" spans="2:4" ht="18">
      <c r="B23" s="17" t="s">
        <v>37</v>
      </c>
      <c r="C23" s="10">
        <f>SUM(C21:C22)</f>
        <v>3218000</v>
      </c>
      <c r="D23" s="10">
        <f>SUM(D21:D22)</f>
        <v>3582000</v>
      </c>
    </row>
    <row r="24" ht="18">
      <c r="B24" s="17"/>
    </row>
    <row r="25" ht="18">
      <c r="B25" s="49" t="s">
        <v>21</v>
      </c>
    </row>
    <row r="26" spans="2:4" ht="18">
      <c r="B26" s="17" t="s">
        <v>35</v>
      </c>
      <c r="C26" s="10">
        <f>SUM('Uva de mesa'!J35:J38)</f>
        <v>320000</v>
      </c>
      <c r="D26" s="10">
        <f>SUM('Uva de mesa'!J35:J38)</f>
        <v>320000</v>
      </c>
    </row>
    <row r="27" spans="2:4" ht="18">
      <c r="B27" s="51" t="s">
        <v>36</v>
      </c>
      <c r="C27" s="52">
        <f>C18*SUM('Uva de mesa'!J39:J40)</f>
        <v>327600</v>
      </c>
      <c r="D27" s="52">
        <f>D18*SUM('Uva de mesa'!J39:J40)</f>
        <v>400400.00000000006</v>
      </c>
    </row>
    <row r="28" spans="2:4" ht="18">
      <c r="B28" s="17" t="s">
        <v>37</v>
      </c>
      <c r="C28" s="10">
        <f>SUM(C26:C27)</f>
        <v>647600</v>
      </c>
      <c r="D28" s="10">
        <f>SUM(D26:D27)</f>
        <v>720400</v>
      </c>
    </row>
    <row r="30" ht="18">
      <c r="B30" s="49" t="s">
        <v>38</v>
      </c>
    </row>
    <row r="31" spans="2:4" ht="18">
      <c r="B31" s="17" t="s">
        <v>35</v>
      </c>
      <c r="C31" s="10">
        <f>SUM('Uva de mesa'!J44:J90)</f>
        <v>2206737.2</v>
      </c>
      <c r="D31" s="10">
        <f>SUM('Uva de mesa'!J44:J90)</f>
        <v>2206737.2</v>
      </c>
    </row>
    <row r="32" spans="2:4" ht="18">
      <c r="B32" s="51" t="s">
        <v>36</v>
      </c>
      <c r="C32" s="52">
        <v>0</v>
      </c>
      <c r="D32" s="52">
        <v>0</v>
      </c>
    </row>
    <row r="33" spans="2:4" ht="18">
      <c r="B33" s="17" t="s">
        <v>37</v>
      </c>
      <c r="C33" s="10">
        <f>SUM(C31:C32)</f>
        <v>2206737.2</v>
      </c>
      <c r="D33" s="10">
        <f>SUM(D31:D32)</f>
        <v>2206737.2</v>
      </c>
    </row>
    <row r="34" spans="2:4" ht="15">
      <c r="B34" s="24"/>
      <c r="C34" s="28"/>
      <c r="D34" s="28"/>
    </row>
    <row r="35" spans="2:4" ht="18">
      <c r="B35" s="54" t="s">
        <v>39</v>
      </c>
      <c r="C35" s="55">
        <f>C23+C28+C33</f>
        <v>6072337.2</v>
      </c>
      <c r="D35" s="55">
        <f>D23+D28+D33</f>
        <v>6509137.2</v>
      </c>
    </row>
    <row r="36" ht="15">
      <c r="B36" s="24"/>
    </row>
    <row r="37" spans="2:4" ht="18">
      <c r="B37" s="53" t="s">
        <v>0</v>
      </c>
      <c r="C37" s="10">
        <f>C35*'Uva de mesa'!G95</f>
        <v>303616.86000000004</v>
      </c>
      <c r="D37" s="10">
        <f>D35*'Uva de mesa'!G95</f>
        <v>325456.86000000004</v>
      </c>
    </row>
    <row r="38" spans="2:4" ht="18">
      <c r="B38" s="53" t="s">
        <v>25</v>
      </c>
      <c r="C38" s="10">
        <f>C35*'Uva de mesa'!E16*'Uva de mesa'!E17*0.5</f>
        <v>546510.348</v>
      </c>
      <c r="D38" s="10">
        <f>D35*'Uva de mesa'!E16*'Uva de mesa'!E17*0.5</f>
        <v>585822.348</v>
      </c>
    </row>
    <row r="39" ht="15">
      <c r="B39" s="24"/>
    </row>
    <row r="40" spans="2:4" ht="18">
      <c r="B40" s="54" t="s">
        <v>28</v>
      </c>
      <c r="C40" s="55">
        <f>C35+C37+C38</f>
        <v>6922464.408000001</v>
      </c>
      <c r="D40" s="55">
        <f>D35+D37+D38</f>
        <v>7420416.408000001</v>
      </c>
    </row>
  </sheetData>
  <sheetProtection/>
  <mergeCells count="6">
    <mergeCell ref="B4:C4"/>
    <mergeCell ref="B14:D14"/>
    <mergeCell ref="B5:D5"/>
    <mergeCell ref="B8:D8"/>
    <mergeCell ref="B6:D6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2017-10-11T15:22:35Z</dcterms:modified>
  <cp:category/>
  <cp:version/>
  <cp:contentType/>
  <cp:contentStatus/>
</cp:coreProperties>
</file>