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vid vinífera_sauvignon_valparaí" sheetId="1" r:id="rId1"/>
    <sheet name="Hoja1" sheetId="2" state="hidden" r:id="rId2"/>
  </sheets>
  <definedNames>
    <definedName name="_xlnm.Print_Area" localSheetId="0">'vid vinífera_sauvignon_valparaí'!$A$1:$K$103</definedName>
  </definedNames>
  <calcPr fullCalcOnLoad="1"/>
</workbook>
</file>

<file path=xl/sharedStrings.xml><?xml version="1.0" encoding="utf-8"?>
<sst xmlns="http://schemas.openxmlformats.org/spreadsheetml/2006/main" count="189" uniqueCount="131">
  <si>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</si>
  <si>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</si>
  <si>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</si>
  <si>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</si>
  <si>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</si>
  <si>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</si>
  <si>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</si>
  <si>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</si>
  <si>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</si>
  <si>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</si>
  <si>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</si>
  <si>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</si>
  <si>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</si>
  <si>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</si>
  <si>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</si>
  <si>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</si>
  <si>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</si>
  <si>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</si>
  <si>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</si>
  <si>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</si>
  <si>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</si>
  <si>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</si>
  <si>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</si>
  <si>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</si>
  <si>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</si>
  <si>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</si>
  <si>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</si>
  <si>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</si>
  <si>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</si>
  <si>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</si>
  <si>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</si>
  <si>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</si>
  <si>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Otros</t>
  </si>
  <si>
    <t>Cosecha: cortado, seleccionado y embalado</t>
  </si>
  <si>
    <t>Herbicida:</t>
  </si>
  <si>
    <t>Aplicación de pesticidas</t>
  </si>
  <si>
    <t>1 hectárea agosto 2018</t>
  </si>
  <si>
    <t>Variedad: Sauvignon blanc</t>
  </si>
  <si>
    <t>Tecnología de riego: Riego por surco</t>
  </si>
  <si>
    <t>Aplicación pesticida</t>
  </si>
  <si>
    <t>Poda</t>
  </si>
  <si>
    <t>Amarras de guías</t>
  </si>
  <si>
    <t>Aplicación de fertilizantes</t>
  </si>
  <si>
    <t>Riego y limpia acequias</t>
  </si>
  <si>
    <t>Deshojar racimos</t>
  </si>
  <si>
    <t>Destino de producción: Industria Vitivinicola</t>
  </si>
  <si>
    <t>Acarreo de insumos e implementos</t>
  </si>
  <si>
    <t>Flete</t>
  </si>
  <si>
    <t>Cosecha automotriz</t>
  </si>
  <si>
    <t xml:space="preserve">  Urea</t>
  </si>
  <si>
    <t xml:space="preserve">  Agua de riego</t>
  </si>
  <si>
    <t xml:space="preserve">  Reponer postes</t>
  </si>
  <si>
    <t xml:space="preserve">  Cinta de amarra</t>
  </si>
  <si>
    <t xml:space="preserve"> (2) Costo cosecha equivale a cortar la uva  y dejarla en el bins.</t>
  </si>
  <si>
    <t>Picadora de zarmiento</t>
  </si>
  <si>
    <t xml:space="preserve">  Nitrato de potasio</t>
  </si>
  <si>
    <t>Ficha Técnico Económica</t>
  </si>
  <si>
    <t>Región de Valparaíso</t>
  </si>
  <si>
    <t>Cosecha: marzo - abril</t>
  </si>
  <si>
    <t>Período</t>
  </si>
  <si>
    <t>Precio ($/unidad)</t>
  </si>
  <si>
    <t>jornada hombre</t>
  </si>
  <si>
    <t>planta</t>
  </si>
  <si>
    <t>hectárea</t>
  </si>
  <si>
    <t>kilo</t>
  </si>
  <si>
    <t>litro</t>
  </si>
  <si>
    <t>unidad</t>
  </si>
  <si>
    <t>análisis</t>
  </si>
  <si>
    <t>Rendimiento (kilos/hectárea):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</si>
  <si>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</si>
  <si>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</si>
  <si>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Reponer postes y alambrados (infraestructura)</t>
  </si>
  <si>
    <t>Control de malezas: alrededor de la planta</t>
  </si>
  <si>
    <t>Desbrote (tronco y corona)</t>
  </si>
  <si>
    <t>Chapoda: sacar exceso de hojas  sobre los racimos</t>
  </si>
  <si>
    <r>
      <t xml:space="preserve">Cosecha </t>
    </r>
    <r>
      <rPr>
        <vertAlign val="superscript"/>
        <sz val="14"/>
        <rFont val="Arial"/>
        <family val="2"/>
      </rPr>
      <t>(2)</t>
    </r>
  </si>
  <si>
    <t>febrero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</si>
  <si>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</si>
  <si>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</si>
  <si>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</si>
  <si>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</si>
  <si>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</si>
  <si>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</si>
  <si>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</si>
  <si>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marzo a febrero</t>
  </si>
  <si>
    <t>marzo</t>
  </si>
  <si>
    <t>anual</t>
  </si>
  <si>
    <t>agosto - noviembre</t>
  </si>
  <si>
    <t>junio - octubre</t>
  </si>
  <si>
    <t>julio - febrero</t>
  </si>
  <si>
    <t>agosto - octubre</t>
  </si>
  <si>
    <t>octubre - noviembre</t>
  </si>
  <si>
    <t>noviembre - marzo</t>
  </si>
  <si>
    <t>porcentaje</t>
  </si>
  <si>
    <t>Margen neto ($/hectárea)</t>
  </si>
  <si>
    <t>Precio ($/kilo)</t>
  </si>
  <si>
    <t>Rendimiento (kilos/hectárea)</t>
  </si>
  <si>
    <t>Costo unitario ($/kilo)</t>
  </si>
  <si>
    <t xml:space="preserve"> (1) El precio del kilo de uva para vino, corresponde al promedio de la región durante el periodo de cosecha en el predio en la temporada 2017/2018.</t>
  </si>
  <si>
    <t>Plantación en producción</t>
  </si>
  <si>
    <t>Diamant</t>
  </si>
  <si>
    <t>Tercel 50 WP</t>
  </si>
  <si>
    <t>Round full II</t>
  </si>
  <si>
    <t>Tecnología: media</t>
  </si>
  <si>
    <t>Azufre 350 Agrospec</t>
  </si>
  <si>
    <t>Densidad (plantas/hectárea): 2667 (2,5m X 1,5m)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</si>
  <si>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</si>
  <si>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</si>
  <si>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  Análisis foliar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</si>
  <si>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</si>
  <si>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</si>
  <si>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</si>
  <si>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 xml:space="preserve"> (3) Representa el valor de arriendo en la región.</t>
  </si>
  <si>
    <t xml:space="preserve"> 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</si>
  <si>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(5) La dosis de fertilización promedio podría variar de acuerdo a los resultados del análisis de suelo.</t>
  </si>
  <si>
    <t xml:space="preserve"> (7) Margen neto corresponde a ingresos totales (precio venta x rendimiento) menos los costos totales.</t>
  </si>
  <si>
    <t xml:space="preserve"> (8) Representa el precio de venta mínimo para cubrir los costos totales de producción.</t>
  </si>
  <si>
    <t xml:space="preserve"> (6) 1,5% mensual simple sobre el 50% de los costos directos, tasa de interés promedio de las empresas distribuidoras de insumos.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</si>
  <si>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</si>
  <si>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</si>
  <si>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</si>
  <si>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</si>
  <si>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</si>
  <si>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</si>
  <si>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</si>
  <si>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</si>
  <si>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</si>
  <si>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</si>
  <si>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</si>
  <si>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</si>
  <si>
    <t>Vid Vinífera- cosecha mecanizada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</si>
</sst>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1" fontId="10" fillId="34" borderId="21" xfId="67" applyNumberFormat="1" applyFont="1" applyFill="1" applyBorder="1" applyAlignment="1" applyProtection="1">
      <alignment horizontal="right"/>
      <protection/>
    </xf>
    <xf numFmtId="0" fontId="52" fillId="37" borderId="0" xfId="0" applyFont="1" applyFill="1" applyAlignment="1">
      <alignment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1" fontId="10" fillId="34" borderId="21" xfId="67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10" fillId="34" borderId="23" xfId="67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3" fontId="10" fillId="34" borderId="15" xfId="56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0" fontId="10" fillId="0" borderId="19" xfId="67" applyNumberFormat="1" applyFont="1" applyFill="1" applyBorder="1" applyAlignment="1" applyProtection="1">
      <alignment horizontal="left" indent="1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10" fillId="34" borderId="17" xfId="56" applyFont="1" applyFill="1" applyBorder="1" applyAlignment="1" applyProtection="1">
      <alignment vertical="center"/>
      <protection/>
    </xf>
    <xf numFmtId="0" fontId="10" fillId="34" borderId="14" xfId="56" applyFont="1" applyFill="1" applyBorder="1" applyAlignment="1" applyProtection="1">
      <alignment vertic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 applyProtection="1">
      <alignment horizontal="right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0" fontId="63" fillId="0" borderId="0" xfId="67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" fontId="8" fillId="39" borderId="12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628650</xdr:colOff>
      <xdr:row>102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19125" y="23660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5"/>
  <sheetViews>
    <sheetView showGridLines="0" tabSelected="1" view="pageBreakPreview" zoomScaleNormal="70" zoomScaleSheetLayoutView="100" zoomScalePageLayoutView="80" workbookViewId="0" topLeftCell="A1">
      <selection activeCell="D2" sqref="D2:J2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36.00390625" style="0" customWidth="1"/>
    <col min="5" max="5" width="12.28125" style="0" customWidth="1"/>
    <col min="6" max="6" width="22.421875" style="0" customWidth="1"/>
    <col min="7" max="7" width="20.140625" style="2" customWidth="1"/>
    <col min="8" max="9" width="24.57421875" style="0" customWidth="1"/>
    <col min="10" max="10" width="15.28125" style="0" bestFit="1" customWidth="1"/>
    <col min="11" max="11" width="10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6"/>
      <c r="C2" s="146"/>
      <c r="D2" s="321" t="s">
        <v>56</v>
      </c>
      <c r="E2" s="321"/>
      <c r="F2" s="321"/>
      <c r="G2" s="321"/>
      <c r="H2" s="321"/>
      <c r="I2" s="321"/>
      <c r="J2" s="321"/>
    </row>
    <row r="3" spans="2:11" s="3" customFormat="1" ht="18" customHeight="1">
      <c r="B3" s="93"/>
      <c r="C3" s="116"/>
      <c r="D3" s="322" t="s">
        <v>130</v>
      </c>
      <c r="E3" s="322"/>
      <c r="F3" s="322"/>
      <c r="G3" s="322"/>
      <c r="H3" s="322"/>
      <c r="I3" s="322"/>
      <c r="J3" s="322"/>
      <c r="K3" s="14"/>
    </row>
    <row r="4" spans="2:11" s="3" customFormat="1" ht="18" customHeight="1">
      <c r="B4" s="93"/>
      <c r="C4" s="116"/>
      <c r="D4" s="322" t="s">
        <v>57</v>
      </c>
      <c r="E4" s="322"/>
      <c r="F4" s="322"/>
      <c r="G4" s="322"/>
      <c r="H4" s="322"/>
      <c r="I4" s="322"/>
      <c r="J4" s="322"/>
      <c r="K4" s="14"/>
    </row>
    <row r="5" spans="2:11" s="3" customFormat="1" ht="18" customHeight="1">
      <c r="B5" s="41"/>
      <c r="C5" s="41"/>
      <c r="D5" s="117"/>
      <c r="E5" s="43"/>
      <c r="F5" s="133"/>
      <c r="G5" s="133"/>
      <c r="H5" s="133"/>
      <c r="I5" s="133"/>
      <c r="J5" s="133"/>
      <c r="K5" s="16"/>
    </row>
    <row r="6" spans="2:11" s="3" customFormat="1" ht="18" customHeight="1">
      <c r="B6" s="41"/>
      <c r="C6" s="41"/>
      <c r="D6" s="307" t="s">
        <v>29</v>
      </c>
      <c r="E6" s="308"/>
      <c r="F6" s="308"/>
      <c r="G6" s="308"/>
      <c r="H6" s="308"/>
      <c r="I6" s="308"/>
      <c r="J6" s="309"/>
      <c r="K6" s="16"/>
    </row>
    <row r="7" spans="2:11" s="3" customFormat="1" ht="18" customHeight="1">
      <c r="B7" s="41"/>
      <c r="C7" s="41"/>
      <c r="D7" s="84" t="s">
        <v>36</v>
      </c>
      <c r="E7" s="85"/>
      <c r="F7" s="85"/>
      <c r="G7" s="86" t="s">
        <v>37</v>
      </c>
      <c r="H7" s="87"/>
      <c r="I7" s="88"/>
      <c r="J7" s="89"/>
      <c r="K7" s="16"/>
    </row>
    <row r="8" spans="2:11" s="3" customFormat="1" ht="18" customHeight="1">
      <c r="B8" s="41"/>
      <c r="C8" s="41"/>
      <c r="D8" s="90" t="s">
        <v>38</v>
      </c>
      <c r="E8" s="91"/>
      <c r="F8" s="91"/>
      <c r="G8" s="92" t="s">
        <v>45</v>
      </c>
      <c r="H8" s="93"/>
      <c r="I8" s="94"/>
      <c r="J8" s="95"/>
      <c r="K8" s="16"/>
    </row>
    <row r="9" spans="2:11" s="3" customFormat="1" ht="18" customHeight="1">
      <c r="B9" s="41"/>
      <c r="C9" s="41"/>
      <c r="D9" s="90" t="s">
        <v>105</v>
      </c>
      <c r="E9" s="147"/>
      <c r="F9" s="91"/>
      <c r="G9" s="92" t="s">
        <v>103</v>
      </c>
      <c r="H9" s="93"/>
      <c r="I9" s="94"/>
      <c r="J9" s="95"/>
      <c r="K9" s="18"/>
    </row>
    <row r="10" spans="2:11" s="3" customFormat="1" ht="18" customHeight="1">
      <c r="B10" s="41"/>
      <c r="C10" s="41"/>
      <c r="D10" s="96" t="s">
        <v>99</v>
      </c>
      <c r="E10" s="97"/>
      <c r="F10" s="97"/>
      <c r="G10" s="98" t="s">
        <v>58</v>
      </c>
      <c r="H10" s="99"/>
      <c r="I10" s="100"/>
      <c r="J10" s="101"/>
      <c r="K10" s="18"/>
    </row>
    <row r="11" spans="2:11" s="3" customFormat="1" ht="18" customHeight="1">
      <c r="B11" s="41"/>
      <c r="C11" s="41"/>
      <c r="D11" s="26"/>
      <c r="E11" s="91"/>
      <c r="F11" s="91"/>
      <c r="G11" s="26"/>
      <c r="H11" s="93"/>
      <c r="I11" s="94"/>
      <c r="J11" s="125"/>
      <c r="K11" s="18"/>
    </row>
    <row r="12" spans="2:11" ht="18">
      <c r="B12" s="311" t="s">
        <v>30</v>
      </c>
      <c r="C12" s="312"/>
      <c r="D12" s="312"/>
      <c r="E12" s="313"/>
      <c r="F12" s="40"/>
      <c r="G12" s="314" t="s">
        <v>4</v>
      </c>
      <c r="H12" s="315"/>
      <c r="I12" s="315"/>
      <c r="J12" s="316"/>
      <c r="K12" s="16"/>
    </row>
    <row r="13" spans="2:11" ht="18">
      <c r="B13" s="106" t="s">
        <v>68</v>
      </c>
      <c r="C13" s="107"/>
      <c r="D13" s="85"/>
      <c r="E13" s="108">
        <v>13000</v>
      </c>
      <c r="F13" s="41"/>
      <c r="G13" s="112" t="s">
        <v>122</v>
      </c>
      <c r="H13" s="85"/>
      <c r="I13" s="85"/>
      <c r="J13" s="182">
        <f>E13*E14</f>
        <v>2470000</v>
      </c>
      <c r="K13" s="16"/>
    </row>
    <row r="14" spans="2:13" ht="18" customHeight="1">
      <c r="B14" s="200" t="s">
        <v>69</v>
      </c>
      <c r="C14" s="201"/>
      <c r="D14" s="201"/>
      <c r="E14" s="185">
        <v>190</v>
      </c>
      <c r="F14" s="41"/>
      <c r="G14" s="113" t="s">
        <v>123</v>
      </c>
      <c r="H14" s="41"/>
      <c r="I14" s="41"/>
      <c r="J14" s="183">
        <f>J33+J42+J59+J62</f>
        <v>1593073.65</v>
      </c>
      <c r="K14" s="16"/>
      <c r="M14" s="137"/>
    </row>
    <row r="15" spans="2:11" ht="18">
      <c r="B15" s="196" t="s">
        <v>70</v>
      </c>
      <c r="C15" s="42"/>
      <c r="D15" s="41"/>
      <c r="E15" s="185">
        <v>16000</v>
      </c>
      <c r="F15" s="41"/>
      <c r="G15" s="113" t="s">
        <v>124</v>
      </c>
      <c r="H15" s="43"/>
      <c r="I15" s="41"/>
      <c r="J15" s="183">
        <f>J33+J42+J59+J62+J72</f>
        <v>1736450.2785</v>
      </c>
      <c r="K15" s="16"/>
    </row>
    <row r="16" spans="2:11" ht="18">
      <c r="B16" s="196" t="s">
        <v>2</v>
      </c>
      <c r="C16" s="44"/>
      <c r="D16" s="41"/>
      <c r="E16" s="109">
        <v>0.015</v>
      </c>
      <c r="F16" s="41"/>
      <c r="G16" s="113" t="s">
        <v>125</v>
      </c>
      <c r="H16" s="41"/>
      <c r="I16" s="41"/>
      <c r="J16" s="183">
        <f>J13-J14</f>
        <v>876926.3500000001</v>
      </c>
      <c r="K16" s="16"/>
    </row>
    <row r="17" spans="2:11" ht="18">
      <c r="B17" s="196" t="s">
        <v>3</v>
      </c>
      <c r="C17" s="44"/>
      <c r="D17" s="41"/>
      <c r="E17" s="203">
        <v>12</v>
      </c>
      <c r="F17" s="41"/>
      <c r="G17" s="113" t="s">
        <v>126</v>
      </c>
      <c r="H17" s="41"/>
      <c r="I17" s="41"/>
      <c r="J17" s="183">
        <f>J13-J15</f>
        <v>733549.7215</v>
      </c>
      <c r="K17" s="16"/>
    </row>
    <row r="18" spans="2:11" ht="18">
      <c r="B18" s="110"/>
      <c r="C18" s="111"/>
      <c r="D18" s="102"/>
      <c r="E18" s="202"/>
      <c r="F18" s="41"/>
      <c r="G18" s="114" t="s">
        <v>26</v>
      </c>
      <c r="H18" s="102"/>
      <c r="I18" s="115"/>
      <c r="J18" s="184">
        <f>G89</f>
        <v>133.57309834615384</v>
      </c>
      <c r="K18" s="16"/>
    </row>
    <row r="19" spans="2:11" s="3" customFormat="1" ht="18">
      <c r="B19" s="41"/>
      <c r="C19" s="41"/>
      <c r="D19" s="41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9" t="s">
        <v>27</v>
      </c>
      <c r="C20" s="118"/>
      <c r="D20" s="118"/>
      <c r="E20" s="310"/>
      <c r="F20" s="310"/>
      <c r="G20" s="120"/>
      <c r="H20" s="121"/>
      <c r="I20" s="130"/>
      <c r="J20" s="122"/>
      <c r="K20" s="16"/>
    </row>
    <row r="21" spans="2:11" s="3" customFormat="1" ht="18">
      <c r="B21" s="204" t="s">
        <v>7</v>
      </c>
      <c r="C21" s="205"/>
      <c r="D21" s="205"/>
      <c r="E21" s="213" t="s">
        <v>59</v>
      </c>
      <c r="F21" s="213"/>
      <c r="G21" s="171" t="s">
        <v>5</v>
      </c>
      <c r="H21" s="172" t="s">
        <v>6</v>
      </c>
      <c r="I21" s="173" t="s">
        <v>60</v>
      </c>
      <c r="J21" s="174" t="s">
        <v>1</v>
      </c>
      <c r="K21" s="16"/>
    </row>
    <row r="22" spans="2:10" s="3" customFormat="1" ht="18" customHeight="1">
      <c r="B22" s="197" t="s">
        <v>39</v>
      </c>
      <c r="C22" s="198"/>
      <c r="D22" s="199"/>
      <c r="E22" s="214" t="s">
        <v>77</v>
      </c>
      <c r="F22" s="215"/>
      <c r="G22" s="165">
        <v>4</v>
      </c>
      <c r="H22" s="149" t="s">
        <v>61</v>
      </c>
      <c r="I22" s="150">
        <f>E15</f>
        <v>16000</v>
      </c>
      <c r="J22" s="10">
        <f aca="true" t="shared" si="0" ref="J22:J32">G22*I22</f>
        <v>64000</v>
      </c>
    </row>
    <row r="23" spans="2:10" s="3" customFormat="1" ht="18" customHeight="1">
      <c r="B23" s="194" t="s">
        <v>40</v>
      </c>
      <c r="C23" s="193"/>
      <c r="D23" s="195"/>
      <c r="E23" s="216" t="s">
        <v>78</v>
      </c>
      <c r="F23" s="217"/>
      <c r="G23" s="166">
        <v>3</v>
      </c>
      <c r="H23" s="152" t="s">
        <v>61</v>
      </c>
      <c r="I23" s="153">
        <f>E15</f>
        <v>16000</v>
      </c>
      <c r="J23" s="10">
        <f>G23*I23</f>
        <v>48000</v>
      </c>
    </row>
    <row r="24" spans="2:10" s="3" customFormat="1" ht="18" customHeight="1">
      <c r="B24" s="194" t="s">
        <v>71</v>
      </c>
      <c r="C24" s="193"/>
      <c r="D24" s="195"/>
      <c r="E24" s="216" t="s">
        <v>79</v>
      </c>
      <c r="F24" s="217"/>
      <c r="G24" s="166">
        <v>2</v>
      </c>
      <c r="H24" s="152" t="s">
        <v>61</v>
      </c>
      <c r="I24" s="153">
        <f>E15</f>
        <v>16000</v>
      </c>
      <c r="J24" s="10">
        <f t="shared" si="0"/>
        <v>32000</v>
      </c>
    </row>
    <row r="25" spans="2:10" s="3" customFormat="1" ht="18" customHeight="1">
      <c r="B25" s="194" t="s">
        <v>41</v>
      </c>
      <c r="C25" s="193"/>
      <c r="D25" s="195"/>
      <c r="E25" s="216" t="s">
        <v>79</v>
      </c>
      <c r="F25" s="217"/>
      <c r="G25" s="166">
        <v>3</v>
      </c>
      <c r="H25" s="152" t="s">
        <v>61</v>
      </c>
      <c r="I25" s="153">
        <f>E15</f>
        <v>16000</v>
      </c>
      <c r="J25" s="10">
        <f t="shared" si="0"/>
        <v>48000</v>
      </c>
    </row>
    <row r="26" spans="2:10" s="3" customFormat="1" ht="18" customHeight="1">
      <c r="B26" s="194" t="s">
        <v>42</v>
      </c>
      <c r="C26" s="193"/>
      <c r="D26" s="195"/>
      <c r="E26" s="216" t="s">
        <v>80</v>
      </c>
      <c r="F26" s="217"/>
      <c r="G26" s="166">
        <v>2</v>
      </c>
      <c r="H26" s="152" t="s">
        <v>61</v>
      </c>
      <c r="I26" s="153">
        <f>E15</f>
        <v>16000</v>
      </c>
      <c r="J26" s="10">
        <f t="shared" si="0"/>
        <v>32000</v>
      </c>
    </row>
    <row r="27" spans="2:10" s="3" customFormat="1" ht="18" customHeight="1">
      <c r="B27" s="194" t="s">
        <v>43</v>
      </c>
      <c r="C27" s="193"/>
      <c r="D27" s="195"/>
      <c r="E27" s="216" t="s">
        <v>81</v>
      </c>
      <c r="F27" s="217"/>
      <c r="G27" s="166">
        <v>2</v>
      </c>
      <c r="H27" s="152" t="s">
        <v>61</v>
      </c>
      <c r="I27" s="153">
        <f>E15</f>
        <v>16000</v>
      </c>
      <c r="J27" s="10">
        <f t="shared" si="0"/>
        <v>32000</v>
      </c>
    </row>
    <row r="28" spans="2:10" s="3" customFormat="1" ht="18" customHeight="1">
      <c r="B28" s="194" t="s">
        <v>72</v>
      </c>
      <c r="C28" s="193"/>
      <c r="D28" s="195"/>
      <c r="E28" s="216" t="s">
        <v>81</v>
      </c>
      <c r="F28" s="217"/>
      <c r="G28" s="167">
        <v>2</v>
      </c>
      <c r="H28" s="155" t="s">
        <v>61</v>
      </c>
      <c r="I28" s="153">
        <f>E15</f>
        <v>16000</v>
      </c>
      <c r="J28" s="10">
        <f t="shared" si="0"/>
        <v>32000</v>
      </c>
    </row>
    <row r="29" spans="2:10" s="3" customFormat="1" ht="18" customHeight="1">
      <c r="B29" s="194" t="s">
        <v>44</v>
      </c>
      <c r="C29" s="193"/>
      <c r="D29" s="195"/>
      <c r="E29" s="216" t="s">
        <v>82</v>
      </c>
      <c r="F29" s="217"/>
      <c r="G29" s="167">
        <v>2667</v>
      </c>
      <c r="H29" s="155" t="s">
        <v>62</v>
      </c>
      <c r="I29" s="153">
        <v>12</v>
      </c>
      <c r="J29" s="10">
        <f t="shared" si="0"/>
        <v>32004</v>
      </c>
    </row>
    <row r="30" spans="2:10" s="3" customFormat="1" ht="18" customHeight="1">
      <c r="B30" s="194" t="s">
        <v>73</v>
      </c>
      <c r="C30" s="193"/>
      <c r="D30" s="195"/>
      <c r="E30" s="216" t="s">
        <v>82</v>
      </c>
      <c r="F30" s="217"/>
      <c r="G30" s="167">
        <v>2667</v>
      </c>
      <c r="H30" s="155" t="s">
        <v>62</v>
      </c>
      <c r="I30" s="153">
        <v>15</v>
      </c>
      <c r="J30" s="10">
        <f t="shared" si="0"/>
        <v>40005</v>
      </c>
    </row>
    <row r="31" spans="2:18" s="3" customFormat="1" ht="18" customHeight="1">
      <c r="B31" s="194" t="s">
        <v>74</v>
      </c>
      <c r="C31" s="193"/>
      <c r="D31" s="195"/>
      <c r="E31" s="216" t="s">
        <v>76</v>
      </c>
      <c r="F31" s="217"/>
      <c r="G31" s="167">
        <v>2667</v>
      </c>
      <c r="H31" s="155" t="s">
        <v>62</v>
      </c>
      <c r="I31" s="153">
        <v>12</v>
      </c>
      <c r="J31" s="10">
        <f t="shared" si="0"/>
        <v>32004</v>
      </c>
      <c r="R31" s="26"/>
    </row>
    <row r="32" spans="2:10" s="3" customFormat="1" ht="18" customHeight="1">
      <c r="B32" s="141" t="s">
        <v>75</v>
      </c>
      <c r="C32" s="142"/>
      <c r="D32" s="143"/>
      <c r="E32" s="218" t="s">
        <v>83</v>
      </c>
      <c r="F32" s="219"/>
      <c r="G32" s="168">
        <v>2</v>
      </c>
      <c r="H32" s="156" t="s">
        <v>61</v>
      </c>
      <c r="I32" s="157">
        <v>18000</v>
      </c>
      <c r="J32" s="10">
        <f t="shared" si="0"/>
        <v>36000</v>
      </c>
    </row>
    <row r="33" spans="2:11" ht="18">
      <c r="B33" s="220" t="s">
        <v>8</v>
      </c>
      <c r="C33" s="221"/>
      <c r="D33" s="221"/>
      <c r="E33" s="221"/>
      <c r="F33" s="221"/>
      <c r="G33" s="221"/>
      <c r="H33" s="221"/>
      <c r="I33" s="221"/>
      <c r="J33" s="103">
        <f>SUM(J22:J32)</f>
        <v>428013</v>
      </c>
      <c r="K33" s="3"/>
    </row>
    <row r="34" spans="2:10" s="3" customFormat="1" ht="18">
      <c r="B34" s="83"/>
      <c r="C34" s="83"/>
      <c r="D34" s="83"/>
      <c r="E34" s="83"/>
      <c r="F34" s="83"/>
      <c r="G34" s="25"/>
      <c r="H34" s="83"/>
      <c r="I34" s="83"/>
      <c r="J34" s="27"/>
    </row>
    <row r="35" spans="2:11" s="28" customFormat="1" ht="21">
      <c r="B35" s="204" t="s">
        <v>106</v>
      </c>
      <c r="C35" s="205"/>
      <c r="D35" s="205"/>
      <c r="E35" s="213" t="s">
        <v>59</v>
      </c>
      <c r="F35" s="213"/>
      <c r="G35" s="171" t="s">
        <v>5</v>
      </c>
      <c r="H35" s="172" t="s">
        <v>6</v>
      </c>
      <c r="I35" s="173" t="s">
        <v>60</v>
      </c>
      <c r="J35" s="174" t="s">
        <v>1</v>
      </c>
      <c r="K35" s="3"/>
    </row>
    <row r="36" spans="2:10" s="3" customFormat="1" ht="18">
      <c r="B36" s="225" t="s">
        <v>35</v>
      </c>
      <c r="C36" s="226"/>
      <c r="D36" s="227"/>
      <c r="E36" s="214" t="s">
        <v>77</v>
      </c>
      <c r="F36" s="215"/>
      <c r="G36" s="169">
        <v>4</v>
      </c>
      <c r="H36" s="148" t="s">
        <v>63</v>
      </c>
      <c r="I36" s="158">
        <v>15000</v>
      </c>
      <c r="J36" s="127">
        <f>I36*G36</f>
        <v>60000</v>
      </c>
    </row>
    <row r="37" spans="2:10" s="3" customFormat="1" ht="18">
      <c r="B37" s="194" t="s">
        <v>54</v>
      </c>
      <c r="C37" s="193"/>
      <c r="D37" s="195"/>
      <c r="E37" s="216" t="s">
        <v>78</v>
      </c>
      <c r="F37" s="217"/>
      <c r="G37" s="170">
        <v>2</v>
      </c>
      <c r="H37" s="151" t="s">
        <v>63</v>
      </c>
      <c r="I37" s="159">
        <v>35000</v>
      </c>
      <c r="J37" s="128">
        <f>G37*I37</f>
        <v>70000</v>
      </c>
    </row>
    <row r="38" spans="2:10" s="3" customFormat="1" ht="18">
      <c r="B38" s="222" t="s">
        <v>46</v>
      </c>
      <c r="C38" s="223"/>
      <c r="D38" s="224"/>
      <c r="E38" s="216" t="s">
        <v>84</v>
      </c>
      <c r="F38" s="217"/>
      <c r="G38" s="167">
        <v>1</v>
      </c>
      <c r="H38" s="154" t="s">
        <v>63</v>
      </c>
      <c r="I38" s="160">
        <v>40000</v>
      </c>
      <c r="J38" s="128">
        <f>I38*G38</f>
        <v>40000</v>
      </c>
    </row>
    <row r="39" spans="2:10" s="3" customFormat="1" ht="18">
      <c r="B39" s="194" t="s">
        <v>40</v>
      </c>
      <c r="C39" s="193"/>
      <c r="D39" s="195"/>
      <c r="E39" s="216" t="s">
        <v>78</v>
      </c>
      <c r="F39" s="217"/>
      <c r="G39" s="167">
        <v>1</v>
      </c>
      <c r="H39" s="154" t="s">
        <v>63</v>
      </c>
      <c r="I39" s="160">
        <v>30000</v>
      </c>
      <c r="J39" s="128">
        <f>G39*I39</f>
        <v>30000</v>
      </c>
    </row>
    <row r="40" spans="2:10" s="3" customFormat="1" ht="18">
      <c r="B40" s="194" t="s">
        <v>48</v>
      </c>
      <c r="C40" s="193"/>
      <c r="D40" s="195"/>
      <c r="E40" s="216" t="s">
        <v>85</v>
      </c>
      <c r="F40" s="217"/>
      <c r="G40" s="167">
        <v>1</v>
      </c>
      <c r="H40" s="154" t="s">
        <v>63</v>
      </c>
      <c r="I40" s="160">
        <v>220000</v>
      </c>
      <c r="J40" s="128">
        <f>I40*G40</f>
        <v>220000</v>
      </c>
    </row>
    <row r="41" spans="2:10" s="3" customFormat="1" ht="18">
      <c r="B41" s="194" t="s">
        <v>47</v>
      </c>
      <c r="C41" s="193"/>
      <c r="D41" s="195"/>
      <c r="E41" s="218" t="s">
        <v>85</v>
      </c>
      <c r="F41" s="219"/>
      <c r="G41" s="167">
        <f>E13</f>
        <v>13000</v>
      </c>
      <c r="H41" s="154" t="s">
        <v>64</v>
      </c>
      <c r="I41" s="160">
        <v>7</v>
      </c>
      <c r="J41" s="128">
        <f>I41*G41</f>
        <v>91000</v>
      </c>
    </row>
    <row r="42" spans="2:12" ht="18">
      <c r="B42" s="220" t="s">
        <v>10</v>
      </c>
      <c r="C42" s="221"/>
      <c r="D42" s="221"/>
      <c r="E42" s="221"/>
      <c r="F42" s="221"/>
      <c r="G42" s="221"/>
      <c r="H42" s="221"/>
      <c r="I42" s="221"/>
      <c r="J42" s="123">
        <f>SUM(J36:J41)</f>
        <v>511000</v>
      </c>
      <c r="K42" s="3"/>
      <c r="L42" s="16"/>
    </row>
    <row r="43" spans="2:12" s="3" customFormat="1" ht="18">
      <c r="B43" s="83"/>
      <c r="C43" s="83"/>
      <c r="D43" s="83"/>
      <c r="E43" s="83"/>
      <c r="F43" s="83"/>
      <c r="G43" s="25"/>
      <c r="H43" s="83"/>
      <c r="I43" s="83"/>
      <c r="J43" s="27"/>
      <c r="L43" s="19"/>
    </row>
    <row r="44" spans="2:12" s="3" customFormat="1" ht="21">
      <c r="B44" s="204" t="s">
        <v>107</v>
      </c>
      <c r="C44" s="205"/>
      <c r="D44" s="205"/>
      <c r="E44" s="213" t="s">
        <v>59</v>
      </c>
      <c r="F44" s="213"/>
      <c r="G44" s="171" t="s">
        <v>5</v>
      </c>
      <c r="H44" s="172" t="s">
        <v>6</v>
      </c>
      <c r="I44" s="173" t="s">
        <v>60</v>
      </c>
      <c r="J44" s="174" t="s">
        <v>1</v>
      </c>
      <c r="L44" s="24"/>
    </row>
    <row r="45" spans="2:12" s="3" customFormat="1" ht="18">
      <c r="B45" s="231" t="s">
        <v>24</v>
      </c>
      <c r="C45" s="232"/>
      <c r="D45" s="233"/>
      <c r="E45" s="234"/>
      <c r="F45" s="217"/>
      <c r="G45" s="136"/>
      <c r="H45" s="126"/>
      <c r="I45" s="175"/>
      <c r="J45" s="127"/>
      <c r="L45" s="24"/>
    </row>
    <row r="46" spans="2:12" s="3" customFormat="1" ht="18">
      <c r="B46" s="138" t="s">
        <v>49</v>
      </c>
      <c r="C46" s="139"/>
      <c r="D46" s="140"/>
      <c r="E46" s="216" t="s">
        <v>87</v>
      </c>
      <c r="F46" s="217"/>
      <c r="G46" s="154">
        <v>150</v>
      </c>
      <c r="H46" s="155" t="s">
        <v>64</v>
      </c>
      <c r="I46" s="176">
        <v>350</v>
      </c>
      <c r="J46" s="128">
        <f>G46*I46</f>
        <v>52500</v>
      </c>
      <c r="L46" s="24"/>
    </row>
    <row r="47" spans="2:12" s="3" customFormat="1" ht="18">
      <c r="B47" s="138" t="s">
        <v>55</v>
      </c>
      <c r="C47" s="139"/>
      <c r="D47" s="140"/>
      <c r="E47" s="216" t="s">
        <v>88</v>
      </c>
      <c r="F47" s="217"/>
      <c r="G47" s="154">
        <v>300</v>
      </c>
      <c r="H47" s="155" t="s">
        <v>64</v>
      </c>
      <c r="I47" s="176">
        <v>664</v>
      </c>
      <c r="J47" s="128">
        <f>G47*I47</f>
        <v>199200</v>
      </c>
      <c r="L47" s="24"/>
    </row>
    <row r="48" spans="2:12" s="3" customFormat="1" ht="18">
      <c r="B48" s="228" t="s">
        <v>25</v>
      </c>
      <c r="C48" s="229"/>
      <c r="D48" s="230"/>
      <c r="E48" s="216"/>
      <c r="F48" s="217"/>
      <c r="G48" s="154"/>
      <c r="H48" s="155"/>
      <c r="I48" s="176"/>
      <c r="J48" s="128"/>
      <c r="L48" s="24"/>
    </row>
    <row r="49" spans="2:12" s="3" customFormat="1" ht="18">
      <c r="B49" s="178" t="s">
        <v>100</v>
      </c>
      <c r="C49" s="139"/>
      <c r="D49" s="140"/>
      <c r="E49" s="216" t="s">
        <v>78</v>
      </c>
      <c r="F49" s="217"/>
      <c r="G49" s="154">
        <v>4</v>
      </c>
      <c r="H49" s="155" t="s">
        <v>65</v>
      </c>
      <c r="I49" s="161">
        <v>4500</v>
      </c>
      <c r="J49" s="128">
        <f>G49*I49</f>
        <v>18000</v>
      </c>
      <c r="L49" s="24"/>
    </row>
    <row r="50" spans="2:12" s="3" customFormat="1" ht="18">
      <c r="B50" s="186" t="s">
        <v>104</v>
      </c>
      <c r="C50" s="187"/>
      <c r="D50" s="188"/>
      <c r="E50" s="235" t="s">
        <v>89</v>
      </c>
      <c r="F50" s="236"/>
      <c r="G50" s="151">
        <v>120</v>
      </c>
      <c r="H50" s="152" t="s">
        <v>64</v>
      </c>
      <c r="I50" s="189">
        <v>490</v>
      </c>
      <c r="J50" s="190">
        <f>G50*I50</f>
        <v>58800</v>
      </c>
      <c r="L50" s="24"/>
    </row>
    <row r="51" spans="2:12" s="3" customFormat="1" ht="18">
      <c r="B51" s="178" t="s">
        <v>101</v>
      </c>
      <c r="C51" s="139"/>
      <c r="D51" s="140"/>
      <c r="E51" s="216" t="s">
        <v>82</v>
      </c>
      <c r="F51" s="217"/>
      <c r="G51" s="154">
        <v>2</v>
      </c>
      <c r="H51" s="155" t="s">
        <v>64</v>
      </c>
      <c r="I51" s="161">
        <v>10500</v>
      </c>
      <c r="J51" s="128">
        <f>G51*I51</f>
        <v>21000</v>
      </c>
      <c r="L51" s="24"/>
    </row>
    <row r="52" spans="2:12" s="3" customFormat="1" ht="18">
      <c r="B52" s="191" t="s">
        <v>34</v>
      </c>
      <c r="C52" s="193"/>
      <c r="D52" s="195"/>
      <c r="E52" s="234"/>
      <c r="F52" s="217"/>
      <c r="G52" s="162"/>
      <c r="H52" s="163"/>
      <c r="I52" s="176"/>
      <c r="J52" s="128"/>
      <c r="L52" s="24"/>
    </row>
    <row r="53" spans="2:12" s="3" customFormat="1" ht="18">
      <c r="B53" s="178" t="s">
        <v>102</v>
      </c>
      <c r="C53" s="139"/>
      <c r="D53" s="140"/>
      <c r="E53" s="216" t="s">
        <v>90</v>
      </c>
      <c r="F53" s="217"/>
      <c r="G53" s="154">
        <v>5</v>
      </c>
      <c r="H53" s="155" t="s">
        <v>65</v>
      </c>
      <c r="I53" s="176">
        <v>6740</v>
      </c>
      <c r="J53" s="128">
        <f>G53*I53</f>
        <v>33700</v>
      </c>
      <c r="L53" s="24"/>
    </row>
    <row r="54" spans="2:12" s="3" customFormat="1" ht="18">
      <c r="B54" s="192" t="s">
        <v>32</v>
      </c>
      <c r="C54" s="139"/>
      <c r="D54" s="140"/>
      <c r="E54" s="234"/>
      <c r="F54" s="217"/>
      <c r="G54" s="162"/>
      <c r="H54" s="163"/>
      <c r="I54" s="176"/>
      <c r="J54" s="128"/>
      <c r="L54" s="24"/>
    </row>
    <row r="55" spans="2:12" s="3" customFormat="1" ht="18">
      <c r="B55" s="138" t="s">
        <v>50</v>
      </c>
      <c r="C55" s="139"/>
      <c r="D55" s="140"/>
      <c r="E55" s="216" t="s">
        <v>86</v>
      </c>
      <c r="F55" s="217"/>
      <c r="G55" s="154">
        <v>1</v>
      </c>
      <c r="H55" s="161" t="s">
        <v>63</v>
      </c>
      <c r="I55" s="176">
        <v>80000</v>
      </c>
      <c r="J55" s="128">
        <f>G55*I55</f>
        <v>80000</v>
      </c>
      <c r="L55" s="24"/>
    </row>
    <row r="56" spans="2:12" s="3" customFormat="1" ht="18">
      <c r="B56" s="138" t="s">
        <v>51</v>
      </c>
      <c r="C56" s="139"/>
      <c r="D56" s="140"/>
      <c r="E56" s="216" t="s">
        <v>78</v>
      </c>
      <c r="F56" s="217"/>
      <c r="G56" s="154">
        <v>50</v>
      </c>
      <c r="H56" s="161" t="s">
        <v>66</v>
      </c>
      <c r="I56" s="176">
        <v>1500</v>
      </c>
      <c r="J56" s="128">
        <f>G56*I56</f>
        <v>75000</v>
      </c>
      <c r="L56" s="24"/>
    </row>
    <row r="57" spans="2:12" s="3" customFormat="1" ht="18">
      <c r="B57" s="138" t="s">
        <v>52</v>
      </c>
      <c r="C57" s="139"/>
      <c r="D57" s="140"/>
      <c r="E57" s="216" t="s">
        <v>91</v>
      </c>
      <c r="F57" s="217"/>
      <c r="G57" s="154">
        <v>1</v>
      </c>
      <c r="H57" s="161" t="s">
        <v>66</v>
      </c>
      <c r="I57" s="176">
        <v>12000</v>
      </c>
      <c r="J57" s="128">
        <f>G57*I57</f>
        <v>12000</v>
      </c>
      <c r="L57" s="24"/>
    </row>
    <row r="58" spans="2:12" s="3" customFormat="1" ht="18" customHeight="1">
      <c r="B58" s="138" t="s">
        <v>108</v>
      </c>
      <c r="C58" s="139"/>
      <c r="D58" s="140"/>
      <c r="E58" s="216" t="s">
        <v>92</v>
      </c>
      <c r="F58" s="217"/>
      <c r="G58" s="164">
        <v>1</v>
      </c>
      <c r="H58" s="161" t="s">
        <v>67</v>
      </c>
      <c r="I58" s="177">
        <v>28000</v>
      </c>
      <c r="J58" s="132">
        <f>G58*I58</f>
        <v>28000</v>
      </c>
      <c r="L58" s="24"/>
    </row>
    <row r="59" spans="2:14" ht="18">
      <c r="B59" s="237" t="s">
        <v>11</v>
      </c>
      <c r="C59" s="238"/>
      <c r="D59" s="238"/>
      <c r="E59" s="238"/>
      <c r="F59" s="238"/>
      <c r="G59" s="238"/>
      <c r="H59" s="238"/>
      <c r="I59" s="238"/>
      <c r="J59" s="124">
        <f>SUM(J45:J58)</f>
        <v>578200</v>
      </c>
      <c r="K59" s="16"/>
      <c r="M59" s="16"/>
      <c r="N59" s="16"/>
    </row>
    <row r="60" spans="2:14" s="3" customFormat="1" ht="18">
      <c r="B60" s="29"/>
      <c r="C60" s="29"/>
      <c r="D60" s="29"/>
      <c r="E60" s="29"/>
      <c r="F60" s="29"/>
      <c r="G60" s="30"/>
      <c r="H60" s="29"/>
      <c r="I60" s="29"/>
      <c r="J60" s="31"/>
      <c r="K60" s="16"/>
      <c r="M60" s="16"/>
      <c r="N60" s="16"/>
    </row>
    <row r="61" spans="2:16" ht="18" customHeight="1">
      <c r="B61" s="204" t="s">
        <v>118</v>
      </c>
      <c r="C61" s="205"/>
      <c r="D61" s="205"/>
      <c r="E61" s="212"/>
      <c r="F61" s="212"/>
      <c r="G61" s="171" t="s">
        <v>5</v>
      </c>
      <c r="H61" s="172" t="s">
        <v>6</v>
      </c>
      <c r="I61" s="173"/>
      <c r="J61" s="174" t="s">
        <v>1</v>
      </c>
      <c r="K61" s="16"/>
      <c r="M61" s="16"/>
      <c r="N61" s="16"/>
      <c r="O61" s="9"/>
      <c r="P61" s="9"/>
    </row>
    <row r="62" spans="2:14" s="3" customFormat="1" ht="18">
      <c r="B62" s="264" t="s">
        <v>119</v>
      </c>
      <c r="C62" s="265"/>
      <c r="D62" s="266"/>
      <c r="E62" s="267"/>
      <c r="F62" s="268"/>
      <c r="G62" s="269">
        <v>0.05</v>
      </c>
      <c r="H62" s="270" t="s">
        <v>93</v>
      </c>
      <c r="I62" s="271"/>
      <c r="J62" s="272">
        <f>(J33+J42+J59)*G62</f>
        <v>75860.65000000001</v>
      </c>
      <c r="K62" s="16"/>
      <c r="M62" s="16"/>
      <c r="N62" s="16"/>
    </row>
    <row r="63" spans="2:14" s="3" customFormat="1" ht="18">
      <c r="B63" s="29"/>
      <c r="C63" s="29"/>
      <c r="D63" s="29"/>
      <c r="E63" s="29"/>
      <c r="F63" s="29"/>
      <c r="G63" s="30"/>
      <c r="H63" s="29"/>
      <c r="I63" s="29"/>
      <c r="J63" s="31"/>
      <c r="K63" s="16"/>
      <c r="M63" s="16"/>
      <c r="N63" s="16"/>
    </row>
    <row r="64" spans="2:16" ht="18">
      <c r="B64" s="239" t="s">
        <v>120</v>
      </c>
      <c r="C64" s="240"/>
      <c r="D64" s="240"/>
      <c r="E64" s="240"/>
      <c r="F64" s="240"/>
      <c r="G64" s="240"/>
      <c r="H64" s="240"/>
      <c r="I64" s="240"/>
      <c r="J64" s="103">
        <f>J33+J42+J59+J62</f>
        <v>1593073.65</v>
      </c>
      <c r="K64" s="16"/>
      <c r="M64" s="16"/>
      <c r="N64" s="16"/>
      <c r="O64" s="9"/>
      <c r="P64" s="9"/>
    </row>
    <row r="65" spans="2:14" s="3" customFormat="1" ht="18">
      <c r="B65" s="131"/>
      <c r="C65" s="131"/>
      <c r="D65" s="131"/>
      <c r="E65" s="131"/>
      <c r="F65" s="131"/>
      <c r="G65" s="179"/>
      <c r="H65" s="180"/>
      <c r="I65" s="131"/>
      <c r="J65" s="27"/>
      <c r="K65" s="16"/>
      <c r="M65" s="16"/>
      <c r="N65" s="16"/>
    </row>
    <row r="66" spans="2:14" s="3" customFormat="1" ht="20.25">
      <c r="B66" s="119" t="s">
        <v>121</v>
      </c>
      <c r="C66" s="118"/>
      <c r="D66" s="118"/>
      <c r="E66" s="20"/>
      <c r="F66" s="20"/>
      <c r="G66" s="181"/>
      <c r="H66" s="145"/>
      <c r="I66" s="23"/>
      <c r="J66" s="23"/>
      <c r="K66" s="16"/>
      <c r="M66" s="16"/>
      <c r="N66" s="16"/>
    </row>
    <row r="67" spans="2:14" s="3" customFormat="1" ht="18">
      <c r="B67" s="241" t="s">
        <v>31</v>
      </c>
      <c r="C67" s="212"/>
      <c r="D67" s="212"/>
      <c r="E67" s="212"/>
      <c r="F67" s="212"/>
      <c r="G67" s="171" t="s">
        <v>5</v>
      </c>
      <c r="H67" s="172" t="s">
        <v>6</v>
      </c>
      <c r="I67" s="173"/>
      <c r="J67" s="174" t="s">
        <v>1</v>
      </c>
      <c r="K67" s="16"/>
      <c r="M67" s="16"/>
      <c r="N67" s="16"/>
    </row>
    <row r="68" spans="2:15" s="3" customFormat="1" ht="21">
      <c r="B68" s="251" t="s">
        <v>109</v>
      </c>
      <c r="C68" s="252"/>
      <c r="D68" s="252"/>
      <c r="E68" s="210"/>
      <c r="F68" s="211"/>
      <c r="G68" s="257">
        <f>E16</f>
        <v>0.015</v>
      </c>
      <c r="H68" s="260" t="s">
        <v>93</v>
      </c>
      <c r="I68" s="261"/>
      <c r="J68" s="253">
        <f>J64*E16*E17*0.5</f>
        <v>143376.6285</v>
      </c>
      <c r="K68" s="16"/>
      <c r="L68" s="306"/>
      <c r="M68" s="306"/>
      <c r="N68" s="306"/>
      <c r="O68" s="306"/>
    </row>
    <row r="69" spans="2:15" s="3" customFormat="1" ht="18">
      <c r="B69" s="222" t="s">
        <v>127</v>
      </c>
      <c r="C69" s="254"/>
      <c r="D69" s="254"/>
      <c r="E69" s="206"/>
      <c r="F69" s="207"/>
      <c r="G69" s="258"/>
      <c r="H69" s="155"/>
      <c r="I69" s="262"/>
      <c r="J69" s="11"/>
      <c r="K69" s="16"/>
      <c r="L69" s="193"/>
      <c r="M69" s="193"/>
      <c r="N69" s="193"/>
      <c r="O69" s="193"/>
    </row>
    <row r="70" spans="2:15" s="3" customFormat="1" ht="18">
      <c r="B70" s="222" t="s">
        <v>128</v>
      </c>
      <c r="C70" s="254"/>
      <c r="D70" s="254"/>
      <c r="E70" s="206"/>
      <c r="F70" s="207"/>
      <c r="G70" s="258"/>
      <c r="H70" s="155"/>
      <c r="I70" s="262"/>
      <c r="J70" s="11"/>
      <c r="K70" s="16"/>
      <c r="L70" s="193"/>
      <c r="M70" s="193"/>
      <c r="N70" s="193"/>
      <c r="O70" s="193"/>
    </row>
    <row r="71" spans="2:15" s="3" customFormat="1" ht="18">
      <c r="B71" s="81" t="s">
        <v>129</v>
      </c>
      <c r="C71" s="255"/>
      <c r="D71" s="255"/>
      <c r="E71" s="208"/>
      <c r="F71" s="209"/>
      <c r="G71" s="259"/>
      <c r="H71" s="156"/>
      <c r="I71" s="263"/>
      <c r="J71" s="256"/>
      <c r="K71" s="16"/>
      <c r="L71" s="193"/>
      <c r="M71" s="193"/>
      <c r="N71" s="193"/>
      <c r="O71" s="193"/>
    </row>
    <row r="72" spans="2:14" ht="18">
      <c r="B72" s="220" t="s">
        <v>28</v>
      </c>
      <c r="C72" s="221"/>
      <c r="D72" s="221"/>
      <c r="E72" s="221"/>
      <c r="F72" s="221"/>
      <c r="G72" s="221"/>
      <c r="H72" s="221"/>
      <c r="I72" s="221"/>
      <c r="J72" s="103">
        <f>SUM(J68:J71)</f>
        <v>143376.6285</v>
      </c>
      <c r="K72" s="16"/>
      <c r="M72" s="16"/>
      <c r="N72" s="16"/>
    </row>
    <row r="73" spans="2:12" s="3" customFormat="1" ht="18">
      <c r="B73" s="83"/>
      <c r="C73" s="83"/>
      <c r="D73" s="83"/>
      <c r="E73" s="83"/>
      <c r="F73" s="83"/>
      <c r="G73" s="25"/>
      <c r="H73" s="83"/>
      <c r="I73" s="83"/>
      <c r="J73" s="27"/>
      <c r="K73" s="16"/>
      <c r="L73" s="16"/>
    </row>
    <row r="74" spans="2:12" ht="18">
      <c r="B74" s="242" t="s">
        <v>13</v>
      </c>
      <c r="C74" s="243"/>
      <c r="D74" s="243"/>
      <c r="E74" s="243"/>
      <c r="F74" s="243"/>
      <c r="G74" s="243"/>
      <c r="H74" s="243"/>
      <c r="I74" s="243"/>
      <c r="J74" s="246">
        <f>J64+J72</f>
        <v>1736450.2785</v>
      </c>
      <c r="K74" s="16"/>
      <c r="L74" s="16"/>
    </row>
    <row r="75" spans="2:12" s="3" customFormat="1" ht="18">
      <c r="B75" s="244"/>
      <c r="C75" s="245"/>
      <c r="D75" s="245"/>
      <c r="E75" s="245"/>
      <c r="F75" s="245"/>
      <c r="G75" s="245"/>
      <c r="H75" s="245"/>
      <c r="I75" s="245"/>
      <c r="J75" s="247"/>
      <c r="K75" s="16"/>
      <c r="L75" s="16"/>
    </row>
    <row r="76" spans="2:12" s="3" customFormat="1" ht="18" customHeight="1">
      <c r="B76" s="134"/>
      <c r="C76" s="134"/>
      <c r="D76" s="134"/>
      <c r="E76" s="134"/>
      <c r="F76" s="134"/>
      <c r="G76" s="134"/>
      <c r="H76" s="134"/>
      <c r="I76" s="134"/>
      <c r="J76" s="135"/>
      <c r="K76" s="16"/>
      <c r="L76" s="16"/>
    </row>
    <row r="77" spans="2:12" ht="18" customHeight="1">
      <c r="B77" s="291" t="s">
        <v>110</v>
      </c>
      <c r="C77" s="292"/>
      <c r="D77" s="292"/>
      <c r="E77" s="292"/>
      <c r="F77" s="292"/>
      <c r="G77" s="292"/>
      <c r="H77" s="292"/>
      <c r="I77" s="292"/>
      <c r="J77" s="293"/>
      <c r="K77" s="16"/>
      <c r="L77" s="24"/>
    </row>
    <row r="78" spans="2:12" ht="18" customHeight="1">
      <c r="B78" s="298" t="s">
        <v>94</v>
      </c>
      <c r="C78" s="299"/>
      <c r="D78" s="299"/>
      <c r="E78" s="299"/>
      <c r="F78" s="299"/>
      <c r="G78" s="299"/>
      <c r="H78" s="299"/>
      <c r="I78" s="299"/>
      <c r="J78" s="300"/>
      <c r="K78" s="16"/>
      <c r="L78" s="24"/>
    </row>
    <row r="79" spans="2:12" s="3" customFormat="1" ht="18" customHeight="1">
      <c r="B79" s="284" t="s">
        <v>96</v>
      </c>
      <c r="C79" s="284"/>
      <c r="D79" s="284"/>
      <c r="E79" s="285" t="s">
        <v>95</v>
      </c>
      <c r="F79" s="286"/>
      <c r="G79" s="286"/>
      <c r="H79" s="286"/>
      <c r="I79" s="286"/>
      <c r="J79" s="287"/>
      <c r="K79" s="16"/>
      <c r="L79" s="24"/>
    </row>
    <row r="80" spans="2:12" s="3" customFormat="1" ht="18" customHeight="1">
      <c r="B80" s="284"/>
      <c r="C80" s="284"/>
      <c r="D80" s="284"/>
      <c r="E80" s="278">
        <f>G80*0.9</f>
        <v>171</v>
      </c>
      <c r="F80" s="278"/>
      <c r="G80" s="320">
        <f>E14</f>
        <v>190</v>
      </c>
      <c r="H80" s="320"/>
      <c r="I80" s="296">
        <f>G80*1.1</f>
        <v>209.00000000000003</v>
      </c>
      <c r="J80" s="297"/>
      <c r="K80" s="16"/>
      <c r="L80" s="24"/>
    </row>
    <row r="81" spans="2:12" s="3" customFormat="1" ht="18" customHeight="1">
      <c r="B81" s="278">
        <f>B82*0.9</f>
        <v>11700</v>
      </c>
      <c r="C81" s="278"/>
      <c r="D81" s="278"/>
      <c r="E81" s="277">
        <f>E$80*$B$81-J74</f>
        <v>264249.7215</v>
      </c>
      <c r="F81" s="277"/>
      <c r="G81" s="277">
        <f>G$80*$B$81-J74</f>
        <v>486549.7215</v>
      </c>
      <c r="H81" s="277"/>
      <c r="I81" s="294">
        <f>I$80*$B$81-J74</f>
        <v>708849.7215000005</v>
      </c>
      <c r="J81" s="295"/>
      <c r="K81" s="16"/>
      <c r="L81" s="24"/>
    </row>
    <row r="82" spans="2:12" s="3" customFormat="1" ht="18" customHeight="1">
      <c r="B82" s="278">
        <f>E13</f>
        <v>13000</v>
      </c>
      <c r="C82" s="278"/>
      <c r="D82" s="278"/>
      <c r="E82" s="277">
        <f>E$80*$B$82-$J$74</f>
        <v>486549.7215</v>
      </c>
      <c r="F82" s="277"/>
      <c r="G82" s="277">
        <f>G$80*$B$82-$J$74</f>
        <v>733549.7215</v>
      </c>
      <c r="H82" s="277"/>
      <c r="I82" s="294">
        <f>I$80*$B$82-$J$74</f>
        <v>980549.7215000005</v>
      </c>
      <c r="J82" s="295"/>
      <c r="K82" s="16"/>
      <c r="L82" s="24"/>
    </row>
    <row r="83" spans="2:12" s="3" customFormat="1" ht="18" customHeight="1">
      <c r="B83" s="278">
        <f>B82*1.1</f>
        <v>14300.000000000002</v>
      </c>
      <c r="C83" s="278"/>
      <c r="D83" s="278"/>
      <c r="E83" s="277">
        <f>E$80*$B$83-J74</f>
        <v>708849.7215000005</v>
      </c>
      <c r="F83" s="277"/>
      <c r="G83" s="277">
        <f>G$80*$B$83-J74</f>
        <v>980549.7215000005</v>
      </c>
      <c r="H83" s="277"/>
      <c r="I83" s="294">
        <f>I$80*$B$83-J74</f>
        <v>1252249.721500001</v>
      </c>
      <c r="J83" s="295"/>
      <c r="K83" s="16"/>
      <c r="L83" s="24"/>
    </row>
    <row r="84" spans="2:12" s="3" customFormat="1" ht="18" customHeight="1">
      <c r="B84" s="33"/>
      <c r="C84" s="33"/>
      <c r="D84" s="34"/>
      <c r="E84" s="34"/>
      <c r="F84" s="34"/>
      <c r="G84" s="35"/>
      <c r="H84" s="12"/>
      <c r="I84" s="15"/>
      <c r="J84" s="15"/>
      <c r="K84" s="16"/>
      <c r="L84" s="24"/>
    </row>
    <row r="85" spans="2:12" s="3" customFormat="1" ht="18" customHeight="1">
      <c r="B85" s="288" t="s">
        <v>111</v>
      </c>
      <c r="C85" s="289"/>
      <c r="D85" s="289"/>
      <c r="E85" s="289"/>
      <c r="F85" s="289"/>
      <c r="G85" s="289"/>
      <c r="H85" s="289"/>
      <c r="I85" s="289"/>
      <c r="J85" s="290"/>
      <c r="K85" s="16"/>
      <c r="L85" s="24"/>
    </row>
    <row r="86" spans="2:12" s="3" customFormat="1" ht="18" customHeight="1">
      <c r="B86" s="248"/>
      <c r="C86" s="249"/>
      <c r="D86" s="249"/>
      <c r="E86" s="249"/>
      <c r="F86" s="249"/>
      <c r="G86" s="249"/>
      <c r="H86" s="249"/>
      <c r="I86" s="249"/>
      <c r="J86" s="250"/>
      <c r="K86" s="16"/>
      <c r="L86" s="24"/>
    </row>
    <row r="87" spans="2:12" s="3" customFormat="1" ht="18" customHeight="1">
      <c r="B87" s="304" t="s">
        <v>96</v>
      </c>
      <c r="C87" s="282"/>
      <c r="D87" s="282"/>
      <c r="E87" s="282">
        <f>B81</f>
        <v>11700</v>
      </c>
      <c r="F87" s="282"/>
      <c r="G87" s="282">
        <f>E13</f>
        <v>13000</v>
      </c>
      <c r="H87" s="282"/>
      <c r="I87" s="282">
        <f>B83</f>
        <v>14300.000000000002</v>
      </c>
      <c r="J87" s="328"/>
      <c r="K87" s="16"/>
      <c r="L87" s="24"/>
    </row>
    <row r="88" spans="2:12" ht="18" customHeight="1">
      <c r="B88" s="305"/>
      <c r="C88" s="283"/>
      <c r="D88" s="283"/>
      <c r="E88" s="283"/>
      <c r="F88" s="283"/>
      <c r="G88" s="283"/>
      <c r="H88" s="283"/>
      <c r="I88" s="283"/>
      <c r="J88" s="329"/>
      <c r="K88" s="16"/>
      <c r="L88" s="24"/>
    </row>
    <row r="89" spans="2:12" ht="18" customHeight="1">
      <c r="B89" s="273" t="s">
        <v>97</v>
      </c>
      <c r="C89" s="274"/>
      <c r="D89" s="274"/>
      <c r="E89" s="302">
        <f>J74/'vid vinífera_sauvignon_valparaí'!E87</f>
        <v>148.4145537179487</v>
      </c>
      <c r="F89" s="302"/>
      <c r="G89" s="303">
        <f>$J$74/G87</f>
        <v>133.57309834615384</v>
      </c>
      <c r="H89" s="303"/>
      <c r="I89" s="302">
        <f>J74/'vid vinífera_sauvignon_valparaí'!I87</f>
        <v>121.43008940559439</v>
      </c>
      <c r="J89" s="326"/>
      <c r="K89" s="16"/>
      <c r="L89" s="24"/>
    </row>
    <row r="90" spans="2:12" ht="18" customHeight="1">
      <c r="B90" s="275"/>
      <c r="C90" s="276"/>
      <c r="D90" s="276"/>
      <c r="E90" s="303"/>
      <c r="F90" s="303"/>
      <c r="G90" s="303"/>
      <c r="H90" s="303"/>
      <c r="I90" s="303"/>
      <c r="J90" s="327"/>
      <c r="K90" s="16"/>
      <c r="L90" s="24"/>
    </row>
    <row r="91" spans="2:12" ht="18" customHeight="1">
      <c r="B91" s="45"/>
      <c r="C91" s="1"/>
      <c r="D91" s="3"/>
      <c r="E91" s="3"/>
      <c r="F91" s="104"/>
      <c r="G91" s="104"/>
      <c r="H91" s="104"/>
      <c r="I91" s="15"/>
      <c r="J91" s="15"/>
      <c r="K91" s="16"/>
      <c r="L91" s="24"/>
    </row>
    <row r="92" spans="2:11" s="3" customFormat="1" ht="18" customHeight="1">
      <c r="B92" s="317" t="s">
        <v>15</v>
      </c>
      <c r="C92" s="318"/>
      <c r="D92" s="318"/>
      <c r="E92" s="318"/>
      <c r="F92" s="318"/>
      <c r="G92" s="318"/>
      <c r="H92" s="318"/>
      <c r="I92" s="318"/>
      <c r="J92" s="319"/>
      <c r="K92" s="79"/>
    </row>
    <row r="93" spans="2:14" s="3" customFormat="1" ht="19.5" customHeight="1">
      <c r="B93" s="279" t="s">
        <v>98</v>
      </c>
      <c r="C93" s="280"/>
      <c r="D93" s="280"/>
      <c r="E93" s="280"/>
      <c r="F93" s="280"/>
      <c r="G93" s="280"/>
      <c r="H93" s="280"/>
      <c r="I93" s="280"/>
      <c r="J93" s="281"/>
      <c r="K93" s="79"/>
      <c r="N93" s="105"/>
    </row>
    <row r="94" spans="2:14" s="3" customFormat="1" ht="18.75" customHeight="1">
      <c r="B94" s="279" t="s">
        <v>53</v>
      </c>
      <c r="C94" s="280"/>
      <c r="D94" s="280"/>
      <c r="E94" s="280"/>
      <c r="F94" s="280"/>
      <c r="G94" s="280"/>
      <c r="H94" s="280"/>
      <c r="I94" s="280"/>
      <c r="J94" s="281"/>
      <c r="K94" s="79"/>
      <c r="N94" s="105"/>
    </row>
    <row r="95" spans="2:14" s="3" customFormat="1" ht="18.75" customHeight="1">
      <c r="B95" s="279" t="s">
        <v>112</v>
      </c>
      <c r="C95" s="280"/>
      <c r="D95" s="280"/>
      <c r="E95" s="280"/>
      <c r="F95" s="280"/>
      <c r="G95" s="280"/>
      <c r="H95" s="280"/>
      <c r="I95" s="280"/>
      <c r="J95" s="281"/>
      <c r="K95" s="79"/>
      <c r="N95" s="105"/>
    </row>
    <row r="96" spans="2:11" s="3" customFormat="1" ht="32.25" customHeight="1">
      <c r="B96" s="279" t="s">
        <v>113</v>
      </c>
      <c r="C96" s="280"/>
      <c r="D96" s="280"/>
      <c r="E96" s="280"/>
      <c r="F96" s="280"/>
      <c r="G96" s="280"/>
      <c r="H96" s="280"/>
      <c r="I96" s="280"/>
      <c r="J96" s="281"/>
      <c r="K96" s="80"/>
    </row>
    <row r="97" spans="2:11" s="3" customFormat="1" ht="18" customHeight="1">
      <c r="B97" s="279" t="s">
        <v>114</v>
      </c>
      <c r="C97" s="280"/>
      <c r="D97" s="280"/>
      <c r="E97" s="280"/>
      <c r="F97" s="280"/>
      <c r="G97" s="280"/>
      <c r="H97" s="280"/>
      <c r="I97" s="280"/>
      <c r="J97" s="281"/>
      <c r="K97" s="79"/>
    </row>
    <row r="98" spans="2:11" s="3" customFormat="1" ht="18" customHeight="1">
      <c r="B98" s="279" t="s">
        <v>117</v>
      </c>
      <c r="C98" s="280"/>
      <c r="D98" s="280"/>
      <c r="E98" s="280"/>
      <c r="F98" s="280"/>
      <c r="G98" s="280"/>
      <c r="H98" s="280"/>
      <c r="I98" s="280"/>
      <c r="J98" s="281"/>
      <c r="K98" s="79"/>
    </row>
    <row r="99" spans="2:11" s="3" customFormat="1" ht="17.25" customHeight="1">
      <c r="B99" s="330" t="s">
        <v>115</v>
      </c>
      <c r="C99" s="331"/>
      <c r="D99" s="331"/>
      <c r="E99" s="331"/>
      <c r="F99" s="331"/>
      <c r="G99" s="331"/>
      <c r="H99" s="331"/>
      <c r="I99" s="331"/>
      <c r="J99" s="332"/>
      <c r="K99" s="79"/>
    </row>
    <row r="100" spans="2:11" s="3" customFormat="1" ht="18" customHeight="1">
      <c r="B100" s="323" t="s">
        <v>116</v>
      </c>
      <c r="C100" s="324"/>
      <c r="D100" s="324"/>
      <c r="E100" s="324"/>
      <c r="F100" s="324"/>
      <c r="G100" s="324"/>
      <c r="H100" s="324"/>
      <c r="I100" s="324"/>
      <c r="J100" s="325"/>
      <c r="K100" s="80"/>
    </row>
    <row r="101" spans="2:11" s="3" customFormat="1" ht="18" customHeight="1">
      <c r="B101" s="144"/>
      <c r="C101" s="144"/>
      <c r="D101" s="144"/>
      <c r="E101" s="144"/>
      <c r="F101" s="144"/>
      <c r="G101" s="144"/>
      <c r="H101" s="144"/>
      <c r="I101" s="144"/>
      <c r="J101" s="144"/>
      <c r="K101" s="80"/>
    </row>
    <row r="102" spans="2:11" s="3" customFormat="1" ht="18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2"/>
    </row>
    <row r="103" spans="2:11" s="3" customFormat="1" ht="16.5" customHeight="1">
      <c r="B103" s="38"/>
      <c r="C103" s="38"/>
      <c r="D103" s="38"/>
      <c r="E103" s="38"/>
      <c r="F103" s="38"/>
      <c r="G103" s="39"/>
      <c r="H103" s="38"/>
      <c r="I103" s="38"/>
      <c r="J103" s="38"/>
      <c r="K103" s="9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2" s="3" customFormat="1" ht="15">
      <c r="B108" s="66"/>
      <c r="C108" s="66"/>
      <c r="D108" s="66"/>
      <c r="E108" s="66"/>
      <c r="F108" s="66"/>
      <c r="G108" s="67"/>
      <c r="H108" s="66"/>
      <c r="I108" s="66"/>
      <c r="J108" s="66"/>
      <c r="K108" s="68"/>
      <c r="L108" s="66"/>
    </row>
    <row r="109" spans="2:12" s="3" customFormat="1" ht="15">
      <c r="B109" s="66"/>
      <c r="C109" s="66"/>
      <c r="D109" s="66"/>
      <c r="E109" s="66"/>
      <c r="F109" s="66"/>
      <c r="G109" s="67"/>
      <c r="H109" s="66"/>
      <c r="I109" s="66"/>
      <c r="J109" s="66"/>
      <c r="K109" s="68"/>
      <c r="L109" s="66"/>
    </row>
    <row r="110" spans="2:12" s="3" customFormat="1" ht="15">
      <c r="B110" s="66"/>
      <c r="C110" s="66"/>
      <c r="D110" s="66"/>
      <c r="E110" s="66"/>
      <c r="F110" s="66"/>
      <c r="G110" s="67"/>
      <c r="H110" s="66"/>
      <c r="I110" s="66"/>
      <c r="J110" s="66"/>
      <c r="K110" s="68"/>
      <c r="L110" s="66"/>
    </row>
    <row r="111" spans="2:12" s="3" customFormat="1" ht="15">
      <c r="B111" s="66"/>
      <c r="C111" s="66"/>
      <c r="D111" s="66"/>
      <c r="E111" s="66"/>
      <c r="F111" s="66"/>
      <c r="G111" s="67"/>
      <c r="H111" s="66"/>
      <c r="I111" s="66"/>
      <c r="J111" s="66"/>
      <c r="K111" s="68"/>
      <c r="L111" s="66"/>
    </row>
    <row r="112" spans="2:12" ht="18">
      <c r="B112" s="55"/>
      <c r="C112" s="55"/>
      <c r="D112" s="56"/>
      <c r="E112" s="56"/>
      <c r="F112" s="57"/>
      <c r="G112" s="57"/>
      <c r="H112" s="57"/>
      <c r="I112" s="66"/>
      <c r="J112" s="66"/>
      <c r="K112" s="68"/>
      <c r="L112" s="66"/>
    </row>
    <row r="113" spans="2:12" ht="18">
      <c r="B113" s="55"/>
      <c r="C113" s="58"/>
      <c r="D113" s="58"/>
      <c r="E113" s="59"/>
      <c r="F113" s="58"/>
      <c r="G113" s="60"/>
      <c r="H113" s="61"/>
      <c r="I113" s="66"/>
      <c r="J113" s="66"/>
      <c r="K113" s="68"/>
      <c r="L113" s="66"/>
    </row>
    <row r="114" spans="2:12" ht="18">
      <c r="B114" s="56"/>
      <c r="C114" s="56"/>
      <c r="D114" s="56"/>
      <c r="E114" s="56"/>
      <c r="F114" s="56"/>
      <c r="G114" s="56"/>
      <c r="H114" s="56"/>
      <c r="I114" s="66"/>
      <c r="J114" s="66"/>
      <c r="K114" s="68"/>
      <c r="L114" s="66"/>
    </row>
    <row r="115" spans="2:12" ht="18">
      <c r="B115" s="55"/>
      <c r="C115" s="56"/>
      <c r="D115" s="56"/>
      <c r="E115" s="56"/>
      <c r="F115" s="56"/>
      <c r="G115" s="56"/>
      <c r="H115" s="56"/>
      <c r="I115" s="66"/>
      <c r="J115" s="66"/>
      <c r="K115" s="68"/>
      <c r="L115" s="66"/>
    </row>
    <row r="116" spans="2:12" ht="18">
      <c r="B116" s="69"/>
      <c r="C116" s="70"/>
      <c r="D116" s="70"/>
      <c r="E116" s="62"/>
      <c r="F116" s="62"/>
      <c r="G116" s="62"/>
      <c r="H116" s="62"/>
      <c r="I116" s="66"/>
      <c r="J116" s="68"/>
      <c r="K116" s="68"/>
      <c r="L116" s="66"/>
    </row>
    <row r="117" spans="2:12" ht="18">
      <c r="B117" s="69"/>
      <c r="C117" s="70"/>
      <c r="D117" s="70"/>
      <c r="E117" s="62"/>
      <c r="F117" s="62"/>
      <c r="G117" s="62"/>
      <c r="H117" s="62"/>
      <c r="I117" s="66"/>
      <c r="J117" s="68"/>
      <c r="K117" s="68"/>
      <c r="L117" s="66"/>
    </row>
    <row r="118" spans="2:12" ht="18">
      <c r="B118" s="63"/>
      <c r="C118" s="64"/>
      <c r="D118" s="64"/>
      <c r="E118" s="63"/>
      <c r="F118" s="63"/>
      <c r="G118" s="63"/>
      <c r="H118" s="65"/>
      <c r="I118" s="66"/>
      <c r="J118" s="66"/>
      <c r="K118" s="68"/>
      <c r="L118" s="66"/>
    </row>
    <row r="119" spans="2:12" ht="18">
      <c r="B119" s="56"/>
      <c r="C119" s="56"/>
      <c r="D119" s="56"/>
      <c r="E119" s="56"/>
      <c r="F119" s="56"/>
      <c r="G119" s="56"/>
      <c r="H119" s="56"/>
      <c r="I119" s="66"/>
      <c r="J119" s="66"/>
      <c r="K119" s="68"/>
      <c r="L119" s="66"/>
    </row>
    <row r="120" spans="2:12" ht="18">
      <c r="B120" s="55"/>
      <c r="C120" s="56"/>
      <c r="D120" s="56"/>
      <c r="E120" s="56"/>
      <c r="F120" s="56"/>
      <c r="G120" s="56"/>
      <c r="H120" s="56"/>
      <c r="I120" s="66"/>
      <c r="J120" s="66"/>
      <c r="K120" s="68"/>
      <c r="L120" s="66"/>
    </row>
    <row r="121" spans="2:12" ht="18">
      <c r="B121" s="71"/>
      <c r="C121" s="72"/>
      <c r="D121" s="73"/>
      <c r="E121" s="74"/>
      <c r="F121" s="73"/>
      <c r="G121" s="75"/>
      <c r="H121" s="75"/>
      <c r="I121" s="66"/>
      <c r="J121" s="66"/>
      <c r="K121" s="68"/>
      <c r="L121" s="66"/>
    </row>
    <row r="122" spans="2:12" ht="18">
      <c r="B122" s="71"/>
      <c r="C122" s="72"/>
      <c r="D122" s="73"/>
      <c r="E122" s="74"/>
      <c r="F122" s="73"/>
      <c r="G122" s="75"/>
      <c r="H122" s="75"/>
      <c r="I122" s="66"/>
      <c r="J122" s="66"/>
      <c r="K122" s="68"/>
      <c r="L122" s="66"/>
    </row>
    <row r="123" spans="2:12" ht="18">
      <c r="B123" s="301"/>
      <c r="C123" s="301"/>
      <c r="D123" s="73"/>
      <c r="E123" s="74"/>
      <c r="F123" s="73"/>
      <c r="G123" s="75"/>
      <c r="H123" s="75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63"/>
      <c r="C134" s="64"/>
      <c r="D134" s="64"/>
      <c r="E134" s="63"/>
      <c r="F134" s="63"/>
      <c r="G134" s="63"/>
      <c r="H134" s="65"/>
      <c r="I134" s="66"/>
      <c r="J134" s="66"/>
      <c r="K134" s="68"/>
      <c r="L134" s="66"/>
    </row>
    <row r="135" spans="2:12" ht="18">
      <c r="B135" s="56"/>
      <c r="C135" s="56"/>
      <c r="D135" s="56"/>
      <c r="E135" s="56"/>
      <c r="F135" s="56"/>
      <c r="G135" s="56"/>
      <c r="H135" s="56"/>
      <c r="I135" s="66"/>
      <c r="J135" s="66"/>
      <c r="K135" s="68"/>
      <c r="L135" s="66"/>
    </row>
    <row r="136" spans="2:12" ht="18">
      <c r="B136" s="63"/>
      <c r="C136" s="64"/>
      <c r="D136" s="64"/>
      <c r="E136" s="63"/>
      <c r="F136" s="63"/>
      <c r="G136" s="63"/>
      <c r="H136" s="65"/>
      <c r="I136" s="66"/>
      <c r="J136" s="66"/>
      <c r="K136" s="68"/>
      <c r="L136" s="66"/>
    </row>
    <row r="137" spans="2:12" s="3" customFormat="1" ht="15">
      <c r="B137" s="66"/>
      <c r="C137" s="66"/>
      <c r="D137" s="66"/>
      <c r="E137" s="66"/>
      <c r="F137" s="66"/>
      <c r="G137" s="67"/>
      <c r="H137" s="66"/>
      <c r="I137" s="66"/>
      <c r="J137" s="66"/>
      <c r="K137" s="68"/>
      <c r="L137" s="66"/>
    </row>
    <row r="138" spans="2:12" s="3" customFormat="1" ht="15">
      <c r="B138" s="66"/>
      <c r="C138" s="66"/>
      <c r="D138" s="66"/>
      <c r="E138" s="66"/>
      <c r="F138" s="66"/>
      <c r="G138" s="67"/>
      <c r="H138" s="66"/>
      <c r="I138" s="66"/>
      <c r="J138" s="66"/>
      <c r="K138" s="68"/>
      <c r="L138" s="66"/>
    </row>
    <row r="139" spans="2:12" s="3" customFormat="1" ht="15">
      <c r="B139" s="66"/>
      <c r="C139" s="66"/>
      <c r="D139" s="66"/>
      <c r="E139" s="66"/>
      <c r="F139" s="66"/>
      <c r="G139" s="67"/>
      <c r="H139" s="66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76"/>
      <c r="C147" s="76"/>
      <c r="D147" s="76"/>
      <c r="E147" s="76"/>
      <c r="F147" s="7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8"/>
      <c r="D150" s="68"/>
      <c r="E150" s="68"/>
      <c r="F150" s="68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8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8"/>
      <c r="D157" s="68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7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8"/>
      <c r="C170" s="68"/>
      <c r="D170" s="68"/>
      <c r="E170" s="68"/>
      <c r="F170" s="68"/>
      <c r="G170" s="68"/>
      <c r="H170" s="68"/>
      <c r="I170" s="68"/>
      <c r="J170" s="66"/>
      <c r="K170" s="68"/>
      <c r="L170" s="66"/>
    </row>
    <row r="171" spans="2:12" s="3" customFormat="1" ht="15">
      <c r="B171" s="68"/>
      <c r="C171" s="68"/>
      <c r="D171" s="68"/>
      <c r="E171" s="68"/>
      <c r="F171" s="68"/>
      <c r="G171" s="77"/>
      <c r="H171" s="68"/>
      <c r="I171" s="68"/>
      <c r="J171" s="66"/>
      <c r="K171" s="68"/>
      <c r="L171" s="77"/>
    </row>
    <row r="172" spans="2:12" s="3" customFormat="1" ht="15">
      <c r="B172" s="68"/>
      <c r="C172" s="68"/>
      <c r="D172" s="68"/>
      <c r="E172" s="68"/>
      <c r="F172" s="68"/>
      <c r="G172" s="68"/>
      <c r="H172" s="68"/>
      <c r="I172" s="78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8"/>
      <c r="I179" s="68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8"/>
      <c r="I180" s="68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8"/>
      <c r="I181" s="68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8"/>
      <c r="I188" s="68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8"/>
      <c r="I189" s="68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8"/>
      <c r="I190" s="68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</sheetData>
  <sheetProtection/>
  <mergeCells count="46">
    <mergeCell ref="D2:J2"/>
    <mergeCell ref="D3:J3"/>
    <mergeCell ref="D4:J4"/>
    <mergeCell ref="B100:J100"/>
    <mergeCell ref="B98:J98"/>
    <mergeCell ref="B96:J96"/>
    <mergeCell ref="I89:J90"/>
    <mergeCell ref="I87:J88"/>
    <mergeCell ref="I82:J82"/>
    <mergeCell ref="B99:J99"/>
    <mergeCell ref="L68:O68"/>
    <mergeCell ref="D6:J6"/>
    <mergeCell ref="E20:F20"/>
    <mergeCell ref="B12:E12"/>
    <mergeCell ref="G12:J12"/>
    <mergeCell ref="B97:J97"/>
    <mergeCell ref="B92:J92"/>
    <mergeCell ref="G89:H90"/>
    <mergeCell ref="G80:H80"/>
    <mergeCell ref="E81:F81"/>
    <mergeCell ref="B123:C123"/>
    <mergeCell ref="B93:J93"/>
    <mergeCell ref="B83:D83"/>
    <mergeCell ref="E80:F80"/>
    <mergeCell ref="E89:F90"/>
    <mergeCell ref="I81:J81"/>
    <mergeCell ref="B94:J94"/>
    <mergeCell ref="B87:D88"/>
    <mergeCell ref="G83:H83"/>
    <mergeCell ref="G82:H82"/>
    <mergeCell ref="B79:D80"/>
    <mergeCell ref="E79:J79"/>
    <mergeCell ref="G87:H88"/>
    <mergeCell ref="B85:J85"/>
    <mergeCell ref="B77:J77"/>
    <mergeCell ref="I83:J83"/>
    <mergeCell ref="G81:H81"/>
    <mergeCell ref="B81:D81"/>
    <mergeCell ref="I80:J80"/>
    <mergeCell ref="B78:J78"/>
    <mergeCell ref="B89:D90"/>
    <mergeCell ref="E83:F83"/>
    <mergeCell ref="B82:D82"/>
    <mergeCell ref="B95:J95"/>
    <mergeCell ref="E82:F82"/>
    <mergeCell ref="E87:F8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5" max="10" man="1"/>
  </rowBreaks>
  <ignoredErrors>
    <ignoredError sqref="J37:J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17</v>
      </c>
      <c r="C2" s="49">
        <f>(('vid vinífera_sauvignon_valparaí'!E13-45000)/45000)+1</f>
        <v>0.28888888888888886</v>
      </c>
    </row>
    <row r="3" ht="18">
      <c r="B3" s="13"/>
    </row>
    <row r="4" spans="2:3" ht="18">
      <c r="B4" s="333" t="s">
        <v>18</v>
      </c>
      <c r="C4" s="333"/>
    </row>
    <row r="5" spans="2:5" ht="18">
      <c r="B5" s="81" t="s">
        <v>33</v>
      </c>
      <c r="C5" s="129"/>
      <c r="D5" s="82"/>
      <c r="E5" s="3">
        <v>45000</v>
      </c>
    </row>
    <row r="6" spans="2:4" ht="15">
      <c r="B6" s="26"/>
      <c r="C6" s="26"/>
      <c r="D6" s="26"/>
    </row>
    <row r="14" spans="2:4" ht="15">
      <c r="B14" s="334" t="s">
        <v>14</v>
      </c>
      <c r="C14" s="334"/>
      <c r="D14" s="334"/>
    </row>
    <row r="16" spans="2:4" ht="18">
      <c r="B16" s="48" t="s">
        <v>16</v>
      </c>
      <c r="C16" s="47">
        <f>'vid vinífera_sauvignon_valparaí'!B81</f>
        <v>11700</v>
      </c>
      <c r="D16" s="47">
        <f>'vid vinífera_sauvignon_valparaí'!B83</f>
        <v>14300.000000000002</v>
      </c>
    </row>
    <row r="17" ht="15">
      <c r="B17" s="24"/>
    </row>
    <row r="18" spans="2:4" ht="15">
      <c r="B18" s="46" t="s">
        <v>17</v>
      </c>
      <c r="C18" s="49">
        <f>((C16-'vid vinífera_sauvignon_valparaí'!E13)/'vid vinífera_sauvignon_valparaí'!E13)+1</f>
        <v>0.9</v>
      </c>
      <c r="D18" s="49">
        <f>((D16-'vid vinífera_sauvignon_valparaí'!E13)/'vid vinífera_sauvignon_valparaí'!E13)+1</f>
        <v>1.1</v>
      </c>
    </row>
    <row r="19" spans="2:4" ht="18">
      <c r="B19" s="17"/>
      <c r="C19" s="47"/>
      <c r="D19" s="47"/>
    </row>
    <row r="20" spans="2:4" ht="18">
      <c r="B20" s="48" t="s">
        <v>7</v>
      </c>
      <c r="C20" s="47"/>
      <c r="D20" s="47"/>
    </row>
    <row r="21" spans="2:4" ht="18">
      <c r="B21" s="17" t="s">
        <v>19</v>
      </c>
      <c r="C21" s="9">
        <f>SUM('vid vinífera_sauvignon_valparaí'!J22:J31)</f>
        <v>392013</v>
      </c>
      <c r="D21" s="9">
        <f>SUM('vid vinífera_sauvignon_valparaí'!J22:J31)</f>
        <v>392013</v>
      </c>
    </row>
    <row r="22" spans="2:4" ht="18">
      <c r="B22" s="50" t="s">
        <v>20</v>
      </c>
      <c r="C22" s="51">
        <f>C18*'vid vinífera_sauvignon_valparaí'!G32*'vid vinífera_sauvignon_valparaí'!I32</f>
        <v>32400</v>
      </c>
      <c r="D22" s="51">
        <f>D18*'vid vinífera_sauvignon_valparaí'!G32*'vid vinífera_sauvignon_valparaí'!I32</f>
        <v>39600</v>
      </c>
    </row>
    <row r="23" spans="2:4" ht="18">
      <c r="B23" s="17" t="s">
        <v>21</v>
      </c>
      <c r="C23" s="9">
        <f>SUM(C21:C22)</f>
        <v>424413</v>
      </c>
      <c r="D23" s="9">
        <f>SUM(D21:D22)</f>
        <v>431613</v>
      </c>
    </row>
    <row r="24" ht="18">
      <c r="B24" s="17"/>
    </row>
    <row r="25" ht="18">
      <c r="B25" s="48" t="s">
        <v>9</v>
      </c>
    </row>
    <row r="26" spans="2:4" ht="18">
      <c r="B26" s="17" t="s">
        <v>19</v>
      </c>
      <c r="C26" s="9">
        <f>SUM('vid vinífera_sauvignon_valparaí'!J36:J41)</f>
        <v>511000</v>
      </c>
      <c r="D26" s="9">
        <f>SUM('vid vinífera_sauvignon_valparaí'!J36:J41)</f>
        <v>511000</v>
      </c>
    </row>
    <row r="27" spans="2:4" ht="18">
      <c r="B27" s="50" t="s">
        <v>20</v>
      </c>
      <c r="C27" s="51">
        <v>0</v>
      </c>
      <c r="D27" s="51">
        <v>0</v>
      </c>
    </row>
    <row r="28" spans="2:4" ht="18">
      <c r="B28" s="17" t="s">
        <v>21</v>
      </c>
      <c r="C28" s="9">
        <f>SUM(C26:C27)</f>
        <v>511000</v>
      </c>
      <c r="D28" s="9">
        <f>SUM(D26:D27)</f>
        <v>511000</v>
      </c>
    </row>
    <row r="30" ht="18">
      <c r="B30" s="48" t="s">
        <v>22</v>
      </c>
    </row>
    <row r="31" spans="2:4" ht="18">
      <c r="B31" s="17" t="s">
        <v>19</v>
      </c>
      <c r="C31" s="9">
        <f>SUM('vid vinífera_sauvignon_valparaí'!J45:J58)</f>
        <v>578200</v>
      </c>
      <c r="D31" s="9">
        <f>SUM('vid vinífera_sauvignon_valparaí'!J45:J58)</f>
        <v>578200</v>
      </c>
    </row>
    <row r="32" spans="2:4" ht="18">
      <c r="B32" s="50" t="s">
        <v>20</v>
      </c>
      <c r="C32" s="51">
        <v>0</v>
      </c>
      <c r="D32" s="51">
        <v>0</v>
      </c>
    </row>
    <row r="33" spans="2:4" ht="18">
      <c r="B33" s="17" t="s">
        <v>21</v>
      </c>
      <c r="C33" s="9">
        <f>SUM(C31:C32)</f>
        <v>578200</v>
      </c>
      <c r="D33" s="9">
        <f>SUM(D31:D32)</f>
        <v>578200</v>
      </c>
    </row>
    <row r="34" spans="2:4" ht="15">
      <c r="B34" s="24"/>
      <c r="C34" s="28"/>
      <c r="D34" s="28"/>
    </row>
    <row r="35" spans="2:4" ht="18">
      <c r="B35" s="53" t="s">
        <v>23</v>
      </c>
      <c r="C35" s="54">
        <f>C23+C28+C33</f>
        <v>1513613</v>
      </c>
      <c r="D35" s="54">
        <f>D23+D28+D33</f>
        <v>1520813</v>
      </c>
    </row>
    <row r="36" ht="15">
      <c r="B36" s="24"/>
    </row>
    <row r="37" spans="2:4" ht="18">
      <c r="B37" s="52" t="s">
        <v>0</v>
      </c>
      <c r="C37" s="9" t="e">
        <f>C35*'vid vinífera_sauvignon_valparaí'!#REF!</f>
        <v>#REF!</v>
      </c>
      <c r="D37" s="9" t="e">
        <f>D35*D18*'vid vinífera_sauvignon_valparaí'!#REF!</f>
        <v>#REF!</v>
      </c>
    </row>
    <row r="38" spans="2:4" ht="18">
      <c r="B38" s="52" t="s">
        <v>12</v>
      </c>
      <c r="C38" s="9">
        <f>C35*'vid vinífera_sauvignon_valparaí'!E16*'vid vinífera_sauvignon_valparaí'!E17*0.5</f>
        <v>136225.16999999998</v>
      </c>
      <c r="D38" s="9">
        <f>D35*'vid vinífera_sauvignon_valparaí'!E16*'vid vinífera_sauvignon_valparaí'!E17*0.5</f>
        <v>136873.16999999998</v>
      </c>
    </row>
    <row r="39" ht="15">
      <c r="B39" s="24"/>
    </row>
    <row r="40" spans="2:4" ht="18">
      <c r="B40" s="53" t="s">
        <v>13</v>
      </c>
      <c r="C40" s="54" t="e">
        <f>C35+C37+C38</f>
        <v>#REF!</v>
      </c>
      <c r="D40" s="54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2019-07-02T16:21:44Z</cp:lastPrinted>
  <dcterms:created xsi:type="dcterms:W3CDTF">2012-07-09T18:51:50Z</dcterms:created>
  <dcterms:modified xsi:type="dcterms:W3CDTF">2019-07-03T14:05:07Z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0x0101004FA11E5E6FC8EB4785E1A90BD682AA9B</vt:lpwstr>
  </property>
</Properties>
</file>