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vid vinifera_sauvignon_valparai" sheetId="1" r:id="rId1"/>
    <sheet name="Hoja1" sheetId="2" state="hidden" r:id="rId2"/>
  </sheets>
  <definedNames>
    <definedName name="_xlnm.Print_Area" localSheetId="0">'vid vinifera_sauvignon_valparai'!$A$1:$K$103</definedName>
  </definedNames>
  <calcPr fullCalcOnLoad="1"/>
</workbook>
</file>

<file path=xl/sharedStrings.xml><?xml version="1.0" encoding="utf-8"?>
<sst xmlns="http://schemas.openxmlformats.org/spreadsheetml/2006/main" count="188" uniqueCount="131">
  <si>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</si>
  <si>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</si>
  <si>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</si>
  <si>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</si>
  <si>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</si>
  <si>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</si>
  <si>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</si>
  <si>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</si>
  <si>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</si>
  <si>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</si>
  <si>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</si>
  <si>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</si>
  <si>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</si>
  <si>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</si>
  <si>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</si>
  <si>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</si>
  <si>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</si>
  <si>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</si>
  <si>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</si>
  <si>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</si>
  <si>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</si>
  <si>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</si>
  <si>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</si>
  <si>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</si>
  <si>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</si>
  <si>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</si>
  <si>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</si>
  <si>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</si>
  <si>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</si>
  <si>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</si>
  <si>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</si>
  <si>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</si>
  <si>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-Fertilizantes:</t>
  </si>
  <si>
    <t>Otros</t>
  </si>
  <si>
    <t>Cosecha: cortado, seleccionado y embalado</t>
  </si>
  <si>
    <t>Herbicida:</t>
  </si>
  <si>
    <t>Aplicación de pesticidas</t>
  </si>
  <si>
    <t>1 hectárea agosto 2018</t>
  </si>
  <si>
    <t>Variedad: Sauvignon blanc</t>
  </si>
  <si>
    <t>Tecnología de riego: Riego por surco</t>
  </si>
  <si>
    <t>Aplicación pesticida</t>
  </si>
  <si>
    <t>Poda</t>
  </si>
  <si>
    <t>Amarras de guías</t>
  </si>
  <si>
    <t>Aplicación de fertilizantes</t>
  </si>
  <si>
    <t>Riego y limpia acequias</t>
  </si>
  <si>
    <t>Control de malezas: Alrededor de la planta</t>
  </si>
  <si>
    <t>Deshojar racimos</t>
  </si>
  <si>
    <t>Destino de producción: Industria Vitivinicola</t>
  </si>
  <si>
    <t>Acarreo de insumos e implementos</t>
  </si>
  <si>
    <t>Flete</t>
  </si>
  <si>
    <t xml:space="preserve">  Urea</t>
  </si>
  <si>
    <t xml:space="preserve">  Reponer postes</t>
  </si>
  <si>
    <t xml:space="preserve">  Cinta de amarra</t>
  </si>
  <si>
    <t>Traslado de bins</t>
  </si>
  <si>
    <t>Picadora de zarmiento</t>
  </si>
  <si>
    <t xml:space="preserve">  Nitrato de potasio</t>
  </si>
  <si>
    <t>Ficha Técnico Económica</t>
  </si>
  <si>
    <t>Región de Valparaíso</t>
  </si>
  <si>
    <t>Vid Vinífera - cosecha manual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</si>
  <si>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</si>
  <si>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</si>
  <si>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</si>
  <si>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</si>
  <si>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</si>
  <si>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</si>
  <si>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</si>
  <si>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</si>
  <si>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Agua de riego</t>
  </si>
  <si>
    <t>febrero</t>
  </si>
  <si>
    <t>marzo a febrero</t>
  </si>
  <si>
    <t>marzo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</si>
  <si>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</si>
  <si>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</si>
  <si>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</si>
  <si>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</si>
  <si>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</si>
  <si>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</si>
  <si>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</si>
  <si>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anual</t>
  </si>
  <si>
    <t>agosto - noviembre</t>
  </si>
  <si>
    <t>junio - octubre</t>
  </si>
  <si>
    <t>julio - febrero</t>
  </si>
  <si>
    <t>agosto - octubre</t>
  </si>
  <si>
    <t>octubre - noviembre</t>
  </si>
  <si>
    <t>noviembre - marzo</t>
  </si>
  <si>
    <t>porcentaje</t>
  </si>
  <si>
    <t>Margen neto ($/hectárea)</t>
  </si>
  <si>
    <t>Precio ($/kilo)</t>
  </si>
  <si>
    <t>Rendimiento (kilos/hectárea)</t>
  </si>
  <si>
    <t>Costo Unitario ($/kilo)</t>
  </si>
  <si>
    <t>(1) El precio del kilo de uva para vino, corresponde al promedio de la región durante el periodo de cosecha en el predio en la temporada 2017/2018. El peso promedio de un bins con uva se estimó en 450 kg.</t>
  </si>
  <si>
    <r>
      <t xml:space="preserve">Cosecha </t>
    </r>
    <r>
      <rPr>
        <vertAlign val="superscript"/>
        <sz val="14"/>
        <rFont val="Arial"/>
        <family val="2"/>
      </rPr>
      <t>(2)</t>
    </r>
  </si>
  <si>
    <t>Rendimiento (kilos/hectárea):</t>
  </si>
  <si>
    <t>Costo jornada hombre ($/jornada hombre):</t>
  </si>
  <si>
    <t>Plantación en producción</t>
  </si>
  <si>
    <t>(2) Costo cosecha equivale a cortar la uva y dejarla en el bins.</t>
  </si>
  <si>
    <t>Desbrote (tronco y corona)</t>
  </si>
  <si>
    <t>Reponer postes y alambrados (infraestructura)</t>
  </si>
  <si>
    <t>Chapoda: Sacar exceso de hojas sobre los racimos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</si>
  <si>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</si>
  <si>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Diamant</t>
  </si>
  <si>
    <t>Tercel 50 WP</t>
  </si>
  <si>
    <t>Round full II</t>
  </si>
  <si>
    <t>Azufre 350 Agrospec</t>
  </si>
  <si>
    <t>Cosecha: marzo</t>
  </si>
  <si>
    <t>Tecnología: media</t>
  </si>
  <si>
    <t>Densidad (plantas/hectárea): 2667 (2,5m X 1,5m)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</si>
  <si>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</si>
  <si>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</si>
  <si>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  Análisis foliar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</si>
  <si>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</si>
  <si>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</si>
  <si>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</si>
  <si>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</si>
  <si>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</si>
  <si>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</si>
  <si>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</si>
  <si>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</si>
  <si>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</si>
  <si>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Costo oportunidad (arriendo)</t>
  </si>
  <si>
    <t xml:space="preserve">Administración </t>
  </si>
  <si>
    <t>Contribuciones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</si>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</sst>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3" fontId="10" fillId="34" borderId="15" xfId="56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0" fontId="10" fillId="0" borderId="19" xfId="67" applyNumberFormat="1" applyFont="1" applyFill="1" applyBorder="1" applyAlignment="1" applyProtection="1">
      <alignment horizontal="left" indent="1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3" fontId="10" fillId="34" borderId="16" xfId="56" applyNumberFormat="1" applyFont="1" applyFill="1" applyBorder="1" applyAlignment="1" applyProtection="1">
      <alignment horizontal="right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20" xfId="56" applyFont="1" applyFill="1" applyBorder="1" applyAlignment="1">
      <alignment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" fontId="8" fillId="39" borderId="12" xfId="0" applyNumberFormat="1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180" fontId="63" fillId="0" borderId="0" xfId="67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628650</xdr:colOff>
      <xdr:row>102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3612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5"/>
  <sheetViews>
    <sheetView showGridLines="0" tabSelected="1" view="pageBreakPreview" zoomScaleNormal="70" zoomScaleSheetLayoutView="100" zoomScalePageLayoutView="80" workbookViewId="0" topLeftCell="A7">
      <selection activeCell="I42" sqref="I42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6"/>
      <c r="C2" s="146"/>
      <c r="D2" s="322" t="s">
        <v>56</v>
      </c>
      <c r="E2" s="322"/>
      <c r="F2" s="322"/>
      <c r="G2" s="322"/>
      <c r="H2" s="322"/>
      <c r="I2" s="322"/>
      <c r="J2" s="322"/>
    </row>
    <row r="3" spans="2:11" s="3" customFormat="1" ht="18" customHeight="1">
      <c r="B3" s="95"/>
      <c r="C3" s="118"/>
      <c r="D3" s="285" t="s">
        <v>58</v>
      </c>
      <c r="E3" s="285"/>
      <c r="F3" s="285"/>
      <c r="G3" s="285"/>
      <c r="H3" s="285"/>
      <c r="I3" s="285"/>
      <c r="J3" s="285"/>
      <c r="K3" s="14"/>
    </row>
    <row r="4" spans="2:11" s="3" customFormat="1" ht="18" customHeight="1">
      <c r="B4" s="95"/>
      <c r="C4" s="118"/>
      <c r="D4" s="285" t="s">
        <v>57</v>
      </c>
      <c r="E4" s="285"/>
      <c r="F4" s="285"/>
      <c r="G4" s="285"/>
      <c r="H4" s="285"/>
      <c r="I4" s="285"/>
      <c r="J4" s="285"/>
      <c r="K4" s="14"/>
    </row>
    <row r="5" spans="2:11" s="3" customFormat="1" ht="18" customHeight="1">
      <c r="B5" s="42"/>
      <c r="C5" s="42"/>
      <c r="D5" s="119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09" t="s">
        <v>29</v>
      </c>
      <c r="E6" s="310"/>
      <c r="F6" s="310"/>
      <c r="G6" s="310"/>
      <c r="H6" s="310"/>
      <c r="I6" s="310"/>
      <c r="J6" s="311"/>
      <c r="K6" s="16"/>
    </row>
    <row r="7" spans="2:11" s="3" customFormat="1" ht="18" customHeight="1">
      <c r="B7" s="42"/>
      <c r="C7" s="42"/>
      <c r="D7" s="86" t="s">
        <v>37</v>
      </c>
      <c r="E7" s="87"/>
      <c r="F7" s="87"/>
      <c r="G7" s="88" t="s">
        <v>38</v>
      </c>
      <c r="H7" s="89"/>
      <c r="I7" s="90"/>
      <c r="J7" s="91"/>
      <c r="K7" s="16"/>
    </row>
    <row r="8" spans="2:11" s="3" customFormat="1" ht="18" customHeight="1">
      <c r="B8" s="42"/>
      <c r="C8" s="42"/>
      <c r="D8" s="92" t="s">
        <v>39</v>
      </c>
      <c r="E8" s="93"/>
      <c r="F8" s="93"/>
      <c r="G8" s="94" t="s">
        <v>47</v>
      </c>
      <c r="H8" s="95"/>
      <c r="I8" s="96"/>
      <c r="J8" s="97"/>
      <c r="K8" s="16"/>
    </row>
    <row r="9" spans="2:11" s="3" customFormat="1" ht="18" customHeight="1">
      <c r="B9" s="42"/>
      <c r="C9" s="42"/>
      <c r="D9" s="92" t="s">
        <v>106</v>
      </c>
      <c r="E9" s="147"/>
      <c r="F9" s="93"/>
      <c r="G9" s="94" t="s">
        <v>105</v>
      </c>
      <c r="H9" s="95"/>
      <c r="I9" s="96"/>
      <c r="J9" s="97"/>
      <c r="K9" s="18"/>
    </row>
    <row r="10" spans="2:11" s="3" customFormat="1" ht="18" customHeight="1">
      <c r="B10" s="42"/>
      <c r="C10" s="42"/>
      <c r="D10" s="98" t="s">
        <v>94</v>
      </c>
      <c r="E10" s="99"/>
      <c r="F10" s="99"/>
      <c r="G10" s="100" t="s">
        <v>104</v>
      </c>
      <c r="H10" s="101"/>
      <c r="I10" s="102"/>
      <c r="J10" s="103"/>
      <c r="K10" s="18"/>
    </row>
    <row r="11" spans="2:11" s="3" customFormat="1" ht="18" customHeight="1">
      <c r="B11" s="42"/>
      <c r="C11" s="42"/>
      <c r="D11" s="26"/>
      <c r="E11" s="93"/>
      <c r="F11" s="93"/>
      <c r="G11" s="26"/>
      <c r="H11" s="95"/>
      <c r="I11" s="96"/>
      <c r="J11" s="127"/>
      <c r="K11" s="18"/>
    </row>
    <row r="12" spans="2:11" ht="18">
      <c r="B12" s="313" t="s">
        <v>30</v>
      </c>
      <c r="C12" s="314"/>
      <c r="D12" s="314"/>
      <c r="E12" s="315"/>
      <c r="F12" s="41"/>
      <c r="G12" s="316" t="s">
        <v>4</v>
      </c>
      <c r="H12" s="317"/>
      <c r="I12" s="317"/>
      <c r="J12" s="318"/>
      <c r="K12" s="16"/>
    </row>
    <row r="13" spans="2:11" ht="18">
      <c r="B13" s="108" t="s">
        <v>92</v>
      </c>
      <c r="C13" s="109"/>
      <c r="D13" s="87"/>
      <c r="E13" s="110">
        <v>15000</v>
      </c>
      <c r="F13" s="42"/>
      <c r="G13" s="114" t="s">
        <v>126</v>
      </c>
      <c r="H13" s="87"/>
      <c r="I13" s="87"/>
      <c r="J13" s="182">
        <f>E13*E14</f>
        <v>3150000</v>
      </c>
      <c r="K13" s="16"/>
    </row>
    <row r="14" spans="2:13" ht="18" customHeight="1">
      <c r="B14" s="202" t="s">
        <v>99</v>
      </c>
      <c r="C14" s="203"/>
      <c r="D14" s="203"/>
      <c r="E14" s="185">
        <v>210</v>
      </c>
      <c r="F14" s="42"/>
      <c r="G14" s="115" t="s">
        <v>127</v>
      </c>
      <c r="H14" s="42"/>
      <c r="I14" s="42"/>
      <c r="J14" s="183">
        <f>J33+J41+J58+J61</f>
        <v>1989495.9</v>
      </c>
      <c r="K14" s="16"/>
      <c r="M14" s="137"/>
    </row>
    <row r="15" spans="2:11" ht="18">
      <c r="B15" s="199" t="s">
        <v>93</v>
      </c>
      <c r="C15" s="43"/>
      <c r="D15" s="42"/>
      <c r="E15" s="185">
        <v>16000</v>
      </c>
      <c r="F15" s="42"/>
      <c r="G15" s="115" t="s">
        <v>128</v>
      </c>
      <c r="H15" s="44"/>
      <c r="I15" s="42"/>
      <c r="J15" s="183">
        <f>J33+J41+J58+J61+J71</f>
        <v>2168550.531</v>
      </c>
      <c r="K15" s="16"/>
    </row>
    <row r="16" spans="2:11" ht="18">
      <c r="B16" s="199" t="s">
        <v>2</v>
      </c>
      <c r="C16" s="45"/>
      <c r="D16" s="42"/>
      <c r="E16" s="111">
        <v>0.015</v>
      </c>
      <c r="F16" s="42"/>
      <c r="G16" s="115" t="s">
        <v>129</v>
      </c>
      <c r="H16" s="42"/>
      <c r="I16" s="42"/>
      <c r="J16" s="183">
        <f>J13-J14</f>
        <v>1160504.1</v>
      </c>
      <c r="K16" s="16"/>
    </row>
    <row r="17" spans="2:11" ht="18">
      <c r="B17" s="199" t="s">
        <v>3</v>
      </c>
      <c r="C17" s="45"/>
      <c r="D17" s="42"/>
      <c r="E17" s="201">
        <v>12</v>
      </c>
      <c r="F17" s="42"/>
      <c r="G17" s="115" t="s">
        <v>130</v>
      </c>
      <c r="H17" s="42"/>
      <c r="I17" s="42"/>
      <c r="J17" s="183">
        <f>J13-J15</f>
        <v>981449.469</v>
      </c>
      <c r="K17" s="16"/>
    </row>
    <row r="18" spans="2:11" ht="18">
      <c r="B18" s="112"/>
      <c r="C18" s="113"/>
      <c r="D18" s="104"/>
      <c r="E18" s="200"/>
      <c r="F18" s="42"/>
      <c r="G18" s="116" t="s">
        <v>26</v>
      </c>
      <c r="H18" s="104"/>
      <c r="I18" s="117"/>
      <c r="J18" s="184">
        <f>G89</f>
        <v>144.5700354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1" t="s">
        <v>27</v>
      </c>
      <c r="C20" s="120"/>
      <c r="D20" s="120"/>
      <c r="E20" s="312"/>
      <c r="F20" s="312"/>
      <c r="G20" s="122"/>
      <c r="H20" s="123"/>
      <c r="I20" s="132"/>
      <c r="J20" s="124"/>
      <c r="K20" s="16"/>
    </row>
    <row r="21" spans="2:11" s="3" customFormat="1" ht="18">
      <c r="B21" s="204" t="s">
        <v>7</v>
      </c>
      <c r="C21" s="205"/>
      <c r="D21" s="205"/>
      <c r="E21" s="215" t="s">
        <v>59</v>
      </c>
      <c r="F21" s="215"/>
      <c r="G21" s="163" t="s">
        <v>5</v>
      </c>
      <c r="H21" s="164" t="s">
        <v>6</v>
      </c>
      <c r="I21" s="165" t="s">
        <v>60</v>
      </c>
      <c r="J21" s="166" t="s">
        <v>1</v>
      </c>
      <c r="K21" s="16"/>
    </row>
    <row r="22" spans="2:10" s="3" customFormat="1" ht="18">
      <c r="B22" s="193" t="s">
        <v>40</v>
      </c>
      <c r="C22" s="194"/>
      <c r="D22" s="198"/>
      <c r="E22" s="216" t="s">
        <v>71</v>
      </c>
      <c r="F22" s="217"/>
      <c r="G22" s="167">
        <v>4</v>
      </c>
      <c r="H22" s="149" t="s">
        <v>61</v>
      </c>
      <c r="I22" s="150">
        <f>E15</f>
        <v>16000</v>
      </c>
      <c r="J22" s="10">
        <f aca="true" t="shared" si="0" ref="J22:J32">G22*I22</f>
        <v>64000</v>
      </c>
    </row>
    <row r="23" spans="2:10" s="3" customFormat="1" ht="18">
      <c r="B23" s="196" t="s">
        <v>41</v>
      </c>
      <c r="C23" s="195"/>
      <c r="D23" s="197"/>
      <c r="E23" s="218" t="s">
        <v>72</v>
      </c>
      <c r="F23" s="219"/>
      <c r="G23" s="168">
        <v>2667</v>
      </c>
      <c r="H23" s="152" t="s">
        <v>62</v>
      </c>
      <c r="I23" s="153">
        <v>35</v>
      </c>
      <c r="J23" s="10">
        <f t="shared" si="0"/>
        <v>93345</v>
      </c>
    </row>
    <row r="24" spans="2:10" s="3" customFormat="1" ht="18" customHeight="1">
      <c r="B24" s="196" t="s">
        <v>97</v>
      </c>
      <c r="C24" s="195"/>
      <c r="D24" s="197"/>
      <c r="E24" s="218" t="s">
        <v>73</v>
      </c>
      <c r="F24" s="219"/>
      <c r="G24" s="168">
        <v>2</v>
      </c>
      <c r="H24" s="152" t="s">
        <v>61</v>
      </c>
      <c r="I24" s="153">
        <f>E15</f>
        <v>16000</v>
      </c>
      <c r="J24" s="10">
        <f t="shared" si="0"/>
        <v>32000</v>
      </c>
    </row>
    <row r="25" spans="2:10" s="3" customFormat="1" ht="18">
      <c r="B25" s="196" t="s">
        <v>42</v>
      </c>
      <c r="C25" s="195"/>
      <c r="D25" s="197"/>
      <c r="E25" s="218" t="s">
        <v>73</v>
      </c>
      <c r="F25" s="219"/>
      <c r="G25" s="168">
        <v>3</v>
      </c>
      <c r="H25" s="152" t="s">
        <v>61</v>
      </c>
      <c r="I25" s="153">
        <f>E15</f>
        <v>16000</v>
      </c>
      <c r="J25" s="10">
        <f t="shared" si="0"/>
        <v>48000</v>
      </c>
    </row>
    <row r="26" spans="2:10" s="3" customFormat="1" ht="18">
      <c r="B26" s="196" t="s">
        <v>43</v>
      </c>
      <c r="C26" s="195"/>
      <c r="D26" s="197"/>
      <c r="E26" s="218" t="s">
        <v>74</v>
      </c>
      <c r="F26" s="219"/>
      <c r="G26" s="168">
        <v>2</v>
      </c>
      <c r="H26" s="152" t="s">
        <v>61</v>
      </c>
      <c r="I26" s="153">
        <f>E15</f>
        <v>16000</v>
      </c>
      <c r="J26" s="10">
        <f t="shared" si="0"/>
        <v>32000</v>
      </c>
    </row>
    <row r="27" spans="2:10" s="3" customFormat="1" ht="18">
      <c r="B27" s="196" t="s">
        <v>44</v>
      </c>
      <c r="C27" s="195"/>
      <c r="D27" s="197"/>
      <c r="E27" s="218" t="s">
        <v>75</v>
      </c>
      <c r="F27" s="219"/>
      <c r="G27" s="168">
        <v>2</v>
      </c>
      <c r="H27" s="152" t="s">
        <v>61</v>
      </c>
      <c r="I27" s="153">
        <f>E15</f>
        <v>16000</v>
      </c>
      <c r="J27" s="10">
        <f t="shared" si="0"/>
        <v>32000</v>
      </c>
    </row>
    <row r="28" spans="2:10" s="3" customFormat="1" ht="18">
      <c r="B28" s="196" t="s">
        <v>45</v>
      </c>
      <c r="C28" s="195"/>
      <c r="D28" s="197"/>
      <c r="E28" s="218" t="s">
        <v>75</v>
      </c>
      <c r="F28" s="219"/>
      <c r="G28" s="169">
        <v>2</v>
      </c>
      <c r="H28" s="152" t="s">
        <v>61</v>
      </c>
      <c r="I28" s="153">
        <f>E15</f>
        <v>16000</v>
      </c>
      <c r="J28" s="10">
        <f t="shared" si="0"/>
        <v>32000</v>
      </c>
    </row>
    <row r="29" spans="2:10" s="3" customFormat="1" ht="18">
      <c r="B29" s="196" t="s">
        <v>46</v>
      </c>
      <c r="C29" s="195"/>
      <c r="D29" s="197"/>
      <c r="E29" s="218" t="s">
        <v>76</v>
      </c>
      <c r="F29" s="219"/>
      <c r="G29" s="169">
        <v>2667</v>
      </c>
      <c r="H29" s="155" t="s">
        <v>62</v>
      </c>
      <c r="I29" s="153">
        <v>12</v>
      </c>
      <c r="J29" s="10">
        <f t="shared" si="0"/>
        <v>32004</v>
      </c>
    </row>
    <row r="30" spans="2:10" s="3" customFormat="1" ht="18">
      <c r="B30" s="196" t="s">
        <v>96</v>
      </c>
      <c r="C30" s="195"/>
      <c r="D30" s="197"/>
      <c r="E30" s="218" t="s">
        <v>76</v>
      </c>
      <c r="F30" s="219"/>
      <c r="G30" s="169">
        <v>2667</v>
      </c>
      <c r="H30" s="155" t="s">
        <v>62</v>
      </c>
      <c r="I30" s="153">
        <v>15</v>
      </c>
      <c r="J30" s="10">
        <f t="shared" si="0"/>
        <v>40005</v>
      </c>
    </row>
    <row r="31" spans="2:18" s="3" customFormat="1" ht="18">
      <c r="B31" s="196" t="s">
        <v>98</v>
      </c>
      <c r="C31" s="195"/>
      <c r="D31" s="197"/>
      <c r="E31" s="218" t="s">
        <v>68</v>
      </c>
      <c r="F31" s="219"/>
      <c r="G31" s="169">
        <v>2667</v>
      </c>
      <c r="H31" s="155" t="s">
        <v>62</v>
      </c>
      <c r="I31" s="153">
        <v>12</v>
      </c>
      <c r="J31" s="10">
        <f t="shared" si="0"/>
        <v>32004</v>
      </c>
      <c r="R31" s="26"/>
    </row>
    <row r="32" spans="2:10" s="3" customFormat="1" ht="18" customHeight="1">
      <c r="B32" s="141" t="s">
        <v>91</v>
      </c>
      <c r="C32" s="142"/>
      <c r="D32" s="143"/>
      <c r="E32" s="220" t="s">
        <v>77</v>
      </c>
      <c r="F32" s="221"/>
      <c r="G32" s="170">
        <v>15000.000000000002</v>
      </c>
      <c r="H32" s="156" t="s">
        <v>63</v>
      </c>
      <c r="I32" s="157">
        <v>35</v>
      </c>
      <c r="J32" s="10">
        <f t="shared" si="0"/>
        <v>525000.0000000001</v>
      </c>
    </row>
    <row r="33" spans="2:11" ht="18">
      <c r="B33" s="206" t="s">
        <v>8</v>
      </c>
      <c r="C33" s="207"/>
      <c r="D33" s="207"/>
      <c r="E33" s="207"/>
      <c r="F33" s="207"/>
      <c r="G33" s="207"/>
      <c r="H33" s="207"/>
      <c r="I33" s="207"/>
      <c r="J33" s="105">
        <f>SUM(J22:J32)</f>
        <v>962358.0000000001</v>
      </c>
      <c r="K33" s="3"/>
    </row>
    <row r="34" spans="2:10" s="3" customFormat="1" ht="18">
      <c r="B34" s="84"/>
      <c r="C34" s="84"/>
      <c r="D34" s="84"/>
      <c r="E34" s="84"/>
      <c r="F34" s="84"/>
      <c r="G34" s="25"/>
      <c r="H34" s="84"/>
      <c r="I34" s="84"/>
      <c r="J34" s="27"/>
    </row>
    <row r="35" spans="2:11" s="28" customFormat="1" ht="21">
      <c r="B35" s="204" t="s">
        <v>107</v>
      </c>
      <c r="C35" s="205"/>
      <c r="D35" s="205"/>
      <c r="E35" s="215" t="s">
        <v>59</v>
      </c>
      <c r="F35" s="215"/>
      <c r="G35" s="163" t="s">
        <v>5</v>
      </c>
      <c r="H35" s="164" t="s">
        <v>6</v>
      </c>
      <c r="I35" s="165" t="s">
        <v>60</v>
      </c>
      <c r="J35" s="166" t="s">
        <v>1</v>
      </c>
      <c r="K35" s="3"/>
    </row>
    <row r="36" spans="2:10" s="3" customFormat="1" ht="18">
      <c r="B36" s="225" t="s">
        <v>36</v>
      </c>
      <c r="C36" s="226"/>
      <c r="D36" s="227"/>
      <c r="E36" s="216" t="s">
        <v>71</v>
      </c>
      <c r="F36" s="217"/>
      <c r="G36" s="175">
        <v>4</v>
      </c>
      <c r="H36" s="148" t="s">
        <v>64</v>
      </c>
      <c r="I36" s="158">
        <v>15000</v>
      </c>
      <c r="J36" s="129">
        <f>I36*G36</f>
        <v>60000</v>
      </c>
    </row>
    <row r="37" spans="2:10" s="3" customFormat="1" ht="18">
      <c r="B37" s="196" t="s">
        <v>54</v>
      </c>
      <c r="C37" s="195"/>
      <c r="D37" s="197"/>
      <c r="E37" s="218" t="s">
        <v>72</v>
      </c>
      <c r="F37" s="219"/>
      <c r="G37" s="176">
        <v>2</v>
      </c>
      <c r="H37" s="151" t="s">
        <v>64</v>
      </c>
      <c r="I37" s="159">
        <v>35000</v>
      </c>
      <c r="J37" s="130">
        <f>G37*I37</f>
        <v>70000</v>
      </c>
    </row>
    <row r="38" spans="2:10" s="3" customFormat="1" ht="18">
      <c r="B38" s="222" t="s">
        <v>48</v>
      </c>
      <c r="C38" s="223"/>
      <c r="D38" s="224"/>
      <c r="E38" s="218" t="s">
        <v>69</v>
      </c>
      <c r="F38" s="219"/>
      <c r="G38" s="169">
        <v>1</v>
      </c>
      <c r="H38" s="154" t="s">
        <v>64</v>
      </c>
      <c r="I38" s="160">
        <v>40000</v>
      </c>
      <c r="J38" s="130">
        <f>I38*G38</f>
        <v>40000</v>
      </c>
    </row>
    <row r="39" spans="2:10" s="3" customFormat="1" ht="18">
      <c r="B39" s="196" t="s">
        <v>49</v>
      </c>
      <c r="C39" s="195"/>
      <c r="D39" s="197"/>
      <c r="E39" s="218" t="s">
        <v>70</v>
      </c>
      <c r="F39" s="219"/>
      <c r="G39" s="169">
        <f>E13</f>
        <v>15000</v>
      </c>
      <c r="H39" s="154" t="s">
        <v>65</v>
      </c>
      <c r="I39" s="160">
        <v>7</v>
      </c>
      <c r="J39" s="130">
        <f>I39*G39</f>
        <v>105000</v>
      </c>
    </row>
    <row r="40" spans="2:10" s="3" customFormat="1" ht="18">
      <c r="B40" s="228" t="s">
        <v>53</v>
      </c>
      <c r="C40" s="229"/>
      <c r="D40" s="229"/>
      <c r="E40" s="230" t="s">
        <v>70</v>
      </c>
      <c r="F40" s="231"/>
      <c r="G40" s="168">
        <f>E13</f>
        <v>15000</v>
      </c>
      <c r="H40" s="154" t="s">
        <v>65</v>
      </c>
      <c r="I40" s="159">
        <v>5</v>
      </c>
      <c r="J40" s="133">
        <f>G40*I40</f>
        <v>75000</v>
      </c>
    </row>
    <row r="41" spans="2:12" ht="18">
      <c r="B41" s="206" t="s">
        <v>10</v>
      </c>
      <c r="C41" s="207"/>
      <c r="D41" s="207"/>
      <c r="E41" s="207"/>
      <c r="F41" s="207"/>
      <c r="G41" s="207"/>
      <c r="H41" s="207"/>
      <c r="I41" s="207"/>
      <c r="J41" s="125">
        <f>SUM(J36:J40)</f>
        <v>350000</v>
      </c>
      <c r="K41" s="3"/>
      <c r="L41" s="16"/>
    </row>
    <row r="42" spans="2:12" s="3" customFormat="1" ht="18">
      <c r="B42" s="84"/>
      <c r="C42" s="84"/>
      <c r="D42" s="84"/>
      <c r="E42" s="84"/>
      <c r="F42" s="84"/>
      <c r="G42" s="25"/>
      <c r="H42" s="84"/>
      <c r="I42" s="84"/>
      <c r="J42" s="27"/>
      <c r="L42" s="19"/>
    </row>
    <row r="43" spans="2:12" s="3" customFormat="1" ht="21">
      <c r="B43" s="204" t="s">
        <v>108</v>
      </c>
      <c r="C43" s="205"/>
      <c r="D43" s="205"/>
      <c r="E43" s="215" t="s">
        <v>59</v>
      </c>
      <c r="F43" s="215"/>
      <c r="G43" s="163" t="s">
        <v>5</v>
      </c>
      <c r="H43" s="164" t="s">
        <v>6</v>
      </c>
      <c r="I43" s="165" t="s">
        <v>60</v>
      </c>
      <c r="J43" s="166" t="s">
        <v>1</v>
      </c>
      <c r="L43" s="24"/>
    </row>
    <row r="44" spans="2:12" s="3" customFormat="1" ht="18">
      <c r="B44" s="235" t="s">
        <v>24</v>
      </c>
      <c r="C44" s="236" t="s">
        <v>32</v>
      </c>
      <c r="D44" s="237" t="s">
        <v>32</v>
      </c>
      <c r="E44" s="240"/>
      <c r="F44" s="219"/>
      <c r="G44" s="177"/>
      <c r="H44" s="128"/>
      <c r="I44" s="171"/>
      <c r="J44" s="129"/>
      <c r="L44" s="24"/>
    </row>
    <row r="45" spans="2:12" s="3" customFormat="1" ht="18">
      <c r="B45" s="138" t="s">
        <v>50</v>
      </c>
      <c r="C45" s="139"/>
      <c r="D45" s="140"/>
      <c r="E45" s="218" t="s">
        <v>79</v>
      </c>
      <c r="F45" s="219"/>
      <c r="G45" s="169">
        <v>150</v>
      </c>
      <c r="H45" s="155" t="s">
        <v>65</v>
      </c>
      <c r="I45" s="172">
        <v>350</v>
      </c>
      <c r="J45" s="130">
        <f>G45*I45</f>
        <v>52500</v>
      </c>
      <c r="L45" s="24"/>
    </row>
    <row r="46" spans="2:12" s="3" customFormat="1" ht="18">
      <c r="B46" s="138" t="s">
        <v>55</v>
      </c>
      <c r="C46" s="139"/>
      <c r="D46" s="140"/>
      <c r="E46" s="218" t="s">
        <v>80</v>
      </c>
      <c r="F46" s="219"/>
      <c r="G46" s="169">
        <v>300</v>
      </c>
      <c r="H46" s="155" t="s">
        <v>65</v>
      </c>
      <c r="I46" s="172">
        <v>664</v>
      </c>
      <c r="J46" s="130">
        <f>G46*I46</f>
        <v>199200</v>
      </c>
      <c r="L46" s="24"/>
    </row>
    <row r="47" spans="2:12" s="3" customFormat="1" ht="18">
      <c r="B47" s="232" t="s">
        <v>25</v>
      </c>
      <c r="C47" s="233"/>
      <c r="D47" s="234"/>
      <c r="E47" s="218"/>
      <c r="F47" s="219"/>
      <c r="G47" s="169"/>
      <c r="H47" s="155"/>
      <c r="I47" s="172"/>
      <c r="J47" s="130"/>
      <c r="L47" s="24"/>
    </row>
    <row r="48" spans="2:12" s="3" customFormat="1" ht="18">
      <c r="B48" s="174" t="s">
        <v>100</v>
      </c>
      <c r="C48" s="139"/>
      <c r="D48" s="140"/>
      <c r="E48" s="218" t="s">
        <v>72</v>
      </c>
      <c r="F48" s="219"/>
      <c r="G48" s="169">
        <v>4</v>
      </c>
      <c r="H48" s="155" t="s">
        <v>66</v>
      </c>
      <c r="I48" s="161">
        <v>4500</v>
      </c>
      <c r="J48" s="130">
        <f>G48*I48</f>
        <v>18000</v>
      </c>
      <c r="L48" s="24"/>
    </row>
    <row r="49" spans="2:12" s="3" customFormat="1" ht="18">
      <c r="B49" s="186" t="s">
        <v>103</v>
      </c>
      <c r="C49" s="187"/>
      <c r="D49" s="188"/>
      <c r="E49" s="230" t="s">
        <v>81</v>
      </c>
      <c r="F49" s="231"/>
      <c r="G49" s="168">
        <v>120</v>
      </c>
      <c r="H49" s="152" t="s">
        <v>65</v>
      </c>
      <c r="I49" s="189">
        <v>900</v>
      </c>
      <c r="J49" s="190">
        <f>G49*I49</f>
        <v>108000</v>
      </c>
      <c r="L49" s="24"/>
    </row>
    <row r="50" spans="2:12" s="3" customFormat="1" ht="18">
      <c r="B50" s="186" t="s">
        <v>101</v>
      </c>
      <c r="C50" s="139"/>
      <c r="D50" s="140"/>
      <c r="E50" s="218" t="s">
        <v>76</v>
      </c>
      <c r="F50" s="219"/>
      <c r="G50" s="169">
        <v>2</v>
      </c>
      <c r="H50" s="155" t="s">
        <v>65</v>
      </c>
      <c r="I50" s="161">
        <v>10500</v>
      </c>
      <c r="J50" s="130">
        <f>G50*I50</f>
        <v>21000</v>
      </c>
      <c r="L50" s="24"/>
    </row>
    <row r="51" spans="2:12" s="3" customFormat="1" ht="18">
      <c r="B51" s="191" t="s">
        <v>35</v>
      </c>
      <c r="C51" s="195"/>
      <c r="D51" s="197"/>
      <c r="E51" s="240"/>
      <c r="F51" s="219"/>
      <c r="G51" s="178"/>
      <c r="H51" s="162"/>
      <c r="I51" s="172"/>
      <c r="J51" s="130"/>
      <c r="L51" s="24"/>
    </row>
    <row r="52" spans="2:12" s="3" customFormat="1" ht="18">
      <c r="B52" s="186" t="s">
        <v>102</v>
      </c>
      <c r="C52" s="139"/>
      <c r="D52" s="140"/>
      <c r="E52" s="218" t="s">
        <v>82</v>
      </c>
      <c r="F52" s="219"/>
      <c r="G52" s="169">
        <v>5</v>
      </c>
      <c r="H52" s="155" t="s">
        <v>66</v>
      </c>
      <c r="I52" s="172">
        <v>6740</v>
      </c>
      <c r="J52" s="130">
        <f>G52*I52</f>
        <v>33700</v>
      </c>
      <c r="L52" s="24"/>
    </row>
    <row r="53" spans="2:12" s="3" customFormat="1" ht="18">
      <c r="B53" s="192" t="s">
        <v>33</v>
      </c>
      <c r="C53" s="139"/>
      <c r="D53" s="140"/>
      <c r="E53" s="240"/>
      <c r="F53" s="219"/>
      <c r="G53" s="178"/>
      <c r="H53" s="162"/>
      <c r="I53" s="172"/>
      <c r="J53" s="130"/>
      <c r="L53" s="24"/>
    </row>
    <row r="54" spans="2:12" s="3" customFormat="1" ht="18">
      <c r="B54" s="174" t="s">
        <v>67</v>
      </c>
      <c r="C54" s="139"/>
      <c r="D54" s="140"/>
      <c r="E54" s="218" t="s">
        <v>78</v>
      </c>
      <c r="F54" s="219"/>
      <c r="G54" s="169">
        <v>1</v>
      </c>
      <c r="H54" s="161" t="s">
        <v>64</v>
      </c>
      <c r="I54" s="172">
        <v>80000</v>
      </c>
      <c r="J54" s="130">
        <f>G54*I54</f>
        <v>80000</v>
      </c>
      <c r="L54" s="24"/>
    </row>
    <row r="55" spans="2:12" s="3" customFormat="1" ht="18">
      <c r="B55" s="138" t="s">
        <v>51</v>
      </c>
      <c r="C55" s="139"/>
      <c r="D55" s="140"/>
      <c r="E55" s="218" t="s">
        <v>72</v>
      </c>
      <c r="F55" s="219"/>
      <c r="G55" s="169">
        <v>20</v>
      </c>
      <c r="H55" s="161" t="s">
        <v>63</v>
      </c>
      <c r="I55" s="172">
        <v>1500</v>
      </c>
      <c r="J55" s="130">
        <f>G55*I55</f>
        <v>30000</v>
      </c>
      <c r="L55" s="24"/>
    </row>
    <row r="56" spans="2:12" s="3" customFormat="1" ht="18">
      <c r="B56" s="138" t="s">
        <v>52</v>
      </c>
      <c r="C56" s="139"/>
      <c r="D56" s="140"/>
      <c r="E56" s="218" t="s">
        <v>83</v>
      </c>
      <c r="F56" s="219"/>
      <c r="G56" s="169">
        <v>1</v>
      </c>
      <c r="H56" s="161" t="s">
        <v>63</v>
      </c>
      <c r="I56" s="172">
        <v>12000</v>
      </c>
      <c r="J56" s="130">
        <f>G56*I56</f>
        <v>12000</v>
      </c>
      <c r="L56" s="24"/>
    </row>
    <row r="57" spans="2:12" s="3" customFormat="1" ht="21">
      <c r="B57" s="138" t="s">
        <v>109</v>
      </c>
      <c r="C57" s="139"/>
      <c r="D57" s="140"/>
      <c r="E57" s="218" t="s">
        <v>84</v>
      </c>
      <c r="F57" s="219"/>
      <c r="G57" s="179">
        <v>1</v>
      </c>
      <c r="H57" s="161" t="s">
        <v>64</v>
      </c>
      <c r="I57" s="173">
        <v>28000</v>
      </c>
      <c r="J57" s="133">
        <f>G57*I57</f>
        <v>28000</v>
      </c>
      <c r="L57" s="24"/>
    </row>
    <row r="58" spans="2:14" ht="18">
      <c r="B58" s="238" t="s">
        <v>11</v>
      </c>
      <c r="C58" s="239"/>
      <c r="D58" s="239"/>
      <c r="E58" s="239"/>
      <c r="F58" s="239"/>
      <c r="G58" s="239"/>
      <c r="H58" s="239"/>
      <c r="I58" s="239"/>
      <c r="J58" s="126">
        <f>SUM(J44:J57)</f>
        <v>582400</v>
      </c>
      <c r="K58" s="16"/>
      <c r="M58" s="16"/>
      <c r="N58" s="16"/>
    </row>
    <row r="59" spans="2:14" s="3" customFormat="1" ht="18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 customHeight="1">
      <c r="B60" s="204" t="s">
        <v>122</v>
      </c>
      <c r="C60" s="205"/>
      <c r="D60" s="205"/>
      <c r="E60" s="214"/>
      <c r="F60" s="214"/>
      <c r="G60" s="163" t="s">
        <v>5</v>
      </c>
      <c r="H60" s="164" t="s">
        <v>6</v>
      </c>
      <c r="I60" s="165"/>
      <c r="J60" s="166" t="s">
        <v>1</v>
      </c>
      <c r="K60" s="16"/>
      <c r="M60" s="16"/>
      <c r="N60" s="16"/>
      <c r="O60" s="9"/>
      <c r="P60" s="9"/>
    </row>
    <row r="61" spans="2:14" s="3" customFormat="1" ht="18">
      <c r="B61" s="262" t="s">
        <v>123</v>
      </c>
      <c r="C61" s="263"/>
      <c r="D61" s="264"/>
      <c r="E61" s="265"/>
      <c r="F61" s="269"/>
      <c r="G61" s="266">
        <v>0.05</v>
      </c>
      <c r="H61" s="267" t="s">
        <v>85</v>
      </c>
      <c r="I61" s="268"/>
      <c r="J61" s="268">
        <f>(J33+J41+J58)*G61</f>
        <v>94737.90000000001</v>
      </c>
      <c r="K61" s="16"/>
      <c r="M61" s="16"/>
      <c r="N61" s="16"/>
    </row>
    <row r="62" spans="2:14" s="3" customFormat="1" ht="18">
      <c r="B62" s="29"/>
      <c r="C62" s="29"/>
      <c r="D62" s="29"/>
      <c r="E62" s="29"/>
      <c r="F62" s="29"/>
      <c r="G62" s="30"/>
      <c r="H62" s="29"/>
      <c r="I62" s="29"/>
      <c r="J62" s="31"/>
      <c r="K62" s="16"/>
      <c r="M62" s="16"/>
      <c r="N62" s="16"/>
    </row>
    <row r="63" spans="2:16" ht="18">
      <c r="B63" s="241" t="s">
        <v>124</v>
      </c>
      <c r="C63" s="242"/>
      <c r="D63" s="242"/>
      <c r="E63" s="242"/>
      <c r="F63" s="242"/>
      <c r="G63" s="242"/>
      <c r="H63" s="242"/>
      <c r="I63" s="242"/>
      <c r="J63" s="105">
        <f>J33+J41+J58+J61</f>
        <v>1989495.9</v>
      </c>
      <c r="K63" s="16"/>
      <c r="M63" s="16"/>
      <c r="N63" s="16"/>
      <c r="O63" s="9"/>
      <c r="P63" s="9"/>
    </row>
    <row r="64" spans="2:14" s="3" customFormat="1" ht="18">
      <c r="B64" s="85"/>
      <c r="C64" s="85"/>
      <c r="D64" s="85"/>
      <c r="E64" s="85"/>
      <c r="F64" s="85"/>
      <c r="G64" s="32"/>
      <c r="H64" s="85"/>
      <c r="I64" s="85"/>
      <c r="J64" s="27"/>
      <c r="K64" s="16"/>
      <c r="M64" s="16"/>
      <c r="N64" s="16"/>
    </row>
    <row r="65" spans="2:14" s="3" customFormat="1" ht="20.25">
      <c r="B65" s="121" t="s">
        <v>125</v>
      </c>
      <c r="C65" s="120"/>
      <c r="D65" s="120"/>
      <c r="E65" s="20"/>
      <c r="F65" s="20"/>
      <c r="G65" s="180"/>
      <c r="H65" s="144"/>
      <c r="I65" s="23"/>
      <c r="J65" s="23"/>
      <c r="K65" s="16"/>
      <c r="M65" s="16"/>
      <c r="N65" s="16"/>
    </row>
    <row r="66" spans="2:14" s="3" customFormat="1" ht="18">
      <c r="B66" s="243" t="s">
        <v>31</v>
      </c>
      <c r="C66" s="214"/>
      <c r="D66" s="214"/>
      <c r="E66" s="214"/>
      <c r="F66" s="214"/>
      <c r="G66" s="163" t="s">
        <v>5</v>
      </c>
      <c r="H66" s="164" t="s">
        <v>6</v>
      </c>
      <c r="I66" s="165"/>
      <c r="J66" s="166" t="s">
        <v>1</v>
      </c>
      <c r="K66" s="16"/>
      <c r="M66" s="16"/>
      <c r="N66" s="16"/>
    </row>
    <row r="67" spans="2:15" s="3" customFormat="1" ht="21">
      <c r="B67" s="225" t="s">
        <v>110</v>
      </c>
      <c r="C67" s="226"/>
      <c r="D67" s="226"/>
      <c r="E67" s="212"/>
      <c r="F67" s="213"/>
      <c r="G67" s="255">
        <f>E16</f>
        <v>0.015</v>
      </c>
      <c r="H67" s="258" t="s">
        <v>85</v>
      </c>
      <c r="I67" s="259"/>
      <c r="J67" s="254">
        <f>J63*E16*E17*0.5</f>
        <v>179054.631</v>
      </c>
      <c r="K67" s="16"/>
      <c r="L67" s="302"/>
      <c r="M67" s="302"/>
      <c r="N67" s="302"/>
      <c r="O67" s="302"/>
    </row>
    <row r="68" spans="2:15" s="3" customFormat="1" ht="18">
      <c r="B68" s="222" t="s">
        <v>119</v>
      </c>
      <c r="C68" s="223"/>
      <c r="D68" s="223"/>
      <c r="E68" s="210"/>
      <c r="F68" s="211"/>
      <c r="G68" s="256"/>
      <c r="H68" s="155"/>
      <c r="I68" s="260"/>
      <c r="J68" s="11"/>
      <c r="K68" s="16"/>
      <c r="L68" s="195"/>
      <c r="M68" s="195"/>
      <c r="N68" s="195"/>
      <c r="O68" s="195"/>
    </row>
    <row r="69" spans="2:15" s="3" customFormat="1" ht="18">
      <c r="B69" s="222" t="s">
        <v>120</v>
      </c>
      <c r="C69" s="223"/>
      <c r="D69" s="223"/>
      <c r="E69" s="210"/>
      <c r="F69" s="211"/>
      <c r="G69" s="256"/>
      <c r="H69" s="155"/>
      <c r="I69" s="260"/>
      <c r="J69" s="11"/>
      <c r="K69" s="16"/>
      <c r="L69" s="195"/>
      <c r="M69" s="195"/>
      <c r="N69" s="195"/>
      <c r="O69" s="195"/>
    </row>
    <row r="70" spans="2:15" s="3" customFormat="1" ht="18">
      <c r="B70" s="82" t="s">
        <v>121</v>
      </c>
      <c r="C70" s="131"/>
      <c r="D70" s="131"/>
      <c r="E70" s="208"/>
      <c r="F70" s="209"/>
      <c r="G70" s="257"/>
      <c r="H70" s="156"/>
      <c r="I70" s="261"/>
      <c r="J70" s="253"/>
      <c r="K70" s="16"/>
      <c r="L70" s="195"/>
      <c r="M70" s="195"/>
      <c r="N70" s="195"/>
      <c r="O70" s="195"/>
    </row>
    <row r="71" spans="2:14" ht="18">
      <c r="B71" s="244" t="s">
        <v>28</v>
      </c>
      <c r="C71" s="245"/>
      <c r="D71" s="245"/>
      <c r="E71" s="245"/>
      <c r="F71" s="245"/>
      <c r="G71" s="245"/>
      <c r="H71" s="245"/>
      <c r="I71" s="245"/>
      <c r="J71" s="125">
        <f>SUM(J67:J70)</f>
        <v>179054.631</v>
      </c>
      <c r="K71" s="16"/>
      <c r="M71" s="16"/>
      <c r="N71" s="16"/>
    </row>
    <row r="72" spans="2:12" s="3" customFormat="1" ht="18">
      <c r="B72" s="84"/>
      <c r="C72" s="84"/>
      <c r="D72" s="84"/>
      <c r="E72" s="84"/>
      <c r="F72" s="84"/>
      <c r="G72" s="25"/>
      <c r="H72" s="84"/>
      <c r="I72" s="84"/>
      <c r="J72" s="27"/>
      <c r="K72" s="16"/>
      <c r="L72" s="16"/>
    </row>
    <row r="73" spans="2:12" ht="18">
      <c r="B73" s="246" t="s">
        <v>13</v>
      </c>
      <c r="C73" s="247"/>
      <c r="D73" s="247"/>
      <c r="E73" s="247"/>
      <c r="F73" s="247"/>
      <c r="G73" s="247"/>
      <c r="H73" s="247"/>
      <c r="I73" s="247"/>
      <c r="J73" s="248">
        <f>J63+J71</f>
        <v>2168550.531</v>
      </c>
      <c r="K73" s="16"/>
      <c r="L73" s="16"/>
    </row>
    <row r="74" spans="2:12" s="3" customFormat="1" ht="18">
      <c r="B74" s="244"/>
      <c r="C74" s="245"/>
      <c r="D74" s="245"/>
      <c r="E74" s="245"/>
      <c r="F74" s="245"/>
      <c r="G74" s="245"/>
      <c r="H74" s="245"/>
      <c r="I74" s="245"/>
      <c r="J74" s="249"/>
      <c r="K74" s="16"/>
      <c r="L74" s="16"/>
    </row>
    <row r="75" spans="2:12" s="3" customFormat="1" ht="18" customHeight="1">
      <c r="B75" s="135"/>
      <c r="C75" s="135"/>
      <c r="D75" s="135"/>
      <c r="E75" s="135"/>
      <c r="F75" s="135"/>
      <c r="G75" s="135"/>
      <c r="H75" s="135"/>
      <c r="I75" s="135"/>
      <c r="J75" s="136"/>
      <c r="K75" s="16"/>
      <c r="L75" s="16"/>
    </row>
    <row r="76" spans="2:12" ht="18" customHeight="1">
      <c r="B76" s="303" t="s">
        <v>111</v>
      </c>
      <c r="C76" s="304"/>
      <c r="D76" s="304"/>
      <c r="E76" s="304"/>
      <c r="F76" s="304"/>
      <c r="G76" s="304"/>
      <c r="H76" s="304"/>
      <c r="I76" s="304"/>
      <c r="J76" s="305"/>
      <c r="K76" s="16"/>
      <c r="L76" s="24"/>
    </row>
    <row r="77" spans="2:12" ht="18" customHeight="1">
      <c r="B77" s="287" t="s">
        <v>86</v>
      </c>
      <c r="C77" s="288"/>
      <c r="D77" s="288"/>
      <c r="E77" s="288"/>
      <c r="F77" s="288"/>
      <c r="G77" s="288"/>
      <c r="H77" s="288"/>
      <c r="I77" s="288"/>
      <c r="J77" s="289"/>
      <c r="K77" s="16"/>
      <c r="L77" s="24"/>
    </row>
    <row r="78" spans="2:12" s="3" customFormat="1" ht="18" customHeight="1">
      <c r="B78" s="290" t="s">
        <v>88</v>
      </c>
      <c r="C78" s="290"/>
      <c r="D78" s="290"/>
      <c r="E78" s="291" t="s">
        <v>87</v>
      </c>
      <c r="F78" s="292"/>
      <c r="G78" s="292"/>
      <c r="H78" s="292"/>
      <c r="I78" s="292"/>
      <c r="J78" s="293"/>
      <c r="K78" s="16"/>
      <c r="L78" s="24"/>
    </row>
    <row r="79" spans="2:12" s="3" customFormat="1" ht="18" customHeight="1">
      <c r="B79" s="290"/>
      <c r="C79" s="290"/>
      <c r="D79" s="290"/>
      <c r="E79" s="284">
        <f>G79*0.9</f>
        <v>189</v>
      </c>
      <c r="F79" s="284"/>
      <c r="G79" s="286">
        <f>E14</f>
        <v>210</v>
      </c>
      <c r="H79" s="286"/>
      <c r="I79" s="294">
        <f>G79*1.1</f>
        <v>231.00000000000003</v>
      </c>
      <c r="J79" s="295"/>
      <c r="K79" s="16"/>
      <c r="L79" s="24"/>
    </row>
    <row r="80" spans="2:12" s="3" customFormat="1" ht="18" customHeight="1">
      <c r="B80" s="284">
        <f>B81*0.9</f>
        <v>13500</v>
      </c>
      <c r="C80" s="284"/>
      <c r="D80" s="284"/>
      <c r="E80" s="283">
        <f>E$79*$B$80-J73</f>
        <v>382949.46900000004</v>
      </c>
      <c r="F80" s="283"/>
      <c r="G80" s="283">
        <f>G$79*$B$80-J73</f>
        <v>666449.469</v>
      </c>
      <c r="H80" s="283"/>
      <c r="I80" s="274">
        <f>I$79*$B$80-J73</f>
        <v>949949.4690000005</v>
      </c>
      <c r="J80" s="275"/>
      <c r="K80" s="16"/>
      <c r="L80" s="24"/>
    </row>
    <row r="81" spans="2:12" s="3" customFormat="1" ht="18" customHeight="1">
      <c r="B81" s="284">
        <f>E13</f>
        <v>15000</v>
      </c>
      <c r="C81" s="284"/>
      <c r="D81" s="284"/>
      <c r="E81" s="283">
        <f>E$79*$B$81-$J$73</f>
        <v>666449.469</v>
      </c>
      <c r="F81" s="283"/>
      <c r="G81" s="283">
        <f>G$79*$B$81-$J$73</f>
        <v>981449.469</v>
      </c>
      <c r="H81" s="283"/>
      <c r="I81" s="274">
        <f>I$79*$B$81-$J$73</f>
        <v>1296449.4690000005</v>
      </c>
      <c r="J81" s="275"/>
      <c r="K81" s="16"/>
      <c r="L81" s="24"/>
    </row>
    <row r="82" spans="2:12" s="3" customFormat="1" ht="18" customHeight="1">
      <c r="B82" s="284">
        <f>B81*1.1</f>
        <v>16500</v>
      </c>
      <c r="C82" s="284"/>
      <c r="D82" s="284"/>
      <c r="E82" s="283">
        <f>E$79*$B$82-J73</f>
        <v>949949.469</v>
      </c>
      <c r="F82" s="283"/>
      <c r="G82" s="283">
        <f>G$79*$B$82-J73</f>
        <v>1296449.469</v>
      </c>
      <c r="H82" s="283"/>
      <c r="I82" s="274">
        <f>I$79*$B$82-J73</f>
        <v>1642949.4690000005</v>
      </c>
      <c r="J82" s="275"/>
      <c r="K82" s="16"/>
      <c r="L82" s="24"/>
    </row>
    <row r="83" spans="2:12" s="3" customFormat="1" ht="18" customHeight="1">
      <c r="B83" s="34"/>
      <c r="C83" s="34"/>
      <c r="D83" s="34"/>
      <c r="E83" s="181"/>
      <c r="F83" s="181"/>
      <c r="G83" s="181"/>
      <c r="H83" s="181"/>
      <c r="I83" s="181"/>
      <c r="J83" s="181"/>
      <c r="K83" s="16"/>
      <c r="L83" s="24"/>
    </row>
    <row r="84" spans="2:12" s="3" customFormat="1" ht="18" customHeight="1">
      <c r="B84" s="34"/>
      <c r="C84" s="34"/>
      <c r="D84" s="35"/>
      <c r="E84" s="35"/>
      <c r="F84" s="35"/>
      <c r="G84" s="36"/>
      <c r="H84" s="12"/>
      <c r="I84" s="15"/>
      <c r="J84" s="15"/>
      <c r="K84" s="16"/>
      <c r="L84" s="24"/>
    </row>
    <row r="85" spans="2:12" s="3" customFormat="1" ht="18" customHeight="1">
      <c r="B85" s="306" t="s">
        <v>112</v>
      </c>
      <c r="C85" s="307"/>
      <c r="D85" s="307"/>
      <c r="E85" s="307"/>
      <c r="F85" s="307"/>
      <c r="G85" s="307"/>
      <c r="H85" s="307"/>
      <c r="I85" s="307"/>
      <c r="J85" s="308"/>
      <c r="K85" s="16"/>
      <c r="L85" s="24"/>
    </row>
    <row r="86" spans="2:12" s="3" customFormat="1" ht="18" customHeight="1">
      <c r="B86" s="250"/>
      <c r="C86" s="251"/>
      <c r="D86" s="251"/>
      <c r="E86" s="251"/>
      <c r="F86" s="251"/>
      <c r="G86" s="251"/>
      <c r="H86" s="251"/>
      <c r="I86" s="251"/>
      <c r="J86" s="252"/>
      <c r="K86" s="16"/>
      <c r="L86" s="24"/>
    </row>
    <row r="87" spans="2:12" s="3" customFormat="1" ht="18" customHeight="1">
      <c r="B87" s="270" t="s">
        <v>88</v>
      </c>
      <c r="C87" s="271"/>
      <c r="D87" s="271"/>
      <c r="E87" s="271">
        <f>B80</f>
        <v>13500</v>
      </c>
      <c r="F87" s="271"/>
      <c r="G87" s="271">
        <f>E13</f>
        <v>15000</v>
      </c>
      <c r="H87" s="271"/>
      <c r="I87" s="271">
        <f>B82</f>
        <v>16500</v>
      </c>
      <c r="J87" s="331"/>
      <c r="K87" s="16"/>
      <c r="L87" s="24"/>
    </row>
    <row r="88" spans="2:12" ht="18" customHeight="1">
      <c r="B88" s="272"/>
      <c r="C88" s="273"/>
      <c r="D88" s="273"/>
      <c r="E88" s="273"/>
      <c r="F88" s="273"/>
      <c r="G88" s="273"/>
      <c r="H88" s="273"/>
      <c r="I88" s="273"/>
      <c r="J88" s="332"/>
      <c r="K88" s="16"/>
      <c r="L88" s="24"/>
    </row>
    <row r="89" spans="2:12" ht="18" customHeight="1">
      <c r="B89" s="279" t="s">
        <v>89</v>
      </c>
      <c r="C89" s="280"/>
      <c r="D89" s="280"/>
      <c r="E89" s="297">
        <f>J73/'vid vinifera_sauvignon_valparai'!E87</f>
        <v>160.63337266666667</v>
      </c>
      <c r="F89" s="297"/>
      <c r="G89" s="298">
        <f>$J$73/G87</f>
        <v>144.5700354</v>
      </c>
      <c r="H89" s="298"/>
      <c r="I89" s="297">
        <f>J73/'vid vinifera_sauvignon_valparai'!I87</f>
        <v>131.4273049090909</v>
      </c>
      <c r="J89" s="329"/>
      <c r="K89" s="16"/>
      <c r="L89" s="24"/>
    </row>
    <row r="90" spans="2:12" ht="18" customHeight="1">
      <c r="B90" s="281"/>
      <c r="C90" s="282"/>
      <c r="D90" s="282"/>
      <c r="E90" s="298"/>
      <c r="F90" s="298"/>
      <c r="G90" s="298"/>
      <c r="H90" s="298"/>
      <c r="I90" s="298"/>
      <c r="J90" s="330"/>
      <c r="K90" s="16"/>
      <c r="L90" s="24"/>
    </row>
    <row r="91" spans="2:12" ht="18" customHeight="1">
      <c r="B91" s="46"/>
      <c r="C91" s="1"/>
      <c r="D91" s="3"/>
      <c r="E91" s="3"/>
      <c r="F91" s="106"/>
      <c r="G91" s="106"/>
      <c r="H91" s="106"/>
      <c r="I91" s="15"/>
      <c r="J91" s="15"/>
      <c r="K91" s="16"/>
      <c r="L91" s="24"/>
    </row>
    <row r="92" spans="2:11" s="3" customFormat="1" ht="18" customHeight="1">
      <c r="B92" s="299" t="s">
        <v>15</v>
      </c>
      <c r="C92" s="300"/>
      <c r="D92" s="300"/>
      <c r="E92" s="300"/>
      <c r="F92" s="300"/>
      <c r="G92" s="300"/>
      <c r="H92" s="300"/>
      <c r="I92" s="300"/>
      <c r="J92" s="301"/>
      <c r="K92" s="80"/>
    </row>
    <row r="93" spans="2:14" s="3" customFormat="1" ht="18" customHeight="1">
      <c r="B93" s="276" t="s">
        <v>90</v>
      </c>
      <c r="C93" s="277"/>
      <c r="D93" s="277"/>
      <c r="E93" s="277"/>
      <c r="F93" s="277"/>
      <c r="G93" s="277"/>
      <c r="H93" s="277"/>
      <c r="I93" s="277"/>
      <c r="J93" s="278"/>
      <c r="K93" s="80"/>
      <c r="N93" s="107"/>
    </row>
    <row r="94" spans="2:14" s="3" customFormat="1" ht="17.25" customHeight="1">
      <c r="B94" s="276" t="s">
        <v>95</v>
      </c>
      <c r="C94" s="277"/>
      <c r="D94" s="277"/>
      <c r="E94" s="277"/>
      <c r="F94" s="277"/>
      <c r="G94" s="277"/>
      <c r="H94" s="277"/>
      <c r="I94" s="277"/>
      <c r="J94" s="278"/>
      <c r="K94" s="80"/>
      <c r="N94" s="107"/>
    </row>
    <row r="95" spans="2:14" s="3" customFormat="1" ht="17.25" customHeight="1">
      <c r="B95" s="276" t="s">
        <v>113</v>
      </c>
      <c r="C95" s="277"/>
      <c r="D95" s="277"/>
      <c r="E95" s="277"/>
      <c r="F95" s="277"/>
      <c r="G95" s="277"/>
      <c r="H95" s="277"/>
      <c r="I95" s="277"/>
      <c r="J95" s="278"/>
      <c r="K95" s="80"/>
      <c r="N95" s="107"/>
    </row>
    <row r="96" spans="2:11" s="3" customFormat="1" ht="30" customHeight="1">
      <c r="B96" s="326" t="s">
        <v>114</v>
      </c>
      <c r="C96" s="327"/>
      <c r="D96" s="327"/>
      <c r="E96" s="327"/>
      <c r="F96" s="327"/>
      <c r="G96" s="327"/>
      <c r="H96" s="327"/>
      <c r="I96" s="327"/>
      <c r="J96" s="328"/>
      <c r="K96" s="81"/>
    </row>
    <row r="97" spans="2:11" s="3" customFormat="1" ht="18" customHeight="1">
      <c r="B97" s="276" t="s">
        <v>115</v>
      </c>
      <c r="C97" s="277"/>
      <c r="D97" s="277"/>
      <c r="E97" s="277"/>
      <c r="F97" s="277"/>
      <c r="G97" s="277"/>
      <c r="H97" s="277"/>
      <c r="I97" s="277"/>
      <c r="J97" s="278"/>
      <c r="K97" s="80"/>
    </row>
    <row r="98" spans="2:11" s="3" customFormat="1" ht="18" customHeight="1">
      <c r="B98" s="276" t="s">
        <v>118</v>
      </c>
      <c r="C98" s="277"/>
      <c r="D98" s="277"/>
      <c r="E98" s="277"/>
      <c r="F98" s="277"/>
      <c r="G98" s="277"/>
      <c r="H98" s="277"/>
      <c r="I98" s="277"/>
      <c r="J98" s="278"/>
      <c r="K98" s="80"/>
    </row>
    <row r="99" spans="2:11" s="3" customFormat="1" ht="17.25" customHeight="1">
      <c r="B99" s="319" t="s">
        <v>116</v>
      </c>
      <c r="C99" s="320"/>
      <c r="D99" s="320"/>
      <c r="E99" s="320"/>
      <c r="F99" s="320"/>
      <c r="G99" s="320"/>
      <c r="H99" s="320"/>
      <c r="I99" s="320"/>
      <c r="J99" s="321"/>
      <c r="K99" s="80"/>
    </row>
    <row r="100" spans="2:11" s="3" customFormat="1" ht="18" customHeight="1">
      <c r="B100" s="323" t="s">
        <v>117</v>
      </c>
      <c r="C100" s="324"/>
      <c r="D100" s="324"/>
      <c r="E100" s="324"/>
      <c r="F100" s="324"/>
      <c r="G100" s="324"/>
      <c r="H100" s="324"/>
      <c r="I100" s="324"/>
      <c r="J100" s="325"/>
      <c r="K100" s="81"/>
    </row>
    <row r="101" spans="2:11" s="3" customFormat="1" ht="18" customHeight="1">
      <c r="B101" s="145"/>
      <c r="C101" s="145"/>
      <c r="D101" s="145"/>
      <c r="E101" s="145"/>
      <c r="F101" s="145"/>
      <c r="G101" s="145"/>
      <c r="H101" s="145"/>
      <c r="I101" s="145"/>
      <c r="J101" s="145"/>
      <c r="K101" s="81"/>
    </row>
    <row r="102" spans="2:11" s="3" customFormat="1" ht="18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3"/>
    </row>
    <row r="103" spans="2:11" s="3" customFormat="1" ht="16.5" customHeight="1">
      <c r="B103" s="39"/>
      <c r="C103" s="39"/>
      <c r="D103" s="39"/>
      <c r="E103" s="39"/>
      <c r="F103" s="39"/>
      <c r="G103" s="40"/>
      <c r="H103" s="39"/>
      <c r="I103" s="39"/>
      <c r="J103" s="39"/>
      <c r="K103" s="9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s="3" customFormat="1" ht="1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ht="18">
      <c r="B112" s="56"/>
      <c r="C112" s="56"/>
      <c r="D112" s="57"/>
      <c r="E112" s="57"/>
      <c r="F112" s="58"/>
      <c r="G112" s="58"/>
      <c r="H112" s="58"/>
      <c r="I112" s="67"/>
      <c r="J112" s="67"/>
      <c r="K112" s="69"/>
      <c r="L112" s="67"/>
    </row>
    <row r="113" spans="2:12" ht="18">
      <c r="B113" s="56"/>
      <c r="C113" s="59"/>
      <c r="D113" s="59"/>
      <c r="E113" s="60"/>
      <c r="F113" s="59"/>
      <c r="G113" s="61"/>
      <c r="H113" s="62"/>
      <c r="I113" s="67"/>
      <c r="J113" s="67"/>
      <c r="K113" s="69"/>
      <c r="L113" s="67"/>
    </row>
    <row r="114" spans="2:12" ht="18">
      <c r="B114" s="57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56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70"/>
      <c r="C117" s="71"/>
      <c r="D117" s="71"/>
      <c r="E117" s="63"/>
      <c r="F117" s="63"/>
      <c r="G117" s="63"/>
      <c r="H117" s="63"/>
      <c r="I117" s="67"/>
      <c r="J117" s="69"/>
      <c r="K117" s="69"/>
      <c r="L117" s="67"/>
    </row>
    <row r="118" spans="2:12" ht="18">
      <c r="B118" s="64"/>
      <c r="C118" s="65"/>
      <c r="D118" s="65"/>
      <c r="E118" s="64"/>
      <c r="F118" s="64"/>
      <c r="G118" s="64"/>
      <c r="H118" s="66"/>
      <c r="I118" s="67"/>
      <c r="J118" s="67"/>
      <c r="K118" s="69"/>
      <c r="L118" s="67"/>
    </row>
    <row r="119" spans="2:12" ht="18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296"/>
      <c r="C123" s="296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ht="18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77"/>
      <c r="C147" s="77"/>
      <c r="D147" s="77"/>
      <c r="E147" s="77"/>
      <c r="F147" s="7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9"/>
      <c r="D150" s="69"/>
      <c r="E150" s="69"/>
      <c r="F150" s="69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8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69"/>
      <c r="H170" s="69"/>
      <c r="I170" s="69"/>
      <c r="J170" s="67"/>
      <c r="K170" s="69"/>
      <c r="L170" s="67"/>
    </row>
    <row r="171" spans="2:12" s="3" customFormat="1" ht="15">
      <c r="B171" s="69"/>
      <c r="C171" s="69"/>
      <c r="D171" s="69"/>
      <c r="E171" s="69"/>
      <c r="F171" s="69"/>
      <c r="G171" s="78"/>
      <c r="H171" s="69"/>
      <c r="I171" s="69"/>
      <c r="J171" s="67"/>
      <c r="K171" s="69"/>
      <c r="L171" s="78"/>
    </row>
    <row r="172" spans="2:12" s="3" customFormat="1" ht="15">
      <c r="B172" s="69"/>
      <c r="C172" s="69"/>
      <c r="D172" s="69"/>
      <c r="E172" s="69"/>
      <c r="F172" s="69"/>
      <c r="G172" s="69"/>
      <c r="H172" s="69"/>
      <c r="I172" s="79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</sheetData>
  <sheetProtection/>
  <mergeCells count="46">
    <mergeCell ref="B99:J99"/>
    <mergeCell ref="D2:J2"/>
    <mergeCell ref="B97:J97"/>
    <mergeCell ref="G89:H90"/>
    <mergeCell ref="B100:J100"/>
    <mergeCell ref="B98:J98"/>
    <mergeCell ref="B96:J96"/>
    <mergeCell ref="I89:J90"/>
    <mergeCell ref="I87:J88"/>
    <mergeCell ref="I81:J81"/>
    <mergeCell ref="L67:O67"/>
    <mergeCell ref="B76:J76"/>
    <mergeCell ref="B85:J85"/>
    <mergeCell ref="D6:J6"/>
    <mergeCell ref="E20:F20"/>
    <mergeCell ref="B12:E12"/>
    <mergeCell ref="G12:J12"/>
    <mergeCell ref="I79:J79"/>
    <mergeCell ref="B123:C123"/>
    <mergeCell ref="B93:J93"/>
    <mergeCell ref="B82:D82"/>
    <mergeCell ref="E79:F79"/>
    <mergeCell ref="E89:F90"/>
    <mergeCell ref="G87:H88"/>
    <mergeCell ref="B81:D81"/>
    <mergeCell ref="E81:F81"/>
    <mergeCell ref="B92:J92"/>
    <mergeCell ref="B95:J95"/>
    <mergeCell ref="D3:J3"/>
    <mergeCell ref="D4:J4"/>
    <mergeCell ref="G79:H79"/>
    <mergeCell ref="E80:F80"/>
    <mergeCell ref="G81:H81"/>
    <mergeCell ref="E82:F82"/>
    <mergeCell ref="B77:J77"/>
    <mergeCell ref="B78:D79"/>
    <mergeCell ref="E78:J78"/>
    <mergeCell ref="B87:D88"/>
    <mergeCell ref="I80:J80"/>
    <mergeCell ref="E87:F88"/>
    <mergeCell ref="B94:J94"/>
    <mergeCell ref="B89:D90"/>
    <mergeCell ref="G82:H82"/>
    <mergeCell ref="I82:J82"/>
    <mergeCell ref="G80:H80"/>
    <mergeCell ref="B80:D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5" max="10" man="1"/>
  </rowBreaks>
  <ignoredErrors>
    <ignoredError sqref="J3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(('vid vinifera_sauvignon_valparai'!E13-45000)/45000)+1</f>
        <v>0.33333333333333337</v>
      </c>
    </row>
    <row r="3" ht="18">
      <c r="B3" s="13"/>
    </row>
    <row r="4" spans="2:3" ht="18">
      <c r="B4" s="333" t="s">
        <v>18</v>
      </c>
      <c r="C4" s="333"/>
    </row>
    <row r="5" spans="2:5" ht="18">
      <c r="B5" s="82" t="s">
        <v>34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4" t="s">
        <v>14</v>
      </c>
      <c r="C14" s="334"/>
      <c r="D14" s="334"/>
    </row>
    <row r="16" spans="2:4" ht="18">
      <c r="B16" s="49" t="s">
        <v>16</v>
      </c>
      <c r="C16" s="48">
        <f>'vid vinifera_sauvignon_valparai'!B80</f>
        <v>13500</v>
      </c>
      <c r="D16" s="48">
        <f>'vid vinifera_sauvignon_valparai'!B82</f>
        <v>16500</v>
      </c>
    </row>
    <row r="17" ht="15">
      <c r="B17" s="24"/>
    </row>
    <row r="18" spans="2:4" ht="15">
      <c r="B18" s="47" t="s">
        <v>17</v>
      </c>
      <c r="C18" s="50">
        <f>((C16-'vid vinifera_sauvignon_valparai'!E13)/'vid vinifera_sauvignon_valparai'!E13)+1</f>
        <v>0.9</v>
      </c>
      <c r="D18" s="50">
        <f>((D16-'vid vinifera_sauvignon_valparai'!E13)/'vid vinifera_sauvignon_valparai'!E13)+1</f>
        <v>1.1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SUM('vid vinifera_sauvignon_valparai'!J22:J31)</f>
        <v>437358</v>
      </c>
      <c r="D21" s="9">
        <f>SUM('vid vinifera_sauvignon_valparai'!J22:J31)</f>
        <v>437358</v>
      </c>
    </row>
    <row r="22" spans="2:4" ht="18">
      <c r="B22" s="51" t="s">
        <v>20</v>
      </c>
      <c r="C22" s="52">
        <f>C18*'vid vinifera_sauvignon_valparai'!G32*'vid vinifera_sauvignon_valparai'!I32</f>
        <v>472500.00000000006</v>
      </c>
      <c r="D22" s="52">
        <f>D18*'vid vinifera_sauvignon_valparai'!G32*'vid vinifera_sauvignon_valparai'!I32</f>
        <v>577500.0000000001</v>
      </c>
    </row>
    <row r="23" spans="2:4" ht="18">
      <c r="B23" s="17" t="s">
        <v>21</v>
      </c>
      <c r="C23" s="9">
        <f>SUM(C21:C22)</f>
        <v>909858</v>
      </c>
      <c r="D23" s="9">
        <f>SUM(D21:D22)</f>
        <v>1014858.0000000001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SUM('vid vinifera_sauvignon_valparai'!J36:J40)</f>
        <v>350000</v>
      </c>
      <c r="D26" s="9">
        <f>SUM('vid vinifera_sauvignon_valparai'!J36:J40)</f>
        <v>350000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350000</v>
      </c>
      <c r="D28" s="9">
        <f>SUM(D26:D27)</f>
        <v>350000</v>
      </c>
    </row>
    <row r="30" ht="18">
      <c r="B30" s="49" t="s">
        <v>22</v>
      </c>
    </row>
    <row r="31" spans="2:4" ht="18">
      <c r="B31" s="17" t="s">
        <v>19</v>
      </c>
      <c r="C31" s="9">
        <f>SUM('vid vinifera_sauvignon_valparai'!J44:J57)</f>
        <v>582400</v>
      </c>
      <c r="D31" s="9">
        <f>SUM('vid vinifera_sauvignon_valparai'!J44:J57)</f>
        <v>582400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582400</v>
      </c>
      <c r="D33" s="9">
        <f>SUM(D31:D32)</f>
        <v>582400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1842258</v>
      </c>
      <c r="D35" s="55">
        <f>D23+D28+D33</f>
        <v>1947258</v>
      </c>
    </row>
    <row r="36" ht="15">
      <c r="B36" s="24"/>
    </row>
    <row r="37" spans="2:4" ht="18">
      <c r="B37" s="53" t="s">
        <v>0</v>
      </c>
      <c r="C37" s="9" t="e">
        <f>C35*'vid vinifera_sauvignon_valparai'!#REF!</f>
        <v>#REF!</v>
      </c>
      <c r="D37" s="9" t="e">
        <f>D35*D18*'vid vinifera_sauvignon_valparai'!#REF!</f>
        <v>#REF!</v>
      </c>
    </row>
    <row r="38" spans="2:4" ht="18">
      <c r="B38" s="53" t="s">
        <v>12</v>
      </c>
      <c r="C38" s="9">
        <f>C35*'vid vinifera_sauvignon_valparai'!E16*'vid vinifera_sauvignon_valparai'!E17*0.5</f>
        <v>165803.22</v>
      </c>
      <c r="D38" s="9">
        <f>D35*'vid vinifera_sauvignon_valparai'!E16*'vid vinifera_sauvignon_valparai'!E17*0.5</f>
        <v>175253.22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2019-07-02T15:52:58Z</cp:lastPrinted>
  <dcterms:created xsi:type="dcterms:W3CDTF">2012-07-09T18:51:50Z</dcterms:created>
  <dcterms:modified xsi:type="dcterms:W3CDTF">2019-07-02T16:00:38Z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0x0101004FA11E5E6FC8EB4785E1A90BD682AA9B</vt:lpwstr>
  </property>
</Properties>
</file>