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zapallo_diaguita_maule_" sheetId="1" r:id="rId1"/>
    <sheet name="Hoja2" sheetId="2" r:id="rId2"/>
    <sheet name="Hoja1" sheetId="3" state="hidden" r:id="rId3"/>
  </sheets>
  <definedNames>
    <definedName name="_xlnm.Print_Area" localSheetId="0">'zapallo_diaguita_maule_'!$A$1:$K$103</definedName>
  </definedNames>
  <calcPr fullCalcOnLoad="1"/>
</workbook>
</file>

<file path=xl/sharedStrings.xml><?xml version="1.0" encoding="utf-8"?>
<sst xmlns="http://schemas.openxmlformats.org/spreadsheetml/2006/main" count="179" uniqueCount="123">
  <si>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</si>
  <si>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</si>
  <si>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</si>
  <si>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</si>
  <si>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</si>
  <si>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</si>
  <si>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</si>
  <si>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</si>
  <si>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</si>
  <si>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</si>
  <si>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</si>
  <si>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</si>
  <si>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</si>
  <si>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</si>
  <si>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</si>
  <si>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</si>
  <si>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</si>
  <si>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</si>
  <si>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</si>
  <si>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</si>
  <si>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</si>
  <si>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</si>
  <si>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</si>
  <si>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</si>
  <si>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</si>
  <si>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</si>
  <si>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</si>
  <si>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</si>
  <si>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</si>
  <si>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</si>
  <si>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</si>
  <si>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</si>
  <si>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</si>
  <si>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Cosecha: cortado, seleccionado y embalado</t>
  </si>
  <si>
    <t>Riego</t>
  </si>
  <si>
    <t>Aplicación fertilizantes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</si>
  <si>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</si>
  <si>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</si>
  <si>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</si>
  <si>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</si>
  <si>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</si>
  <si>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</si>
  <si>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</si>
  <si>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</si>
  <si>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</si>
  <si>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</si>
  <si>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</si>
  <si>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</si>
  <si>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</si>
  <si>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</si>
  <si>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</si>
  <si>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</si>
  <si>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</si>
  <si>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</si>
  <si>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</si>
  <si>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</si>
  <si>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Fungicidas:</t>
  </si>
  <si>
    <t>Siembra</t>
  </si>
  <si>
    <t>septiembre - octubre</t>
  </si>
  <si>
    <t>septiembre - enero</t>
  </si>
  <si>
    <t>Control manual de malezas</t>
  </si>
  <si>
    <t>diciembre - enero</t>
  </si>
  <si>
    <t>octubre</t>
  </si>
  <si>
    <t>octubre - diciembre</t>
  </si>
  <si>
    <t>octubre - noviembre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</si>
  <si>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</si>
  <si>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</si>
  <si>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</si>
  <si>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</si>
  <si>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</si>
  <si>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</si>
  <si>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</si>
  <si>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</si>
  <si>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</si>
  <si>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Costo oportunidad (arriendo)</t>
  </si>
  <si>
    <t xml:space="preserve">Administración </t>
  </si>
  <si>
    <t>Contribuciones</t>
  </si>
  <si>
    <t>(6) 1,5% mensual simple sobre el 50% de los costos directos, tasa de interés promedio de las empresas distribuidoras de insumos.</t>
  </si>
  <si>
    <t>Zapallo Camote</t>
  </si>
  <si>
    <t>Región: Maule</t>
  </si>
  <si>
    <t>1 hectaréa noviembre 2017</t>
  </si>
  <si>
    <t>Sistema de conducción: Botado</t>
  </si>
  <si>
    <t>Tecnología de riego: Surco</t>
  </si>
  <si>
    <t>Densidad (plantas/hectárea): 6.500</t>
  </si>
  <si>
    <t>Plantación: octubre 2016</t>
  </si>
  <si>
    <t>Variedad:  Diaguita</t>
  </si>
  <si>
    <t>Destino de producción: Intermediario formal</t>
  </si>
  <si>
    <t>Tecnología: Media</t>
  </si>
  <si>
    <t>Cosecha: febrero 2017</t>
  </si>
  <si>
    <t>Rendimiento (kilos/hectárea):</t>
  </si>
  <si>
    <t>Aplicación fitosanitarios</t>
  </si>
  <si>
    <t>Envolver guías</t>
  </si>
  <si>
    <t>febrero</t>
  </si>
  <si>
    <t>octubre - enero</t>
  </si>
  <si>
    <t>octubre - febrero</t>
  </si>
  <si>
    <t>noviembre - enero</t>
  </si>
  <si>
    <t>Sacar cosecha y cargar</t>
  </si>
  <si>
    <t>Arado cincel</t>
  </si>
  <si>
    <t>Melgadura</t>
  </si>
  <si>
    <t>Cultivación entre hileras y fertilización</t>
  </si>
  <si>
    <t>Acequiadura</t>
  </si>
  <si>
    <t>agosto - octubre</t>
  </si>
  <si>
    <t>Semillas:</t>
  </si>
  <si>
    <t xml:space="preserve">   Semilla</t>
  </si>
  <si>
    <t>Fertilizantes (4):</t>
  </si>
  <si>
    <t xml:space="preserve">   Mezcla hortalicera</t>
  </si>
  <si>
    <t xml:space="preserve">   Urea</t>
  </si>
  <si>
    <t xml:space="preserve">   Topas 200 EW</t>
  </si>
  <si>
    <t xml:space="preserve">   Karate con tecnología zeon</t>
  </si>
  <si>
    <t>Otros:</t>
  </si>
  <si>
    <t xml:space="preserve">   Terrasorb foliar</t>
  </si>
  <si>
    <t xml:space="preserve">   Fosfimax 40 - 20</t>
  </si>
  <si>
    <t>noviembre - diciembre</t>
  </si>
  <si>
    <t>junio - julio</t>
  </si>
  <si>
    <t>Rendimiento (kilos/hectárea)</t>
  </si>
  <si>
    <t>Costo unitario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</si>
  <si>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</si>
  <si>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Precio ($/kilo)</t>
  </si>
  <si>
    <r>
      <t xml:space="preserve">Precio de venta mercado interno ($/kilo): </t>
    </r>
    <r>
      <rPr>
        <b/>
        <vertAlign val="superscript"/>
        <sz val="14"/>
        <rFont val="Arial"/>
        <family val="2"/>
      </rPr>
      <t>(1)</t>
    </r>
  </si>
  <si>
    <r>
      <t>Cosecha</t>
    </r>
    <r>
      <rPr>
        <vertAlign val="superscript"/>
        <sz val="14"/>
        <rFont val="Arial"/>
        <family val="2"/>
      </rPr>
      <t xml:space="preserve"> (2)</t>
    </r>
  </si>
  <si>
    <r>
      <t xml:space="preserve">   Análisis de suelo </t>
    </r>
    <r>
      <rPr>
        <vertAlign val="superscript"/>
        <sz val="14"/>
        <rFont val="Arial"/>
        <family val="2"/>
      </rPr>
      <t>(5)</t>
    </r>
  </si>
  <si>
    <t>(1) El precio del kilo de zapallo cosechado utilizado corresponde al promedio de la región durante el periodo de cosecha en el predio en la temporada 2016/17.</t>
  </si>
  <si>
    <t xml:space="preserve">(2) La cosecha consiste el cortar el fruto, según la calidad requerida por el mercado, sacar la producción del potrero y cargar a camiones de los compradores.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</si>
</sst>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4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0" borderId="17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184" fontId="10" fillId="0" borderId="17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0" fontId="10" fillId="0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19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4" fontId="10" fillId="0" borderId="23" xfId="56" applyNumberFormat="1" applyFont="1" applyFill="1" applyBorder="1" applyAlignment="1" applyProtection="1">
      <alignment horizontal="center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3" fontId="10" fillId="0" borderId="15" xfId="67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 indent="1"/>
      <protection/>
    </xf>
    <xf numFmtId="0" fontId="10" fillId="34" borderId="11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10" fillId="34" borderId="17" xfId="56" applyFont="1" applyFill="1" applyBorder="1" applyAlignment="1" applyProtection="1">
      <alignment horizontal="left" indent="1"/>
      <protection/>
    </xf>
    <xf numFmtId="0" fontId="10" fillId="0" borderId="17" xfId="56" applyFont="1" applyFill="1" applyBorder="1" applyAlignment="1" applyProtection="1">
      <alignment horizontal="left" indent="1"/>
      <protection/>
    </xf>
    <xf numFmtId="0" fontId="10" fillId="0" borderId="14" xfId="56" applyFont="1" applyFill="1" applyBorder="1" applyAlignment="1" applyProtection="1">
      <alignment horizontal="left" indent="1"/>
      <protection/>
    </xf>
    <xf numFmtId="0" fontId="10" fillId="0" borderId="18" xfId="56" applyFont="1" applyFill="1" applyBorder="1" applyAlignment="1" applyProtection="1">
      <alignment horizontal="left" indent="1"/>
      <protection/>
    </xf>
    <xf numFmtId="0" fontId="10" fillId="34" borderId="0" xfId="56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2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34" borderId="11" xfId="56" applyFont="1" applyFill="1" applyBorder="1" applyAlignment="1" applyProtection="1">
      <alignment/>
      <protection/>
    </xf>
    <xf numFmtId="0" fontId="10" fillId="0" borderId="0" xfId="56" applyFont="1" applyFill="1" applyBorder="1" applyAlignment="1" applyProtection="1">
      <alignment horizontal="left" indent="2"/>
      <protection/>
    </xf>
    <xf numFmtId="0" fontId="10" fillId="0" borderId="11" xfId="56" applyFont="1" applyFill="1" applyBorder="1" applyAlignment="1" applyProtection="1">
      <alignment horizontal="left" indent="2"/>
      <protection/>
    </xf>
    <xf numFmtId="0" fontId="10" fillId="0" borderId="18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7" xfId="56" applyFont="1" applyFill="1" applyBorder="1" applyAlignment="1">
      <alignment horizontal="left" indent="3"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10" fillId="34" borderId="14" xfId="56" applyFont="1" applyFill="1" applyBorder="1" applyAlignment="1" applyProtection="1">
      <alignment/>
      <protection/>
    </xf>
    <xf numFmtId="0" fontId="10" fillId="34" borderId="18" xfId="56" applyFont="1" applyFill="1" applyBorder="1" applyAlignment="1" applyProtection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19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3" fontId="8" fillId="37" borderId="25" xfId="0" applyNumberFormat="1" applyFont="1" applyFill="1" applyBorder="1" applyAlignment="1">
      <alignment/>
    </xf>
    <xf numFmtId="3" fontId="8" fillId="37" borderId="20" xfId="0" applyNumberFormat="1" applyFont="1" applyFill="1" applyBorder="1" applyAlignment="1">
      <alignment/>
    </xf>
    <xf numFmtId="3" fontId="8" fillId="37" borderId="24" xfId="0" applyNumberFormat="1" applyFont="1" applyFill="1" applyBorder="1" applyAlignment="1">
      <alignment/>
    </xf>
    <xf numFmtId="3" fontId="8" fillId="37" borderId="17" xfId="0" applyNumberFormat="1" applyFont="1" applyFill="1" applyBorder="1" applyAlignment="1">
      <alignment vertical="center"/>
    </xf>
    <xf numFmtId="3" fontId="8" fillId="37" borderId="14" xfId="0" applyNumberFormat="1" applyFont="1" applyFill="1" applyBorder="1" applyAlignment="1">
      <alignment vertical="center"/>
    </xf>
    <xf numFmtId="3" fontId="8" fillId="37" borderId="19" xfId="0" applyNumberFormat="1" applyFont="1" applyFill="1" applyBorder="1" applyAlignment="1">
      <alignment vertical="center"/>
    </xf>
    <xf numFmtId="3" fontId="8" fillId="37" borderId="0" xfId="0" applyNumberFormat="1" applyFont="1" applyFill="1" applyBorder="1" applyAlignment="1">
      <alignment vertical="center"/>
    </xf>
    <xf numFmtId="0" fontId="10" fillId="37" borderId="19" xfId="0" applyFont="1" applyFill="1" applyBorder="1" applyAlignment="1">
      <alignment vertical="center"/>
    </xf>
    <xf numFmtId="0" fontId="10" fillId="37" borderId="0" xfId="0" applyFont="1" applyFill="1" applyBorder="1" applyAlignment="1">
      <alignment vertical="center"/>
    </xf>
    <xf numFmtId="0" fontId="10" fillId="37" borderId="15" xfId="0" applyFont="1" applyFill="1" applyBorder="1" applyAlignment="1">
      <alignment vertical="center"/>
    </xf>
    <xf numFmtId="0" fontId="10" fillId="37" borderId="13" xfId="0" applyFont="1" applyFill="1" applyBorder="1" applyAlignment="1">
      <alignment vertical="center"/>
    </xf>
    <xf numFmtId="3" fontId="8" fillId="37" borderId="18" xfId="0" applyNumberFormat="1" applyFont="1" applyFill="1" applyBorder="1" applyAlignment="1">
      <alignment vertical="center"/>
    </xf>
    <xf numFmtId="3" fontId="8" fillId="37" borderId="11" xfId="0" applyNumberFormat="1" applyFont="1" applyFill="1" applyBorder="1" applyAlignment="1">
      <alignment vertical="center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62" fillId="23" borderId="24" xfId="56" applyFont="1" applyFill="1" applyBorder="1" applyAlignment="1" applyProtection="1">
      <alignment vertical="center"/>
      <protection/>
    </xf>
    <xf numFmtId="0" fontId="62" fillId="23" borderId="24" xfId="56" applyFont="1" applyFill="1" applyBorder="1" applyAlignment="1" applyProtection="1">
      <alignment horizontal="right" vertical="center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8" fillId="37" borderId="14" xfId="0" applyFont="1" applyFill="1" applyBorder="1" applyAlignment="1">
      <alignment vertical="center"/>
    </xf>
    <xf numFmtId="0" fontId="8" fillId="37" borderId="18" xfId="0" applyFont="1" applyFill="1" applyBorder="1" applyAlignment="1">
      <alignment vertical="center"/>
    </xf>
    <xf numFmtId="0" fontId="8" fillId="37" borderId="15" xfId="0" applyFont="1" applyFill="1" applyBorder="1" applyAlignment="1">
      <alignment vertical="center"/>
    </xf>
    <xf numFmtId="0" fontId="8" fillId="37" borderId="13" xfId="0" applyFont="1" applyFill="1" applyBorder="1" applyAlignment="1">
      <alignment vertical="center"/>
    </xf>
    <xf numFmtId="0" fontId="8" fillId="37" borderId="16" xfId="0" applyFont="1" applyFill="1" applyBorder="1" applyAlignment="1">
      <alignment vertical="center"/>
    </xf>
    <xf numFmtId="0" fontId="8" fillId="37" borderId="17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62" fillId="23" borderId="25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17" fontId="10" fillId="34" borderId="19" xfId="67" applyNumberFormat="1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>
      <alignment/>
      <protection/>
    </xf>
    <xf numFmtId="3" fontId="8" fillId="34" borderId="0" xfId="67" applyNumberFormat="1" applyFont="1" applyFill="1" applyBorder="1" applyAlignment="1">
      <alignment/>
      <protection/>
    </xf>
    <xf numFmtId="3" fontId="64" fillId="34" borderId="11" xfId="67" applyNumberFormat="1" applyFont="1" applyFill="1" applyBorder="1" applyAlignment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8" fillId="34" borderId="17" xfId="67" applyNumberFormat="1" applyFont="1" applyFill="1" applyBorder="1" applyAlignment="1" applyProtection="1">
      <alignment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2" fillId="39" borderId="17" xfId="55" applyFont="1" applyFill="1" applyBorder="1" applyAlignment="1">
      <alignment horizontal="center"/>
      <protection/>
    </xf>
    <xf numFmtId="0" fontId="62" fillId="39" borderId="14" xfId="55" applyFont="1" applyFill="1" applyBorder="1" applyAlignment="1">
      <alignment horizontal="center"/>
      <protection/>
    </xf>
    <xf numFmtId="0" fontId="62" fillId="39" borderId="18" xfId="55" applyFont="1" applyFill="1" applyBorder="1" applyAlignment="1">
      <alignment horizontal="center"/>
      <protection/>
    </xf>
    <xf numFmtId="0" fontId="62" fillId="39" borderId="25" xfId="55" applyFont="1" applyFill="1" applyBorder="1" applyAlignment="1">
      <alignment horizontal="center"/>
      <protection/>
    </xf>
    <xf numFmtId="0" fontId="62" fillId="39" borderId="24" xfId="55" applyFont="1" applyFill="1" applyBorder="1" applyAlignment="1">
      <alignment horizontal="center"/>
      <protection/>
    </xf>
    <xf numFmtId="0" fontId="62" fillId="39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2" fillId="39" borderId="17" xfId="67" applyNumberFormat="1" applyFont="1" applyFill="1" applyBorder="1" applyAlignment="1" applyProtection="1">
      <alignment horizontal="center"/>
      <protection/>
    </xf>
    <xf numFmtId="17" fontId="62" fillId="39" borderId="14" xfId="67" applyNumberFormat="1" applyFont="1" applyFill="1" applyBorder="1" applyAlignment="1" applyProtection="1">
      <alignment horizontal="center"/>
      <protection/>
    </xf>
    <xf numFmtId="17" fontId="62" fillId="39" borderId="18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180" fontId="63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47625</xdr:rowOff>
    </xdr:from>
    <xdr:to>
      <xdr:col>2</xdr:col>
      <xdr:colOff>857250</xdr:colOff>
      <xdr:row>11</xdr:row>
      <xdr:rowOff>28575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66725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102</xdr:row>
      <xdr:rowOff>0</xdr:rowOff>
    </xdr:from>
    <xdr:to>
      <xdr:col>2</xdr:col>
      <xdr:colOff>628650</xdr:colOff>
      <xdr:row>102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3498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5"/>
  <sheetViews>
    <sheetView showGridLines="0" tabSelected="1" view="pageBreakPreview" zoomScale="70" zoomScaleNormal="70" zoomScaleSheetLayoutView="70" zoomScalePageLayoutView="80" workbookViewId="0" topLeftCell="A25">
      <selection activeCell="J66" sqref="J66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4"/>
      <c r="C2" s="144"/>
      <c r="D2" s="309" t="s">
        <v>36</v>
      </c>
      <c r="E2" s="309"/>
      <c r="F2" s="309"/>
      <c r="G2" s="309"/>
      <c r="H2" s="309"/>
      <c r="I2" s="309"/>
      <c r="J2" s="309"/>
    </row>
    <row r="3" spans="2:11" s="3" customFormat="1" ht="18" customHeight="1">
      <c r="B3" s="94"/>
      <c r="C3" s="117"/>
      <c r="D3" s="310" t="s">
        <v>78</v>
      </c>
      <c r="E3" s="310"/>
      <c r="F3" s="310"/>
      <c r="G3" s="310"/>
      <c r="H3" s="310"/>
      <c r="I3" s="310"/>
      <c r="J3" s="310"/>
      <c r="K3" s="14"/>
    </row>
    <row r="4" spans="2:11" s="3" customFormat="1" ht="18" customHeight="1">
      <c r="B4" s="94"/>
      <c r="C4" s="117"/>
      <c r="D4" s="310" t="s">
        <v>79</v>
      </c>
      <c r="E4" s="310"/>
      <c r="F4" s="310"/>
      <c r="G4" s="310"/>
      <c r="H4" s="310"/>
      <c r="I4" s="310"/>
      <c r="J4" s="310"/>
      <c r="K4" s="14"/>
    </row>
    <row r="5" spans="2:11" s="3" customFormat="1" ht="18" customHeight="1">
      <c r="B5" s="42"/>
      <c r="C5" s="42"/>
      <c r="D5" s="118"/>
      <c r="E5" s="44"/>
      <c r="F5" s="139"/>
      <c r="G5" s="139"/>
      <c r="H5" s="139"/>
      <c r="I5" s="139"/>
      <c r="J5" s="139"/>
      <c r="K5" s="16"/>
    </row>
    <row r="6" spans="2:11" s="3" customFormat="1" ht="18" customHeight="1">
      <c r="B6" s="42"/>
      <c r="C6" s="42"/>
      <c r="D6" s="318" t="s">
        <v>29</v>
      </c>
      <c r="E6" s="319"/>
      <c r="F6" s="319"/>
      <c r="G6" s="319"/>
      <c r="H6" s="319"/>
      <c r="I6" s="319"/>
      <c r="J6" s="320"/>
      <c r="K6" s="16"/>
    </row>
    <row r="7" spans="2:11" s="3" customFormat="1" ht="18" customHeight="1">
      <c r="B7" s="42"/>
      <c r="C7" s="42"/>
      <c r="D7" s="85" t="s">
        <v>80</v>
      </c>
      <c r="E7" s="86"/>
      <c r="F7" s="86"/>
      <c r="G7" s="87" t="s">
        <v>85</v>
      </c>
      <c r="H7" s="88"/>
      <c r="I7" s="89"/>
      <c r="J7" s="90"/>
      <c r="K7" s="16"/>
    </row>
    <row r="8" spans="2:11" s="3" customFormat="1" ht="18" customHeight="1">
      <c r="B8" s="42"/>
      <c r="C8" s="42"/>
      <c r="D8" s="286" t="s">
        <v>81</v>
      </c>
      <c r="E8" s="42"/>
      <c r="F8" s="42"/>
      <c r="G8" s="287" t="s">
        <v>86</v>
      </c>
      <c r="H8" s="94"/>
      <c r="I8" s="288"/>
      <c r="J8" s="289"/>
      <c r="K8" s="16"/>
    </row>
    <row r="9" spans="2:11" s="3" customFormat="1" ht="18" customHeight="1">
      <c r="B9" s="42"/>
      <c r="C9" s="42"/>
      <c r="D9" s="91" t="s">
        <v>82</v>
      </c>
      <c r="E9" s="92"/>
      <c r="F9" s="92"/>
      <c r="G9" s="93" t="s">
        <v>87</v>
      </c>
      <c r="H9" s="94"/>
      <c r="I9" s="95"/>
      <c r="J9" s="96"/>
      <c r="K9" s="16"/>
    </row>
    <row r="10" spans="2:11" s="3" customFormat="1" ht="18" customHeight="1">
      <c r="B10" s="42"/>
      <c r="C10" s="42"/>
      <c r="D10" s="91" t="s">
        <v>83</v>
      </c>
      <c r="E10" s="169"/>
      <c r="F10" s="92"/>
      <c r="G10" s="93" t="s">
        <v>88</v>
      </c>
      <c r="H10" s="94"/>
      <c r="I10" s="95"/>
      <c r="J10" s="96"/>
      <c r="K10" s="18"/>
    </row>
    <row r="11" spans="2:11" s="3" customFormat="1" ht="18" customHeight="1">
      <c r="B11" s="42"/>
      <c r="C11" s="42"/>
      <c r="D11" s="97" t="s">
        <v>84</v>
      </c>
      <c r="E11" s="98"/>
      <c r="F11" s="98"/>
      <c r="G11" s="99"/>
      <c r="H11" s="100"/>
      <c r="I11" s="101"/>
      <c r="J11" s="102"/>
      <c r="K11" s="18"/>
    </row>
    <row r="12" spans="2:11" s="3" customFormat="1" ht="18" customHeight="1">
      <c r="B12" s="42"/>
      <c r="C12" s="42"/>
      <c r="D12" s="26"/>
      <c r="E12" s="92"/>
      <c r="F12" s="92"/>
      <c r="G12" s="26"/>
      <c r="H12" s="94"/>
      <c r="I12" s="95"/>
      <c r="J12" s="126"/>
      <c r="K12" s="18"/>
    </row>
    <row r="13" spans="2:11" ht="18">
      <c r="B13" s="311" t="s">
        <v>30</v>
      </c>
      <c r="C13" s="312"/>
      <c r="D13" s="312"/>
      <c r="E13" s="313"/>
      <c r="F13" s="41"/>
      <c r="G13" s="314" t="s">
        <v>4</v>
      </c>
      <c r="H13" s="315"/>
      <c r="I13" s="315"/>
      <c r="J13" s="316"/>
      <c r="K13" s="16"/>
    </row>
    <row r="14" spans="2:11" ht="18">
      <c r="B14" s="107" t="s">
        <v>89</v>
      </c>
      <c r="C14" s="108"/>
      <c r="D14" s="86"/>
      <c r="E14" s="109">
        <v>32000</v>
      </c>
      <c r="F14" s="42"/>
      <c r="G14" s="113" t="s">
        <v>52</v>
      </c>
      <c r="H14" s="86"/>
      <c r="I14" s="86"/>
      <c r="J14" s="145">
        <f>E14*E15</f>
        <v>3200000</v>
      </c>
      <c r="K14" s="16"/>
    </row>
    <row r="15" spans="2:13" ht="18" customHeight="1">
      <c r="B15" s="212" t="s">
        <v>118</v>
      </c>
      <c r="C15" s="213"/>
      <c r="D15" s="213"/>
      <c r="E15" s="148">
        <v>100</v>
      </c>
      <c r="F15" s="42"/>
      <c r="G15" s="114" t="s">
        <v>49</v>
      </c>
      <c r="H15" s="42"/>
      <c r="I15" s="42"/>
      <c r="J15" s="146">
        <f>J30+J41+J57+J60</f>
        <v>2393181.525</v>
      </c>
      <c r="K15" s="16"/>
      <c r="M15" s="198"/>
    </row>
    <row r="16" spans="2:11" ht="18">
      <c r="B16" s="134" t="s">
        <v>37</v>
      </c>
      <c r="C16" s="43"/>
      <c r="D16" s="42"/>
      <c r="E16" s="148">
        <v>13000</v>
      </c>
      <c r="F16" s="42"/>
      <c r="G16" s="114" t="s">
        <v>51</v>
      </c>
      <c r="H16" s="44"/>
      <c r="I16" s="42"/>
      <c r="J16" s="146">
        <f>J30+J41+J57+J60+J70</f>
        <v>2500874.693625</v>
      </c>
      <c r="K16" s="16"/>
    </row>
    <row r="17" spans="2:11" ht="18">
      <c r="B17" s="134" t="s">
        <v>2</v>
      </c>
      <c r="C17" s="45"/>
      <c r="D17" s="42"/>
      <c r="E17" s="110">
        <v>0.015</v>
      </c>
      <c r="F17" s="42"/>
      <c r="G17" s="114" t="s">
        <v>53</v>
      </c>
      <c r="H17" s="42"/>
      <c r="I17" s="42"/>
      <c r="J17" s="146">
        <f>J14-J15</f>
        <v>806818.4750000001</v>
      </c>
      <c r="K17" s="16"/>
    </row>
    <row r="18" spans="2:11" ht="18">
      <c r="B18" s="134" t="s">
        <v>3</v>
      </c>
      <c r="C18" s="45"/>
      <c r="D18" s="42"/>
      <c r="E18" s="277">
        <v>6</v>
      </c>
      <c r="F18" s="42"/>
      <c r="G18" s="114" t="s">
        <v>54</v>
      </c>
      <c r="H18" s="42"/>
      <c r="I18" s="42"/>
      <c r="J18" s="146">
        <f>J14-J16</f>
        <v>699125.3063750002</v>
      </c>
      <c r="K18" s="16"/>
    </row>
    <row r="19" spans="2:11" ht="18">
      <c r="B19" s="111"/>
      <c r="C19" s="112"/>
      <c r="D19" s="103"/>
      <c r="E19" s="276"/>
      <c r="F19" s="42"/>
      <c r="G19" s="115" t="s">
        <v>26</v>
      </c>
      <c r="H19" s="103"/>
      <c r="I19" s="116"/>
      <c r="J19" s="147">
        <f>G89</f>
        <v>78.15233417578125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20" t="s">
        <v>27</v>
      </c>
      <c r="C21" s="119"/>
      <c r="D21" s="119"/>
      <c r="E21" s="317"/>
      <c r="F21" s="317"/>
      <c r="G21" s="121"/>
      <c r="H21" s="122"/>
      <c r="I21" s="132"/>
      <c r="J21" s="123"/>
      <c r="K21" s="16"/>
    </row>
    <row r="22" spans="2:11" s="3" customFormat="1" ht="18" customHeight="1">
      <c r="B22" s="227" t="s">
        <v>7</v>
      </c>
      <c r="C22" s="228"/>
      <c r="D22" s="228"/>
      <c r="E22" s="259" t="s">
        <v>38</v>
      </c>
      <c r="F22" s="258"/>
      <c r="G22" s="149" t="s">
        <v>5</v>
      </c>
      <c r="H22" s="150" t="s">
        <v>6</v>
      </c>
      <c r="I22" s="151" t="s">
        <v>46</v>
      </c>
      <c r="J22" s="152" t="s">
        <v>1</v>
      </c>
      <c r="K22" s="16"/>
    </row>
    <row r="23" spans="2:10" s="3" customFormat="1" ht="21">
      <c r="B23" s="191" t="s">
        <v>119</v>
      </c>
      <c r="C23" s="192"/>
      <c r="D23" s="193"/>
      <c r="E23" s="220" t="s">
        <v>92</v>
      </c>
      <c r="F23" s="217"/>
      <c r="G23" s="160">
        <v>32000</v>
      </c>
      <c r="H23" s="154" t="s">
        <v>43</v>
      </c>
      <c r="I23" s="131">
        <v>20</v>
      </c>
      <c r="J23" s="182">
        <f aca="true" t="shared" si="0" ref="J23:J29">G23*I23</f>
        <v>640000</v>
      </c>
    </row>
    <row r="24" spans="2:10" s="3" customFormat="1" ht="18">
      <c r="B24" s="165" t="s">
        <v>90</v>
      </c>
      <c r="C24" s="215"/>
      <c r="D24" s="216"/>
      <c r="E24" s="221" t="s">
        <v>93</v>
      </c>
      <c r="F24" s="218"/>
      <c r="G24" s="161">
        <v>3</v>
      </c>
      <c r="H24" s="156" t="s">
        <v>40</v>
      </c>
      <c r="I24" s="127">
        <v>13000</v>
      </c>
      <c r="J24" s="10">
        <f t="shared" si="0"/>
        <v>39000</v>
      </c>
    </row>
    <row r="25" spans="2:10" s="3" customFormat="1" ht="18">
      <c r="B25" s="165" t="s">
        <v>57</v>
      </c>
      <c r="C25" s="215"/>
      <c r="D25" s="216"/>
      <c r="E25" s="221" t="s">
        <v>94</v>
      </c>
      <c r="F25" s="218"/>
      <c r="G25" s="161">
        <v>1</v>
      </c>
      <c r="H25" s="156" t="s">
        <v>40</v>
      </c>
      <c r="I25" s="127">
        <v>13000</v>
      </c>
      <c r="J25" s="10">
        <f t="shared" si="0"/>
        <v>13000</v>
      </c>
    </row>
    <row r="26" spans="2:10" s="3" customFormat="1" ht="18">
      <c r="B26" s="165" t="s">
        <v>34</v>
      </c>
      <c r="C26" s="215"/>
      <c r="D26" s="216"/>
      <c r="E26" s="221" t="s">
        <v>94</v>
      </c>
      <c r="F26" s="218"/>
      <c r="G26" s="161">
        <v>10</v>
      </c>
      <c r="H26" s="156" t="s">
        <v>40</v>
      </c>
      <c r="I26" s="127">
        <v>13000</v>
      </c>
      <c r="J26" s="10">
        <f t="shared" si="0"/>
        <v>130000</v>
      </c>
    </row>
    <row r="27" spans="2:10" s="3" customFormat="1" ht="18">
      <c r="B27" s="186" t="s">
        <v>60</v>
      </c>
      <c r="C27" s="187"/>
      <c r="D27" s="188"/>
      <c r="E27" s="221" t="s">
        <v>63</v>
      </c>
      <c r="F27" s="218"/>
      <c r="G27" s="161">
        <v>7</v>
      </c>
      <c r="H27" s="156" t="s">
        <v>40</v>
      </c>
      <c r="I27" s="127">
        <v>13000</v>
      </c>
      <c r="J27" s="10">
        <f t="shared" si="0"/>
        <v>91000</v>
      </c>
    </row>
    <row r="28" spans="2:10" s="3" customFormat="1" ht="18">
      <c r="B28" s="186" t="s">
        <v>35</v>
      </c>
      <c r="C28" s="187"/>
      <c r="D28" s="188"/>
      <c r="E28" s="221" t="s">
        <v>63</v>
      </c>
      <c r="F28" s="218"/>
      <c r="G28" s="161">
        <v>3</v>
      </c>
      <c r="H28" s="156" t="s">
        <v>40</v>
      </c>
      <c r="I28" s="127">
        <v>13000</v>
      </c>
      <c r="J28" s="10">
        <f t="shared" si="0"/>
        <v>39000</v>
      </c>
    </row>
    <row r="29" spans="2:10" s="3" customFormat="1" ht="18">
      <c r="B29" s="186" t="s">
        <v>91</v>
      </c>
      <c r="C29" s="168"/>
      <c r="D29" s="214"/>
      <c r="E29" s="221" t="s">
        <v>95</v>
      </c>
      <c r="F29" s="218"/>
      <c r="G29" s="161">
        <v>3</v>
      </c>
      <c r="H29" s="156" t="s">
        <v>40</v>
      </c>
      <c r="I29" s="127">
        <v>13000</v>
      </c>
      <c r="J29" s="10">
        <f t="shared" si="0"/>
        <v>39000</v>
      </c>
    </row>
    <row r="30" spans="2:11" ht="18">
      <c r="B30" s="232" t="s">
        <v>8</v>
      </c>
      <c r="C30" s="233"/>
      <c r="D30" s="233"/>
      <c r="E30" s="233"/>
      <c r="F30" s="233"/>
      <c r="G30" s="233"/>
      <c r="H30" s="233"/>
      <c r="I30" s="233"/>
      <c r="J30" s="104">
        <f>SUM(J23:J29)</f>
        <v>991000</v>
      </c>
      <c r="K30" s="3"/>
    </row>
    <row r="31" spans="2:10" s="3" customFormat="1" ht="18">
      <c r="B31" s="84"/>
      <c r="C31" s="84"/>
      <c r="D31" s="84"/>
      <c r="E31" s="84"/>
      <c r="F31" s="84"/>
      <c r="G31" s="25"/>
      <c r="H31" s="84"/>
      <c r="I31" s="84"/>
      <c r="J31" s="27"/>
    </row>
    <row r="32" spans="2:11" s="28" customFormat="1" ht="18" customHeight="1">
      <c r="B32" s="227" t="s">
        <v>66</v>
      </c>
      <c r="C32" s="228"/>
      <c r="D32" s="228"/>
      <c r="E32" s="259" t="s">
        <v>38</v>
      </c>
      <c r="F32" s="259"/>
      <c r="G32" s="149" t="s">
        <v>5</v>
      </c>
      <c r="H32" s="150" t="s">
        <v>6</v>
      </c>
      <c r="I32" s="151" t="s">
        <v>46</v>
      </c>
      <c r="J32" s="152" t="s">
        <v>1</v>
      </c>
      <c r="K32" s="3"/>
    </row>
    <row r="33" spans="2:10" s="3" customFormat="1" ht="18">
      <c r="B33" s="190" t="s">
        <v>96</v>
      </c>
      <c r="C33" s="223"/>
      <c r="D33" s="224"/>
      <c r="E33" s="220" t="s">
        <v>92</v>
      </c>
      <c r="F33" s="217"/>
      <c r="G33" s="163">
        <v>32000</v>
      </c>
      <c r="H33" s="153" t="s">
        <v>43</v>
      </c>
      <c r="I33" s="135">
        <v>7</v>
      </c>
      <c r="J33" s="128">
        <f>I33*G33</f>
        <v>224000</v>
      </c>
    </row>
    <row r="34" spans="2:10" s="3" customFormat="1" ht="18">
      <c r="B34" s="186" t="s">
        <v>97</v>
      </c>
      <c r="C34" s="168"/>
      <c r="D34" s="214"/>
      <c r="E34" s="221" t="s">
        <v>101</v>
      </c>
      <c r="F34" s="218"/>
      <c r="G34" s="164">
        <v>2</v>
      </c>
      <c r="H34" s="155" t="s">
        <v>42</v>
      </c>
      <c r="I34" s="136">
        <v>30000</v>
      </c>
      <c r="J34" s="129">
        <f aca="true" t="shared" si="1" ref="J34:J40">I34*G34</f>
        <v>60000</v>
      </c>
    </row>
    <row r="35" spans="2:10" s="3" customFormat="1" ht="18">
      <c r="B35" s="186" t="s">
        <v>32</v>
      </c>
      <c r="C35" s="168"/>
      <c r="D35" s="214"/>
      <c r="E35" s="221" t="s">
        <v>59</v>
      </c>
      <c r="F35" s="218"/>
      <c r="G35" s="164">
        <v>1</v>
      </c>
      <c r="H35" s="155" t="s">
        <v>42</v>
      </c>
      <c r="I35" s="136">
        <v>50000</v>
      </c>
      <c r="J35" s="129">
        <f t="shared" si="1"/>
        <v>50000</v>
      </c>
    </row>
    <row r="36" spans="2:10" s="3" customFormat="1" ht="18">
      <c r="B36" s="186" t="s">
        <v>25</v>
      </c>
      <c r="C36" s="187"/>
      <c r="D36" s="188"/>
      <c r="E36" s="221" t="s">
        <v>58</v>
      </c>
      <c r="F36" s="218"/>
      <c r="G36" s="164">
        <v>2</v>
      </c>
      <c r="H36" s="155" t="s">
        <v>42</v>
      </c>
      <c r="I36" s="136">
        <v>30000</v>
      </c>
      <c r="J36" s="129">
        <f t="shared" si="1"/>
        <v>60000</v>
      </c>
    </row>
    <row r="37" spans="2:10" s="3" customFormat="1" ht="18">
      <c r="B37" s="186" t="s">
        <v>90</v>
      </c>
      <c r="C37" s="187"/>
      <c r="D37" s="188"/>
      <c r="E37" s="221" t="s">
        <v>93</v>
      </c>
      <c r="F37" s="218"/>
      <c r="G37" s="164">
        <v>2</v>
      </c>
      <c r="H37" s="155" t="s">
        <v>42</v>
      </c>
      <c r="I37" s="136">
        <v>15000</v>
      </c>
      <c r="J37" s="129">
        <f t="shared" si="1"/>
        <v>30000</v>
      </c>
    </row>
    <row r="38" spans="2:10" s="3" customFormat="1" ht="18">
      <c r="B38" s="186" t="s">
        <v>98</v>
      </c>
      <c r="C38" s="168"/>
      <c r="D38" s="214"/>
      <c r="E38" s="221" t="s">
        <v>62</v>
      </c>
      <c r="F38" s="218"/>
      <c r="G38" s="164">
        <v>1</v>
      </c>
      <c r="H38" s="155" t="s">
        <v>42</v>
      </c>
      <c r="I38" s="137">
        <v>20000</v>
      </c>
      <c r="J38" s="129">
        <f t="shared" si="1"/>
        <v>20000</v>
      </c>
    </row>
    <row r="39" spans="2:10" s="3" customFormat="1" ht="18">
      <c r="B39" s="186" t="s">
        <v>99</v>
      </c>
      <c r="C39" s="168"/>
      <c r="D39" s="214"/>
      <c r="E39" s="221" t="s">
        <v>64</v>
      </c>
      <c r="F39" s="218"/>
      <c r="G39" s="164">
        <v>2</v>
      </c>
      <c r="H39" s="155" t="s">
        <v>42</v>
      </c>
      <c r="I39" s="137">
        <v>20000</v>
      </c>
      <c r="J39" s="129">
        <f t="shared" si="1"/>
        <v>40000</v>
      </c>
    </row>
    <row r="40" spans="2:10" s="3" customFormat="1" ht="18">
      <c r="B40" s="186" t="s">
        <v>100</v>
      </c>
      <c r="C40" s="194"/>
      <c r="D40" s="194"/>
      <c r="E40" s="222" t="s">
        <v>64</v>
      </c>
      <c r="F40" s="219"/>
      <c r="G40" s="183">
        <v>2</v>
      </c>
      <c r="H40" s="184" t="s">
        <v>42</v>
      </c>
      <c r="I40" s="185">
        <v>6000</v>
      </c>
      <c r="J40" s="138">
        <f t="shared" si="1"/>
        <v>12000</v>
      </c>
    </row>
    <row r="41" spans="2:12" ht="15.75" customHeight="1">
      <c r="B41" s="232" t="s">
        <v>10</v>
      </c>
      <c r="C41" s="233"/>
      <c r="D41" s="233"/>
      <c r="E41" s="233"/>
      <c r="F41" s="233"/>
      <c r="G41" s="233"/>
      <c r="H41" s="233"/>
      <c r="I41" s="233"/>
      <c r="J41" s="124">
        <f>SUM(J33:J40)</f>
        <v>496000</v>
      </c>
      <c r="K41" s="3"/>
      <c r="L41" s="16"/>
    </row>
    <row r="42" spans="2:12" s="3" customFormat="1" ht="18">
      <c r="B42" s="84"/>
      <c r="C42" s="84"/>
      <c r="D42" s="84"/>
      <c r="E42" s="84"/>
      <c r="F42" s="84"/>
      <c r="G42" s="25"/>
      <c r="H42" s="84"/>
      <c r="I42" s="84"/>
      <c r="J42" s="27"/>
      <c r="L42" s="19"/>
    </row>
    <row r="43" spans="2:12" s="3" customFormat="1" ht="18" customHeight="1">
      <c r="B43" s="227" t="s">
        <v>68</v>
      </c>
      <c r="C43" s="228"/>
      <c r="D43" s="228"/>
      <c r="E43" s="259" t="s">
        <v>38</v>
      </c>
      <c r="F43" s="259"/>
      <c r="G43" s="149" t="s">
        <v>5</v>
      </c>
      <c r="H43" s="150" t="s">
        <v>6</v>
      </c>
      <c r="I43" s="151" t="s">
        <v>46</v>
      </c>
      <c r="J43" s="152" t="s">
        <v>1</v>
      </c>
      <c r="L43" s="24"/>
    </row>
    <row r="44" spans="2:12" s="3" customFormat="1" ht="18">
      <c r="B44" s="291" t="s">
        <v>102</v>
      </c>
      <c r="C44" s="175"/>
      <c r="D44" s="175"/>
      <c r="E44" s="262"/>
      <c r="F44" s="263"/>
      <c r="G44" s="181"/>
      <c r="H44" s="158"/>
      <c r="I44" s="128"/>
      <c r="J44" s="128"/>
      <c r="L44" s="24"/>
    </row>
    <row r="45" spans="2:12" s="3" customFormat="1" ht="18">
      <c r="B45" s="290" t="s">
        <v>103</v>
      </c>
      <c r="C45" s="174"/>
      <c r="D45" s="174"/>
      <c r="E45" s="264" t="s">
        <v>101</v>
      </c>
      <c r="F45" s="265"/>
      <c r="G45" s="176">
        <v>6500</v>
      </c>
      <c r="H45" s="159" t="s">
        <v>41</v>
      </c>
      <c r="I45" s="129">
        <v>80</v>
      </c>
      <c r="J45" s="129">
        <f aca="true" t="shared" si="2" ref="J45:J56">G45*I45</f>
        <v>520000</v>
      </c>
      <c r="L45" s="24"/>
    </row>
    <row r="46" spans="2:12" s="3" customFormat="1" ht="18">
      <c r="B46" s="173" t="s">
        <v>104</v>
      </c>
      <c r="C46" s="170"/>
      <c r="D46" s="170"/>
      <c r="E46" s="264"/>
      <c r="F46" s="265"/>
      <c r="G46" s="162"/>
      <c r="H46" s="157"/>
      <c r="I46" s="129"/>
      <c r="J46" s="129"/>
      <c r="L46" s="24"/>
    </row>
    <row r="47" spans="2:12" s="3" customFormat="1" ht="18">
      <c r="B47" s="290" t="s">
        <v>105</v>
      </c>
      <c r="C47" s="142"/>
      <c r="D47" s="142"/>
      <c r="E47" s="264" t="s">
        <v>58</v>
      </c>
      <c r="F47" s="265"/>
      <c r="G47" s="162">
        <v>250</v>
      </c>
      <c r="H47" s="157" t="s">
        <v>43</v>
      </c>
      <c r="I47" s="129">
        <v>270</v>
      </c>
      <c r="J47" s="129">
        <f t="shared" si="2"/>
        <v>67500</v>
      </c>
      <c r="L47" s="24"/>
    </row>
    <row r="48" spans="2:12" s="3" customFormat="1" ht="18">
      <c r="B48" s="167" t="s">
        <v>106</v>
      </c>
      <c r="C48" s="172"/>
      <c r="D48" s="172"/>
      <c r="E48" s="264" t="s">
        <v>112</v>
      </c>
      <c r="F48" s="265"/>
      <c r="G48" s="162">
        <v>200</v>
      </c>
      <c r="H48" s="157" t="s">
        <v>43</v>
      </c>
      <c r="I48" s="129">
        <v>230</v>
      </c>
      <c r="J48" s="129">
        <f t="shared" si="2"/>
        <v>46000</v>
      </c>
      <c r="L48" s="24"/>
    </row>
    <row r="49" spans="2:12" s="3" customFormat="1" ht="18">
      <c r="B49" s="171" t="s">
        <v>56</v>
      </c>
      <c r="C49" s="26"/>
      <c r="D49" s="166"/>
      <c r="E49" s="264"/>
      <c r="F49" s="265"/>
      <c r="G49" s="162"/>
      <c r="H49" s="157"/>
      <c r="I49" s="129"/>
      <c r="J49" s="129"/>
      <c r="L49" s="24"/>
    </row>
    <row r="50" spans="2:12" s="3" customFormat="1" ht="18">
      <c r="B50" s="290" t="s">
        <v>107</v>
      </c>
      <c r="C50" s="26"/>
      <c r="D50" s="180"/>
      <c r="E50" s="264" t="s">
        <v>61</v>
      </c>
      <c r="F50" s="265"/>
      <c r="G50" s="162">
        <v>0.5</v>
      </c>
      <c r="H50" s="157" t="s">
        <v>44</v>
      </c>
      <c r="I50" s="129">
        <v>74500</v>
      </c>
      <c r="J50" s="129">
        <f t="shared" si="2"/>
        <v>37250</v>
      </c>
      <c r="L50" s="24"/>
    </row>
    <row r="51" spans="2:12" s="3" customFormat="1" ht="18">
      <c r="B51" s="173" t="s">
        <v>24</v>
      </c>
      <c r="C51" s="26"/>
      <c r="D51" s="180"/>
      <c r="E51" s="264"/>
      <c r="F51" s="265"/>
      <c r="G51" s="162"/>
      <c r="H51" s="157"/>
      <c r="I51" s="129"/>
      <c r="J51" s="129"/>
      <c r="L51" s="24"/>
    </row>
    <row r="52" spans="2:12" s="3" customFormat="1" ht="18">
      <c r="B52" s="167" t="s">
        <v>108</v>
      </c>
      <c r="C52" s="172"/>
      <c r="D52" s="172"/>
      <c r="E52" s="264" t="s">
        <v>63</v>
      </c>
      <c r="F52" s="265"/>
      <c r="G52" s="162">
        <v>0.5</v>
      </c>
      <c r="H52" s="157" t="s">
        <v>44</v>
      </c>
      <c r="I52" s="129">
        <v>23341</v>
      </c>
      <c r="J52" s="129">
        <f t="shared" si="2"/>
        <v>11670.5</v>
      </c>
      <c r="L52" s="24"/>
    </row>
    <row r="53" spans="2:12" s="3" customFormat="1" ht="18">
      <c r="B53" s="171" t="s">
        <v>109</v>
      </c>
      <c r="C53" s="168"/>
      <c r="D53" s="168"/>
      <c r="E53" s="264"/>
      <c r="F53" s="265"/>
      <c r="G53" s="176"/>
      <c r="H53" s="159"/>
      <c r="I53" s="129"/>
      <c r="J53" s="129"/>
      <c r="L53" s="24"/>
    </row>
    <row r="54" spans="2:12" s="3" customFormat="1" ht="21">
      <c r="B54" s="290" t="s">
        <v>120</v>
      </c>
      <c r="C54" s="166"/>
      <c r="D54" s="177"/>
      <c r="E54" s="264" t="s">
        <v>113</v>
      </c>
      <c r="F54" s="265"/>
      <c r="G54" s="176">
        <v>1</v>
      </c>
      <c r="H54" s="159" t="s">
        <v>42</v>
      </c>
      <c r="I54" s="129">
        <v>28000</v>
      </c>
      <c r="J54" s="129">
        <f t="shared" si="2"/>
        <v>28000</v>
      </c>
      <c r="L54" s="24"/>
    </row>
    <row r="55" spans="2:12" s="3" customFormat="1" ht="18">
      <c r="B55" s="290" t="s">
        <v>110</v>
      </c>
      <c r="C55" s="180"/>
      <c r="D55" s="180"/>
      <c r="E55" s="264" t="s">
        <v>93</v>
      </c>
      <c r="F55" s="265"/>
      <c r="G55" s="176">
        <v>8</v>
      </c>
      <c r="H55" s="159" t="s">
        <v>44</v>
      </c>
      <c r="I55" s="129">
        <v>6450</v>
      </c>
      <c r="J55" s="129">
        <f t="shared" si="2"/>
        <v>51600</v>
      </c>
      <c r="L55" s="24"/>
    </row>
    <row r="56" spans="2:12" s="3" customFormat="1" ht="18">
      <c r="B56" s="290" t="s">
        <v>111</v>
      </c>
      <c r="C56" s="180"/>
      <c r="D56" s="180"/>
      <c r="E56" s="264" t="s">
        <v>63</v>
      </c>
      <c r="F56" s="265"/>
      <c r="G56" s="176">
        <v>4</v>
      </c>
      <c r="H56" s="159" t="s">
        <v>44</v>
      </c>
      <c r="I56" s="129">
        <v>7550</v>
      </c>
      <c r="J56" s="129">
        <f t="shared" si="2"/>
        <v>30200</v>
      </c>
      <c r="L56" s="24"/>
    </row>
    <row r="57" spans="2:14" ht="18">
      <c r="B57" s="225" t="s">
        <v>11</v>
      </c>
      <c r="C57" s="226"/>
      <c r="D57" s="226"/>
      <c r="E57" s="226"/>
      <c r="F57" s="226"/>
      <c r="G57" s="226"/>
      <c r="H57" s="226"/>
      <c r="I57" s="226"/>
      <c r="J57" s="125">
        <f>SUM(J44:J56)</f>
        <v>792220.5</v>
      </c>
      <c r="K57" s="16"/>
      <c r="M57" s="16"/>
      <c r="N57" s="16"/>
    </row>
    <row r="58" spans="2:14" s="3" customFormat="1" ht="18">
      <c r="B58" s="29"/>
      <c r="C58" s="29"/>
      <c r="D58" s="29"/>
      <c r="E58" s="29"/>
      <c r="F58" s="29"/>
      <c r="G58" s="30"/>
      <c r="H58" s="29"/>
      <c r="I58" s="29"/>
      <c r="J58" s="31"/>
      <c r="K58" s="16"/>
      <c r="M58" s="16"/>
      <c r="N58" s="16"/>
    </row>
    <row r="59" spans="2:16" ht="18" customHeight="1">
      <c r="B59" s="227" t="s">
        <v>47</v>
      </c>
      <c r="C59" s="228"/>
      <c r="D59" s="228"/>
      <c r="E59" s="257"/>
      <c r="F59" s="257"/>
      <c r="G59" s="149" t="s">
        <v>5</v>
      </c>
      <c r="H59" s="150" t="s">
        <v>6</v>
      </c>
      <c r="I59" s="151"/>
      <c r="J59" s="152" t="s">
        <v>1</v>
      </c>
      <c r="K59" s="16"/>
      <c r="M59" s="16"/>
      <c r="N59" s="16"/>
      <c r="O59" s="9"/>
      <c r="P59" s="9"/>
    </row>
    <row r="60" spans="2:14" s="3" customFormat="1" ht="18">
      <c r="B60" s="278" t="s">
        <v>55</v>
      </c>
      <c r="C60" s="279"/>
      <c r="D60" s="280"/>
      <c r="E60" s="281"/>
      <c r="F60" s="282"/>
      <c r="G60" s="285">
        <v>0.05</v>
      </c>
      <c r="H60" s="283" t="s">
        <v>39</v>
      </c>
      <c r="I60" s="284"/>
      <c r="J60" s="284">
        <f>(J30+J41+J57)*G60</f>
        <v>113961.02500000001</v>
      </c>
      <c r="K60" s="16"/>
      <c r="M60" s="16"/>
      <c r="N60" s="16"/>
    </row>
    <row r="61" spans="11:14" s="3" customFormat="1" ht="18">
      <c r="K61" s="16"/>
      <c r="M61" s="16"/>
      <c r="N61" s="16"/>
    </row>
    <row r="62" spans="2:14" s="3" customFormat="1" ht="18">
      <c r="B62" s="229" t="s">
        <v>48</v>
      </c>
      <c r="C62" s="230"/>
      <c r="D62" s="230"/>
      <c r="E62" s="230"/>
      <c r="F62" s="230"/>
      <c r="G62" s="230"/>
      <c r="H62" s="230"/>
      <c r="I62" s="230"/>
      <c r="J62" s="104">
        <f>J30+J41+J57+J60</f>
        <v>2393181.525</v>
      </c>
      <c r="K62" s="16"/>
      <c r="M62" s="16"/>
      <c r="N62" s="16"/>
    </row>
    <row r="63" spans="2:14" s="3" customFormat="1" ht="18">
      <c r="B63" s="133"/>
      <c r="C63" s="133"/>
      <c r="D63" s="133"/>
      <c r="E63" s="133"/>
      <c r="F63" s="133"/>
      <c r="G63" s="32"/>
      <c r="H63" s="133"/>
      <c r="I63" s="133"/>
      <c r="J63" s="27"/>
      <c r="K63" s="16"/>
      <c r="M63" s="16"/>
      <c r="N63" s="16"/>
    </row>
    <row r="64" spans="2:14" s="3" customFormat="1" ht="20.25">
      <c r="B64" s="120" t="s">
        <v>50</v>
      </c>
      <c r="C64" s="119"/>
      <c r="D64" s="119"/>
      <c r="E64" s="20"/>
      <c r="F64" s="20"/>
      <c r="G64" s="21"/>
      <c r="H64" s="22"/>
      <c r="I64" s="23"/>
      <c r="J64" s="23"/>
      <c r="K64" s="16"/>
      <c r="M64" s="16"/>
      <c r="N64" s="16"/>
    </row>
    <row r="65" spans="2:14" s="3" customFormat="1" ht="18" customHeight="1">
      <c r="B65" s="275" t="s">
        <v>31</v>
      </c>
      <c r="C65" s="257"/>
      <c r="D65" s="257"/>
      <c r="E65" s="257"/>
      <c r="F65" s="257"/>
      <c r="G65" s="149" t="s">
        <v>5</v>
      </c>
      <c r="H65" s="150" t="s">
        <v>6</v>
      </c>
      <c r="I65" s="151"/>
      <c r="J65" s="152" t="s">
        <v>1</v>
      </c>
      <c r="K65" s="16"/>
      <c r="M65" s="16"/>
      <c r="N65" s="16"/>
    </row>
    <row r="66" spans="2:15" s="3" customFormat="1" ht="18" customHeight="1">
      <c r="B66" s="231" t="s">
        <v>69</v>
      </c>
      <c r="C66" s="207"/>
      <c r="D66" s="207"/>
      <c r="E66" s="260"/>
      <c r="F66" s="261"/>
      <c r="G66" s="178">
        <f>E17</f>
        <v>0.015</v>
      </c>
      <c r="H66" s="179" t="s">
        <v>39</v>
      </c>
      <c r="I66" s="209"/>
      <c r="J66" s="11">
        <f>J62*E17*E18*0.5</f>
        <v>107693.16862499999</v>
      </c>
      <c r="K66" s="16"/>
      <c r="L66" s="321"/>
      <c r="M66" s="321"/>
      <c r="N66" s="321"/>
      <c r="O66" s="321"/>
    </row>
    <row r="67" spans="2:18" ht="18" customHeight="1" outlineLevel="1">
      <c r="B67" s="186" t="s">
        <v>74</v>
      </c>
      <c r="C67" s="168"/>
      <c r="D67" s="168"/>
      <c r="E67" s="205"/>
      <c r="F67" s="199"/>
      <c r="G67" s="200"/>
      <c r="H67" s="207"/>
      <c r="I67" s="210"/>
      <c r="J67" s="201"/>
      <c r="L67"/>
      <c r="M67"/>
      <c r="N67"/>
      <c r="O67"/>
      <c r="P67"/>
      <c r="Q67"/>
      <c r="R67"/>
    </row>
    <row r="68" spans="2:18" ht="18" customHeight="1" outlineLevel="1">
      <c r="B68" s="186" t="s">
        <v>75</v>
      </c>
      <c r="C68" s="168"/>
      <c r="D68" s="168"/>
      <c r="E68" s="205"/>
      <c r="F68" s="199"/>
      <c r="G68" s="200"/>
      <c r="H68" s="207"/>
      <c r="I68" s="210"/>
      <c r="J68" s="201"/>
      <c r="L68"/>
      <c r="M68"/>
      <c r="N68"/>
      <c r="O68"/>
      <c r="P68"/>
      <c r="Q68"/>
      <c r="R68"/>
    </row>
    <row r="69" spans="2:18" ht="18" customHeight="1" outlineLevel="1">
      <c r="B69" s="189" t="s">
        <v>76</v>
      </c>
      <c r="C69" s="130"/>
      <c r="D69" s="130"/>
      <c r="E69" s="206"/>
      <c r="F69" s="202"/>
      <c r="G69" s="203"/>
      <c r="H69" s="208"/>
      <c r="I69" s="211"/>
      <c r="J69" s="204"/>
      <c r="L69"/>
      <c r="M69"/>
      <c r="N69"/>
      <c r="O69"/>
      <c r="P69"/>
      <c r="Q69"/>
      <c r="R69"/>
    </row>
    <row r="70" spans="2:14" ht="18">
      <c r="B70" s="232" t="s">
        <v>28</v>
      </c>
      <c r="C70" s="233"/>
      <c r="D70" s="233"/>
      <c r="E70" s="233"/>
      <c r="F70" s="233"/>
      <c r="G70" s="233"/>
      <c r="H70" s="233"/>
      <c r="I70" s="233"/>
      <c r="J70" s="104">
        <f>SUM(J66:J69)</f>
        <v>107693.16862499999</v>
      </c>
      <c r="K70" s="16"/>
      <c r="M70" s="16"/>
      <c r="N70" s="16"/>
    </row>
    <row r="71" spans="2:12" s="3" customFormat="1" ht="18">
      <c r="B71" s="84"/>
      <c r="C71" s="84"/>
      <c r="D71" s="84"/>
      <c r="E71" s="84"/>
      <c r="F71" s="84"/>
      <c r="G71" s="25"/>
      <c r="H71" s="84"/>
      <c r="I71" s="84"/>
      <c r="J71" s="27"/>
      <c r="K71" s="16"/>
      <c r="L71" s="16"/>
    </row>
    <row r="72" spans="2:12" ht="18">
      <c r="B72" s="234" t="s">
        <v>13</v>
      </c>
      <c r="C72" s="235"/>
      <c r="D72" s="235"/>
      <c r="E72" s="235"/>
      <c r="F72" s="235"/>
      <c r="G72" s="235"/>
      <c r="H72" s="235"/>
      <c r="I72" s="235"/>
      <c r="J72" s="238">
        <f>J62+J70</f>
        <v>2500874.693625</v>
      </c>
      <c r="K72" s="16"/>
      <c r="L72" s="16"/>
    </row>
    <row r="73" spans="2:12" s="3" customFormat="1" ht="18">
      <c r="B73" s="236"/>
      <c r="C73" s="237"/>
      <c r="D73" s="237"/>
      <c r="E73" s="237"/>
      <c r="F73" s="237"/>
      <c r="G73" s="237"/>
      <c r="H73" s="237"/>
      <c r="I73" s="237"/>
      <c r="J73" s="239"/>
      <c r="K73" s="16"/>
      <c r="L73" s="16"/>
    </row>
    <row r="74" spans="2:12" s="3" customFormat="1" ht="18" customHeight="1">
      <c r="B74" s="140"/>
      <c r="C74" s="140"/>
      <c r="D74" s="140"/>
      <c r="E74" s="140"/>
      <c r="F74" s="140"/>
      <c r="G74" s="140"/>
      <c r="H74" s="140"/>
      <c r="I74" s="140"/>
      <c r="J74" s="141"/>
      <c r="K74" s="16"/>
      <c r="L74" s="16"/>
    </row>
    <row r="75" spans="2:12" s="3" customFormat="1" ht="18" customHeight="1">
      <c r="B75" s="140"/>
      <c r="C75" s="140"/>
      <c r="D75" s="140"/>
      <c r="E75" s="140"/>
      <c r="F75" s="140"/>
      <c r="G75" s="140"/>
      <c r="H75" s="140"/>
      <c r="I75" s="140"/>
      <c r="J75" s="141"/>
      <c r="K75" s="16"/>
      <c r="L75" s="16"/>
    </row>
    <row r="76" spans="2:12" s="3" customFormat="1" ht="18" customHeight="1">
      <c r="B76" s="140"/>
      <c r="C76" s="140"/>
      <c r="D76" s="140"/>
      <c r="E76" s="140"/>
      <c r="F76" s="140"/>
      <c r="G76" s="140"/>
      <c r="H76" s="140"/>
      <c r="I76" s="140"/>
      <c r="J76" s="141"/>
      <c r="K76" s="16"/>
      <c r="L76" s="16"/>
    </row>
    <row r="77" spans="2:12" ht="18" customHeight="1">
      <c r="B77" s="332" t="s">
        <v>70</v>
      </c>
      <c r="C77" s="333"/>
      <c r="D77" s="333"/>
      <c r="E77" s="333"/>
      <c r="F77" s="333"/>
      <c r="G77" s="333"/>
      <c r="H77" s="333"/>
      <c r="I77" s="333"/>
      <c r="J77" s="334"/>
      <c r="K77" s="16"/>
      <c r="L77" s="24"/>
    </row>
    <row r="78" spans="2:12" ht="18" customHeight="1">
      <c r="B78" s="301" t="s">
        <v>45</v>
      </c>
      <c r="C78" s="302"/>
      <c r="D78" s="302"/>
      <c r="E78" s="302"/>
      <c r="F78" s="302"/>
      <c r="G78" s="302"/>
      <c r="H78" s="302"/>
      <c r="I78" s="302"/>
      <c r="J78" s="303"/>
      <c r="K78" s="16"/>
      <c r="L78" s="24"/>
    </row>
    <row r="79" spans="2:12" s="3" customFormat="1" ht="18" customHeight="1">
      <c r="B79" s="271" t="s">
        <v>114</v>
      </c>
      <c r="C79" s="266"/>
      <c r="D79" s="267"/>
      <c r="E79" s="306" t="s">
        <v>117</v>
      </c>
      <c r="F79" s="307"/>
      <c r="G79" s="307"/>
      <c r="H79" s="307"/>
      <c r="I79" s="307"/>
      <c r="J79" s="308"/>
      <c r="K79" s="16"/>
      <c r="L79" s="24"/>
    </row>
    <row r="80" spans="2:12" s="3" customFormat="1" ht="18" customHeight="1">
      <c r="B80" s="268"/>
      <c r="C80" s="269"/>
      <c r="D80" s="270"/>
      <c r="E80" s="335">
        <f>G80*0.9</f>
        <v>90</v>
      </c>
      <c r="F80" s="336"/>
      <c r="G80" s="337">
        <f>E15</f>
        <v>100</v>
      </c>
      <c r="H80" s="338"/>
      <c r="I80" s="335">
        <f>G80*1.1</f>
        <v>110.00000000000001</v>
      </c>
      <c r="J80" s="336"/>
      <c r="K80" s="16"/>
      <c r="L80" s="24"/>
    </row>
    <row r="81" spans="2:12" s="3" customFormat="1" ht="18" customHeight="1">
      <c r="B81" s="240"/>
      <c r="C81" s="242">
        <f>+C82*0.9</f>
        <v>28800</v>
      </c>
      <c r="D81" s="241"/>
      <c r="E81" s="304">
        <f>E$80*$C$81-$J$72</f>
        <v>91125.30637500016</v>
      </c>
      <c r="F81" s="305"/>
      <c r="G81" s="304">
        <f>G$80*$C$81-$J$72</f>
        <v>379125.30637500016</v>
      </c>
      <c r="H81" s="305"/>
      <c r="I81" s="304">
        <f>I$80*$C$81-$J$72</f>
        <v>667125.3063750006</v>
      </c>
      <c r="J81" s="305"/>
      <c r="K81" s="16"/>
      <c r="L81" s="24"/>
    </row>
    <row r="82" spans="2:12" s="3" customFormat="1" ht="18" customHeight="1">
      <c r="B82" s="240"/>
      <c r="C82" s="242">
        <f>+E14</f>
        <v>32000</v>
      </c>
      <c r="D82" s="241"/>
      <c r="E82" s="304">
        <f>E$80*$C$82-$J$72</f>
        <v>379125.30637500016</v>
      </c>
      <c r="F82" s="305"/>
      <c r="G82" s="304">
        <f>G$80*$C$82-$J$72</f>
        <v>699125.3063750002</v>
      </c>
      <c r="H82" s="305"/>
      <c r="I82" s="304">
        <f>I$80*$C$82-$J$72</f>
        <v>1019125.3063750006</v>
      </c>
      <c r="J82" s="305"/>
      <c r="K82" s="16"/>
      <c r="L82" s="24"/>
    </row>
    <row r="83" spans="2:12" s="3" customFormat="1" ht="18" customHeight="1">
      <c r="B83" s="240"/>
      <c r="C83" s="242">
        <f>+C82*1.1</f>
        <v>35200</v>
      </c>
      <c r="D83" s="241"/>
      <c r="E83" s="304">
        <f>E$80*$C$83-$J$72</f>
        <v>667125.3063750002</v>
      </c>
      <c r="F83" s="305"/>
      <c r="G83" s="304">
        <f>G$80*$C$83-$J$72</f>
        <v>1019125.3063750002</v>
      </c>
      <c r="H83" s="305"/>
      <c r="I83" s="304">
        <f>I$80*$C$83-$J$72</f>
        <v>1371125.3063750006</v>
      </c>
      <c r="J83" s="305"/>
      <c r="K83" s="16"/>
      <c r="L83" s="24"/>
    </row>
    <row r="84" spans="2:12" s="3" customFormat="1" ht="18" customHeight="1">
      <c r="B84" s="34"/>
      <c r="C84" s="34"/>
      <c r="D84" s="35"/>
      <c r="E84" s="35"/>
      <c r="F84" s="35"/>
      <c r="G84" s="36"/>
      <c r="H84" s="12"/>
      <c r="I84" s="15"/>
      <c r="J84" s="15"/>
      <c r="K84" s="16"/>
      <c r="L84" s="24"/>
    </row>
    <row r="85" spans="2:12" s="3" customFormat="1" ht="18" customHeight="1">
      <c r="B85" s="298" t="s">
        <v>116</v>
      </c>
      <c r="C85" s="299"/>
      <c r="D85" s="299"/>
      <c r="E85" s="299"/>
      <c r="F85" s="299"/>
      <c r="G85" s="299"/>
      <c r="H85" s="299"/>
      <c r="I85" s="299"/>
      <c r="J85" s="300"/>
      <c r="K85" s="16"/>
      <c r="L85" s="24"/>
    </row>
    <row r="86" spans="2:12" s="3" customFormat="1" ht="18" customHeight="1">
      <c r="B86" s="272"/>
      <c r="C86" s="273"/>
      <c r="D86" s="273"/>
      <c r="E86" s="273"/>
      <c r="F86" s="273"/>
      <c r="G86" s="273"/>
      <c r="H86" s="273"/>
      <c r="I86" s="273"/>
      <c r="J86" s="274"/>
      <c r="K86" s="16"/>
      <c r="L86" s="24"/>
    </row>
    <row r="87" spans="2:12" s="3" customFormat="1" ht="18" customHeight="1">
      <c r="B87" s="243" t="s">
        <v>114</v>
      </c>
      <c r="C87" s="244"/>
      <c r="D87" s="244"/>
      <c r="E87" s="196">
        <f>C81</f>
        <v>28800</v>
      </c>
      <c r="F87" s="244"/>
      <c r="G87" s="196">
        <f>E14</f>
        <v>32000</v>
      </c>
      <c r="H87" s="244"/>
      <c r="I87" s="196">
        <f>C83</f>
        <v>35200</v>
      </c>
      <c r="J87" s="251"/>
      <c r="K87" s="16"/>
      <c r="L87" s="24"/>
    </row>
    <row r="88" spans="2:12" ht="18" customHeight="1">
      <c r="B88" s="245"/>
      <c r="C88" s="246"/>
      <c r="D88" s="246"/>
      <c r="E88" s="197"/>
      <c r="F88" s="246"/>
      <c r="G88" s="197"/>
      <c r="H88" s="246"/>
      <c r="I88" s="197"/>
      <c r="J88" s="252"/>
      <c r="K88" s="16"/>
      <c r="L88" s="24"/>
    </row>
    <row r="89" spans="2:12" ht="18" customHeight="1">
      <c r="B89" s="247" t="s">
        <v>115</v>
      </c>
      <c r="C89" s="248"/>
      <c r="D89" s="248"/>
      <c r="E89" s="195">
        <f>$J$72/E87</f>
        <v>86.83592686197916</v>
      </c>
      <c r="F89" s="253"/>
      <c r="G89" s="195">
        <f>$J$72/G87</f>
        <v>78.15233417578125</v>
      </c>
      <c r="H89" s="253"/>
      <c r="I89" s="195">
        <f>$J$72/I87</f>
        <v>71.0475765234375</v>
      </c>
      <c r="J89" s="255"/>
      <c r="K89" s="16"/>
      <c r="L89" s="24"/>
    </row>
    <row r="90" spans="2:12" ht="18" customHeight="1">
      <c r="B90" s="249"/>
      <c r="C90" s="250"/>
      <c r="D90" s="250"/>
      <c r="E90" s="254"/>
      <c r="F90" s="254"/>
      <c r="G90" s="254"/>
      <c r="H90" s="254"/>
      <c r="I90" s="254"/>
      <c r="J90" s="256"/>
      <c r="K90" s="16"/>
      <c r="L90" s="24"/>
    </row>
    <row r="91" spans="2:12" ht="18" customHeight="1">
      <c r="B91" s="46"/>
      <c r="C91" s="1"/>
      <c r="D91" s="3"/>
      <c r="E91" s="3"/>
      <c r="F91" s="105"/>
      <c r="G91" s="105"/>
      <c r="H91" s="105"/>
      <c r="I91" s="15"/>
      <c r="J91" s="15"/>
      <c r="K91" s="16"/>
      <c r="L91" s="24"/>
    </row>
    <row r="92" spans="2:11" s="3" customFormat="1" ht="18" customHeight="1">
      <c r="B92" s="322" t="s">
        <v>15</v>
      </c>
      <c r="C92" s="323"/>
      <c r="D92" s="323"/>
      <c r="E92" s="323"/>
      <c r="F92" s="323"/>
      <c r="G92" s="323"/>
      <c r="H92" s="323"/>
      <c r="I92" s="323"/>
      <c r="J92" s="324"/>
      <c r="K92" s="80"/>
    </row>
    <row r="93" spans="2:14" s="3" customFormat="1" ht="18">
      <c r="B93" s="295" t="s">
        <v>121</v>
      </c>
      <c r="C93" s="296"/>
      <c r="D93" s="296"/>
      <c r="E93" s="296"/>
      <c r="F93" s="296"/>
      <c r="G93" s="296"/>
      <c r="H93" s="296"/>
      <c r="I93" s="296"/>
      <c r="J93" s="297"/>
      <c r="K93" s="80"/>
      <c r="N93" s="106"/>
    </row>
    <row r="94" spans="2:11" s="3" customFormat="1" ht="15.75" customHeight="1">
      <c r="B94" s="295" t="s">
        <v>122</v>
      </c>
      <c r="C94" s="296"/>
      <c r="D94" s="296"/>
      <c r="E94" s="296"/>
      <c r="F94" s="296"/>
      <c r="G94" s="296"/>
      <c r="H94" s="296"/>
      <c r="I94" s="296"/>
      <c r="J94" s="297"/>
      <c r="K94" s="81"/>
    </row>
    <row r="95" spans="2:11" s="3" customFormat="1" ht="15.75" customHeight="1">
      <c r="B95" s="295" t="s">
        <v>67</v>
      </c>
      <c r="C95" s="296"/>
      <c r="D95" s="296"/>
      <c r="E95" s="296"/>
      <c r="F95" s="296"/>
      <c r="G95" s="296"/>
      <c r="H95" s="296"/>
      <c r="I95" s="296"/>
      <c r="J95" s="297"/>
      <c r="K95" s="81"/>
    </row>
    <row r="96" spans="2:11" s="3" customFormat="1" ht="30.75" customHeight="1">
      <c r="B96" s="326" t="s">
        <v>71</v>
      </c>
      <c r="C96" s="327"/>
      <c r="D96" s="327"/>
      <c r="E96" s="327"/>
      <c r="F96" s="327"/>
      <c r="G96" s="327"/>
      <c r="H96" s="327"/>
      <c r="I96" s="327"/>
      <c r="J96" s="328"/>
      <c r="K96" s="80"/>
    </row>
    <row r="97" spans="2:11" s="3" customFormat="1" ht="18" customHeight="1">
      <c r="B97" s="295" t="s">
        <v>72</v>
      </c>
      <c r="C97" s="296"/>
      <c r="D97" s="296"/>
      <c r="E97" s="296"/>
      <c r="F97" s="296"/>
      <c r="G97" s="296"/>
      <c r="H97" s="296"/>
      <c r="I97" s="296"/>
      <c r="J97" s="297"/>
      <c r="K97" s="80"/>
    </row>
    <row r="98" spans="2:11" s="3" customFormat="1" ht="18" customHeight="1">
      <c r="B98" s="295" t="s">
        <v>77</v>
      </c>
      <c r="C98" s="296"/>
      <c r="D98" s="296"/>
      <c r="E98" s="296"/>
      <c r="F98" s="296"/>
      <c r="G98" s="296"/>
      <c r="H98" s="296"/>
      <c r="I98" s="296"/>
      <c r="J98" s="297"/>
      <c r="K98" s="80"/>
    </row>
    <row r="99" spans="2:11" s="3" customFormat="1" ht="18">
      <c r="B99" s="329" t="s">
        <v>73</v>
      </c>
      <c r="C99" s="330"/>
      <c r="D99" s="330"/>
      <c r="E99" s="330"/>
      <c r="F99" s="330"/>
      <c r="G99" s="330"/>
      <c r="H99" s="330"/>
      <c r="I99" s="330"/>
      <c r="J99" s="331"/>
      <c r="K99" s="80"/>
    </row>
    <row r="100" spans="2:11" s="3" customFormat="1" ht="18.75" customHeight="1">
      <c r="B100" s="292" t="s">
        <v>65</v>
      </c>
      <c r="C100" s="293"/>
      <c r="D100" s="293"/>
      <c r="E100" s="293"/>
      <c r="F100" s="293"/>
      <c r="G100" s="293"/>
      <c r="H100" s="293"/>
      <c r="I100" s="293"/>
      <c r="J100" s="294"/>
      <c r="K100" s="80"/>
    </row>
    <row r="101" spans="2:11" s="3" customFormat="1" ht="18" customHeight="1">
      <c r="B101" s="143"/>
      <c r="C101" s="143"/>
      <c r="D101" s="143"/>
      <c r="E101" s="143"/>
      <c r="F101" s="143"/>
      <c r="G101" s="143"/>
      <c r="H101" s="143"/>
      <c r="I101" s="143"/>
      <c r="J101" s="143"/>
      <c r="K101" s="81"/>
    </row>
    <row r="102" spans="2:11" s="3" customFormat="1" ht="18" customHeight="1">
      <c r="B102" s="37"/>
      <c r="C102" s="38"/>
      <c r="D102" s="38"/>
      <c r="E102" s="38"/>
      <c r="F102" s="38"/>
      <c r="G102" s="38"/>
      <c r="H102" s="38"/>
      <c r="I102" s="38"/>
      <c r="J102" s="38"/>
      <c r="K102" s="33"/>
    </row>
    <row r="103" spans="2:11" s="3" customFormat="1" ht="16.5" customHeight="1">
      <c r="B103" s="39"/>
      <c r="C103" s="39"/>
      <c r="D103" s="39"/>
      <c r="E103" s="39"/>
      <c r="F103" s="39"/>
      <c r="G103" s="40"/>
      <c r="H103" s="39"/>
      <c r="I103" s="39"/>
      <c r="J103" s="39"/>
      <c r="K103" s="9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s="3" customFormat="1" ht="15">
      <c r="B110" s="67"/>
      <c r="C110" s="67"/>
      <c r="D110" s="67"/>
      <c r="E110" s="67"/>
      <c r="F110" s="67"/>
      <c r="G110" s="68"/>
      <c r="H110" s="67"/>
      <c r="I110" s="67"/>
      <c r="J110" s="67"/>
      <c r="K110" s="69"/>
      <c r="L110" s="67"/>
    </row>
    <row r="111" spans="2:12" s="3" customFormat="1" ht="15">
      <c r="B111" s="67"/>
      <c r="C111" s="67"/>
      <c r="D111" s="67"/>
      <c r="E111" s="67"/>
      <c r="F111" s="67"/>
      <c r="G111" s="68"/>
      <c r="H111" s="67"/>
      <c r="I111" s="67"/>
      <c r="J111" s="67"/>
      <c r="K111" s="69"/>
      <c r="L111" s="67"/>
    </row>
    <row r="112" spans="2:12" ht="18">
      <c r="B112" s="56"/>
      <c r="C112" s="56"/>
      <c r="D112" s="57"/>
      <c r="E112" s="57"/>
      <c r="F112" s="58"/>
      <c r="G112" s="58"/>
      <c r="H112" s="58"/>
      <c r="I112" s="67"/>
      <c r="J112" s="67"/>
      <c r="K112" s="69"/>
      <c r="L112" s="67"/>
    </row>
    <row r="113" spans="2:12" ht="18">
      <c r="B113" s="56"/>
      <c r="C113" s="59"/>
      <c r="D113" s="59"/>
      <c r="E113" s="60"/>
      <c r="F113" s="59"/>
      <c r="G113" s="61"/>
      <c r="H113" s="62"/>
      <c r="I113" s="67"/>
      <c r="J113" s="67"/>
      <c r="K113" s="69"/>
      <c r="L113" s="67"/>
    </row>
    <row r="114" spans="2:12" ht="18">
      <c r="B114" s="57"/>
      <c r="C114" s="57"/>
      <c r="D114" s="57"/>
      <c r="E114" s="57"/>
      <c r="F114" s="57"/>
      <c r="G114" s="57"/>
      <c r="H114" s="57"/>
      <c r="I114" s="67"/>
      <c r="J114" s="67"/>
      <c r="K114" s="69"/>
      <c r="L114" s="67"/>
    </row>
    <row r="115" spans="2:12" ht="18">
      <c r="B115" s="56"/>
      <c r="C115" s="57"/>
      <c r="D115" s="57"/>
      <c r="E115" s="57"/>
      <c r="F115" s="57"/>
      <c r="G115" s="57"/>
      <c r="H115" s="57"/>
      <c r="I115" s="67"/>
      <c r="J115" s="67"/>
      <c r="K115" s="69"/>
      <c r="L115" s="67"/>
    </row>
    <row r="116" spans="2:12" ht="18">
      <c r="B116" s="70"/>
      <c r="C116" s="71"/>
      <c r="D116" s="71"/>
      <c r="E116" s="63"/>
      <c r="F116" s="63"/>
      <c r="G116" s="63"/>
      <c r="H116" s="63"/>
      <c r="I116" s="67"/>
      <c r="J116" s="69"/>
      <c r="K116" s="69"/>
      <c r="L116" s="67"/>
    </row>
    <row r="117" spans="2:12" ht="18">
      <c r="B117" s="70"/>
      <c r="C117" s="71"/>
      <c r="D117" s="71"/>
      <c r="E117" s="63"/>
      <c r="F117" s="63"/>
      <c r="G117" s="63"/>
      <c r="H117" s="63"/>
      <c r="I117" s="67"/>
      <c r="J117" s="69"/>
      <c r="K117" s="69"/>
      <c r="L117" s="67"/>
    </row>
    <row r="118" spans="2:12" ht="18">
      <c r="B118" s="64"/>
      <c r="C118" s="65"/>
      <c r="D118" s="65"/>
      <c r="E118" s="64"/>
      <c r="F118" s="64"/>
      <c r="G118" s="64"/>
      <c r="H118" s="66"/>
      <c r="I118" s="67"/>
      <c r="J118" s="67"/>
      <c r="K118" s="69"/>
      <c r="L118" s="67"/>
    </row>
    <row r="119" spans="2:12" ht="18">
      <c r="B119" s="57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56"/>
      <c r="C120" s="57"/>
      <c r="D120" s="57"/>
      <c r="E120" s="57"/>
      <c r="F120" s="57"/>
      <c r="G120" s="57"/>
      <c r="H120" s="57"/>
      <c r="I120" s="67"/>
      <c r="J120" s="67"/>
      <c r="K120" s="69"/>
      <c r="L120" s="67"/>
    </row>
    <row r="121" spans="2:12" ht="18">
      <c r="B121" s="72"/>
      <c r="C121" s="7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325"/>
      <c r="C123" s="325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ht="18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8">
      <c r="B136" s="64"/>
      <c r="C136" s="65"/>
      <c r="D136" s="65"/>
      <c r="E136" s="64"/>
      <c r="F136" s="64"/>
      <c r="G136" s="64"/>
      <c r="H136" s="66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77"/>
      <c r="C147" s="77"/>
      <c r="D147" s="77"/>
      <c r="E147" s="77"/>
      <c r="F147" s="7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9"/>
      <c r="D150" s="69"/>
      <c r="E150" s="69"/>
      <c r="F150" s="69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9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9"/>
      <c r="D157" s="69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8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9"/>
      <c r="C170" s="69"/>
      <c r="D170" s="69"/>
      <c r="E170" s="69"/>
      <c r="F170" s="69"/>
      <c r="G170" s="69"/>
      <c r="H170" s="69"/>
      <c r="I170" s="69"/>
      <c r="J170" s="67"/>
      <c r="K170" s="69"/>
      <c r="L170" s="67"/>
    </row>
    <row r="171" spans="2:12" s="3" customFormat="1" ht="15">
      <c r="B171" s="69"/>
      <c r="C171" s="69"/>
      <c r="D171" s="69"/>
      <c r="E171" s="69"/>
      <c r="F171" s="69"/>
      <c r="G171" s="78"/>
      <c r="H171" s="69"/>
      <c r="I171" s="69"/>
      <c r="J171" s="67"/>
      <c r="K171" s="69"/>
      <c r="L171" s="78"/>
    </row>
    <row r="172" spans="2:12" s="3" customFormat="1" ht="15">
      <c r="B172" s="69"/>
      <c r="C172" s="69"/>
      <c r="D172" s="69"/>
      <c r="E172" s="69"/>
      <c r="F172" s="69"/>
      <c r="G172" s="69"/>
      <c r="H172" s="69"/>
      <c r="I172" s="79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9"/>
      <c r="I180" s="69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9"/>
      <c r="I181" s="69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9"/>
      <c r="I189" s="69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9"/>
      <c r="I190" s="69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</sheetData>
  <sheetProtection/>
  <mergeCells count="34">
    <mergeCell ref="G83:H83"/>
    <mergeCell ref="I81:J81"/>
    <mergeCell ref="I82:J82"/>
    <mergeCell ref="I83:J83"/>
    <mergeCell ref="I80:J80"/>
    <mergeCell ref="G80:H80"/>
    <mergeCell ref="G81:H81"/>
    <mergeCell ref="L66:O66"/>
    <mergeCell ref="B92:J92"/>
    <mergeCell ref="B123:C123"/>
    <mergeCell ref="B93:J93"/>
    <mergeCell ref="B96:J96"/>
    <mergeCell ref="B99:J99"/>
    <mergeCell ref="B77:J77"/>
    <mergeCell ref="B98:J98"/>
    <mergeCell ref="E80:F80"/>
    <mergeCell ref="E81:F81"/>
    <mergeCell ref="D2:J2"/>
    <mergeCell ref="D3:J3"/>
    <mergeCell ref="D4:J4"/>
    <mergeCell ref="B13:E13"/>
    <mergeCell ref="G13:J13"/>
    <mergeCell ref="E21:F21"/>
    <mergeCell ref="D6:J6"/>
    <mergeCell ref="B100:J100"/>
    <mergeCell ref="B95:J95"/>
    <mergeCell ref="B85:J85"/>
    <mergeCell ref="B94:J94"/>
    <mergeCell ref="B97:J97"/>
    <mergeCell ref="B78:J78"/>
    <mergeCell ref="E82:F82"/>
    <mergeCell ref="E83:F83"/>
    <mergeCell ref="E79:J79"/>
    <mergeCell ref="G82:H8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((zapallo_diaguita_maule_!E14-45000)/45000)+1</f>
        <v>0.7111111111111111</v>
      </c>
    </row>
    <row r="3" ht="18">
      <c r="B3" s="13"/>
    </row>
    <row r="4" spans="2:3" ht="18">
      <c r="B4" s="339" t="s">
        <v>18</v>
      </c>
      <c r="C4" s="339"/>
    </row>
    <row r="5" spans="2:5" ht="18">
      <c r="B5" s="82" t="s">
        <v>33</v>
      </c>
      <c r="C5" s="130"/>
      <c r="D5" s="83"/>
      <c r="E5" s="3">
        <v>45000</v>
      </c>
    </row>
    <row r="6" spans="2:4" ht="15">
      <c r="B6" s="26"/>
      <c r="C6" s="26"/>
      <c r="D6" s="26"/>
    </row>
    <row r="14" spans="2:4" ht="15">
      <c r="B14" s="340" t="s">
        <v>14</v>
      </c>
      <c r="C14" s="340"/>
      <c r="D14" s="340"/>
    </row>
    <row r="16" spans="2:4" ht="18">
      <c r="B16" s="49" t="s">
        <v>16</v>
      </c>
      <c r="C16" s="48">
        <f>zapallo_diaguita_maule_!B81</f>
        <v>0</v>
      </c>
      <c r="D16" s="48">
        <f>zapallo_diaguita_maule_!B83</f>
        <v>0</v>
      </c>
    </row>
    <row r="17" ht="15">
      <c r="B17" s="24"/>
    </row>
    <row r="18" spans="2:4" ht="15">
      <c r="B18" s="47" t="s">
        <v>17</v>
      </c>
      <c r="C18" s="50">
        <f>((C16-zapallo_diaguita_maule_!E14)/zapallo_diaguita_maule_!E14)+1</f>
        <v>0</v>
      </c>
      <c r="D18" s="50">
        <f>((D16-zapallo_diaguita_maule_!E14)/zapallo_diaguita_maule_!E14)+1</f>
        <v>0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SUM(zapallo_diaguita_maule_!J23:J29)</f>
        <v>991000</v>
      </c>
      <c r="D21" s="9">
        <f>SUM(zapallo_diaguita_maule_!J23:J29)</f>
        <v>991000</v>
      </c>
    </row>
    <row r="22" spans="2:4" ht="18">
      <c r="B22" s="51" t="s">
        <v>20</v>
      </c>
      <c r="C22" s="52" t="e">
        <f>C18*zapallo_diaguita_maule_!#REF!*zapallo_diaguita_maule_!#REF!</f>
        <v>#REF!</v>
      </c>
      <c r="D22" s="52" t="e">
        <f>D18*zapallo_diaguita_maule_!#REF!*zapallo_diaguita_maule_!#REF!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SUM(zapallo_diaguita_maule_!J33:J40)</f>
        <v>496000</v>
      </c>
      <c r="D26" s="9">
        <f>SUM(zapallo_diaguita_maule_!J33:J40)</f>
        <v>496000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496000</v>
      </c>
      <c r="D28" s="9">
        <f>SUM(D26:D27)</f>
        <v>496000</v>
      </c>
    </row>
    <row r="30" ht="18">
      <c r="B30" s="49" t="s">
        <v>22</v>
      </c>
    </row>
    <row r="31" spans="2:4" ht="18">
      <c r="B31" s="17" t="s">
        <v>19</v>
      </c>
      <c r="C31" s="9">
        <f>SUM(zapallo_diaguita_maule_!J44:J56)</f>
        <v>792220.5</v>
      </c>
      <c r="D31" s="9">
        <f>SUM(zapallo_diaguita_maule_!J44:J56)</f>
        <v>792220.5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792220.5</v>
      </c>
      <c r="D33" s="9">
        <f>SUM(D31:D32)</f>
        <v>792220.5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C35*zapallo_diaguita_maule_!G60</f>
        <v>#REF!</v>
      </c>
      <c r="D37" s="9" t="e">
        <f>D35*D18*zapallo_diaguita_maule_!G60</f>
        <v>#REF!</v>
      </c>
    </row>
    <row r="38" spans="2:4" ht="18">
      <c r="B38" s="53" t="s">
        <v>12</v>
      </c>
      <c r="C38" s="9" t="e">
        <f>C35*zapallo_diaguita_maule_!E17*zapallo_diaguita_maule_!E18*0.5</f>
        <v>#REF!</v>
      </c>
      <c r="D38" s="9" t="e">
        <f>D35*zapallo_diaguita_maule_!E17*zapallo_diaguita_maule_!E18*0.5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2019-08-28T22:12:01Z</dcterms:modified>
  <cp:category/>
  <cp:version/>
  <cp:contentType/>
  <cp:contentStatus/>
</cp:coreProperties>
</file>