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1575" windowWidth="15480" windowHeight="8415" tabRatio="748" firstSheet="1" activeTab="3"/>
  </bookViews>
  <sheets>
    <sheet name="Sensibiliza" sheetId="1" state="hidden" r:id="rId1"/>
    <sheet name="Instrucciones de uso" sheetId="2" r:id="rId2"/>
    <sheet name="PEQUEÑO" sheetId="3" r:id="rId3"/>
    <sheet name="MEDIANO" sheetId="4" r:id="rId4"/>
  </sheets>
  <externalReferences>
    <externalReference r:id="rId7"/>
  </externalReferences>
  <definedNames>
    <definedName name="_xlfn.COUNTIFS" hidden="1">#NAME?</definedName>
    <definedName name="_xlfn.IFERROR" hidden="1">#NAME?</definedName>
    <definedName name="_xlfn.SUMIFS" hidden="1">#NAME?</definedName>
    <definedName name="a">'[1]Labores'!#REF!</definedName>
    <definedName name="EXTRACT" localSheetId="0">'Sensibiliza'!#REF!</definedName>
    <definedName name="_xlnm.Print_Area" localSheetId="0">'Sensibiliza'!$A$1:$F$43</definedName>
    <definedName name="Arroz">#REF!</definedName>
    <definedName name="CODIGOS">#REF!</definedName>
    <definedName name="COSTOINDIRECTO">#REF!</definedName>
    <definedName name="CULTIVO">#REF!</definedName>
    <definedName name="ETAPA">#REF!</definedName>
    <definedName name="Ha">#REF!</definedName>
    <definedName name="INSUMOS">#REF!</definedName>
    <definedName name="LABORES">#REF!</definedName>
    <definedName name="MESESfin">#REF!</definedName>
    <definedName name="NFICHA">#REF!</definedName>
    <definedName name="NIVELendeudamiento">#REF!</definedName>
    <definedName name="PORCENTAJEtasa">#REF!</definedName>
    <definedName name="Región7">#REF!</definedName>
    <definedName name="TABLAVALORES">#REF!</definedName>
    <definedName name="TAMAÑO">#REF!</definedName>
    <definedName name="TIPODEINSUMO">#REF!</definedName>
    <definedName name="TIPOLABOR">#REF!</definedName>
    <definedName name="TOTALdirecto">'Sensibiliza'!$E$20</definedName>
    <definedName name="TOTALindirecto">'Sensibiliza'!$E$29</definedName>
    <definedName name="TOTALinsumos">'Sensibiliza'!$E$19</definedName>
    <definedName name="TOTALoportunidad">'Sensibiliza'!#REF!</definedName>
    <definedName name="UNIDADESind">#REF!</definedName>
    <definedName name="UNIDADESins">#REF!</definedName>
    <definedName name="UNIDADESlab">#REF!</definedName>
    <definedName name="VII_Región">#REF!</definedName>
    <definedName name="xxx">'Sensibiliza'!#REF!</definedName>
  </definedNames>
  <calcPr fullCalcOnLoad="1"/>
</workbook>
</file>

<file path=xl/sharedStrings.xml><?xml version="1.0" encoding="utf-8"?>
<sst xmlns="http://schemas.openxmlformats.org/spreadsheetml/2006/main" count="272" uniqueCount="112">
  <si>
    <t>Labores</t>
  </si>
  <si>
    <t>Unidad</t>
  </si>
  <si>
    <t>Rastraje</t>
  </si>
  <si>
    <t>Aplicación Fertilizante</t>
  </si>
  <si>
    <t>Siembra</t>
  </si>
  <si>
    <t>Aplicación Herbicidas</t>
  </si>
  <si>
    <t>JH</t>
  </si>
  <si>
    <t>JM</t>
  </si>
  <si>
    <t>Kg</t>
  </si>
  <si>
    <t>Lt</t>
  </si>
  <si>
    <t>Ton</t>
  </si>
  <si>
    <t>Urea</t>
  </si>
  <si>
    <t>Flete Insumo-Producto</t>
  </si>
  <si>
    <t>Zona</t>
  </si>
  <si>
    <t>Requerimientos</t>
  </si>
  <si>
    <t>Total</t>
  </si>
  <si>
    <t>Cantidad</t>
  </si>
  <si>
    <t>Precio ($)</t>
  </si>
  <si>
    <t xml:space="preserve"> ( $ )</t>
  </si>
  <si>
    <t xml:space="preserve"> ( % )</t>
  </si>
  <si>
    <t>Periodo</t>
  </si>
  <si>
    <t>Labores de Cultivo</t>
  </si>
  <si>
    <t>Labores de Cosecha</t>
  </si>
  <si>
    <t>Subtotal Labores (a)</t>
  </si>
  <si>
    <t>Insumos</t>
  </si>
  <si>
    <t>ha</t>
  </si>
  <si>
    <t>tasa mes</t>
  </si>
  <si>
    <t>Subtotal Insumos (b)</t>
  </si>
  <si>
    <t>Total Costos (a+b+c)</t>
  </si>
  <si>
    <t>JMC</t>
  </si>
  <si>
    <t>Precio Unitario ($)</t>
  </si>
  <si>
    <t>Costo ($/ha)</t>
  </si>
  <si>
    <t>MANO DE OBRA</t>
  </si>
  <si>
    <t>Labores de Suelo</t>
  </si>
  <si>
    <t>MAQUINARIA</t>
  </si>
  <si>
    <t>Semilla</t>
  </si>
  <si>
    <t>Fertilizantes</t>
  </si>
  <si>
    <t>Servicios de Flete</t>
  </si>
  <si>
    <t>JM/JMC</t>
  </si>
  <si>
    <t>INSUMOS</t>
  </si>
  <si>
    <t>TOTAL COSTOS DIRECTOS</t>
  </si>
  <si>
    <t>Subtotal Mano de Obra</t>
  </si>
  <si>
    <t>Subtotal Maquinaria</t>
  </si>
  <si>
    <t>Subtotal Insumos</t>
  </si>
  <si>
    <t>Costo (US$/ha)</t>
  </si>
  <si>
    <t>Precio  a Productor ($/qqm)</t>
  </si>
  <si>
    <t xml:space="preserve">Productividad </t>
  </si>
  <si>
    <t>(qqm/ha)</t>
  </si>
  <si>
    <t>PUNTO DE EQUILIBRIO qqm/ha *</t>
  </si>
  <si>
    <t>Subtotal Costos Directos (a+b)</t>
  </si>
  <si>
    <t>Otros Costos</t>
  </si>
  <si>
    <t>OTROS COSTOS</t>
  </si>
  <si>
    <t>TOTAL OTROS COSTOS</t>
  </si>
  <si>
    <t>Subtotal Otros Costos (c)</t>
  </si>
  <si>
    <t>COSTOS  DE PRODUCCION (DIRECTOS + OTROS COSTOS)</t>
  </si>
  <si>
    <t>Sal Dimetilamina de MCPA</t>
  </si>
  <si>
    <t>Junio-Agosto</t>
  </si>
  <si>
    <t>1</t>
  </si>
  <si>
    <t>Marzo-Abril</t>
  </si>
  <si>
    <t>Cosecha Automotriz</t>
  </si>
  <si>
    <t>Sulfato de Potasio</t>
  </si>
  <si>
    <t xml:space="preserve">Costo financiero </t>
  </si>
  <si>
    <t>Avena</t>
  </si>
  <si>
    <t>IX Región</t>
  </si>
  <si>
    <t>Aradura</t>
  </si>
  <si>
    <t>Rastraje-Vibrocultivador</t>
  </si>
  <si>
    <t>Aplicación Pesticidas</t>
  </si>
  <si>
    <t xml:space="preserve">Aplicación Fertilizante </t>
  </si>
  <si>
    <t>Siembra voleo</t>
  </si>
  <si>
    <t>Siembra mecanizada</t>
  </si>
  <si>
    <t>Desifección de semillas</t>
  </si>
  <si>
    <t>Preparación de cosecha</t>
  </si>
  <si>
    <t>Abril-Mayo</t>
  </si>
  <si>
    <t>Abril-Mayo/Junio-Agosto</t>
  </si>
  <si>
    <t>Abril-Mayo/Agosto</t>
  </si>
  <si>
    <t>Agosto</t>
  </si>
  <si>
    <t>Diciembre-Enero</t>
  </si>
  <si>
    <t>Superfosfato triple</t>
  </si>
  <si>
    <t>Bentazon</t>
  </si>
  <si>
    <t>Tebuconazole</t>
  </si>
  <si>
    <t>Administración  (predio equivalente a 50 ha)</t>
  </si>
  <si>
    <t>Semilla Avena</t>
  </si>
  <si>
    <t>Junio/Enero</t>
  </si>
  <si>
    <t>Junio/Agosto</t>
  </si>
  <si>
    <t>Julio</t>
  </si>
  <si>
    <t>Abril/Mayo</t>
  </si>
  <si>
    <t>Junio/Octubre</t>
  </si>
  <si>
    <t>Junio-Agosto/Sept-Octubre</t>
  </si>
  <si>
    <t>Diciembre/Enero</t>
  </si>
  <si>
    <t>Cultivo</t>
  </si>
  <si>
    <t>Tecnología</t>
  </si>
  <si>
    <t>Pequeño Agricultor</t>
  </si>
  <si>
    <t>(Cifras para 1 ha, en pesos de agosto de 2010)</t>
  </si>
  <si>
    <t>Parámetros generales</t>
  </si>
  <si>
    <t>Rendimiento(qqm/ha)</t>
  </si>
  <si>
    <t>Precio de Venta Mercado Interno ($/qqm)</t>
  </si>
  <si>
    <t>Costo Jornada hombre ($/JH)</t>
  </si>
  <si>
    <t>Tasa Interés mensual</t>
  </si>
  <si>
    <t>Nivel Endeudamiento (% del costo directo)</t>
  </si>
  <si>
    <t>Meses de Financiamiento</t>
  </si>
  <si>
    <t xml:space="preserve">    Ficha Técnico - Económica</t>
  </si>
  <si>
    <t>Ingreso por hectárea (d)</t>
  </si>
  <si>
    <t>Márgen Bruto por hectárea (d-a-b)</t>
  </si>
  <si>
    <t>Márgen Neto por hectárea (d-a-b-c)</t>
  </si>
  <si>
    <t>ANALISIS DE SENSIBILIDAD</t>
  </si>
  <si>
    <t>Márgen Neto ($/ha) (1)</t>
  </si>
  <si>
    <t>Precio ($/qqm)</t>
  </si>
  <si>
    <t>Productividad (qqm/ha)</t>
  </si>
  <si>
    <t xml:space="preserve">Punto de equilibrio qqm/ha </t>
  </si>
  <si>
    <t>(1)  Se simulan valores 10% superior y 10% inferior, a partir del precio y productividad seleccionadas.</t>
  </si>
  <si>
    <t>(Programa de simulación - ODEPA)</t>
  </si>
  <si>
    <t>Mediano Agricultor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</si>
</sst>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_-&quot;$&quot;\ * #,##0_-;\-&quot;$&quot;\ * #,##0_-;_-&quot;$&quot;\ * &quot;-&quot;_-;_-@_-"/>
    <numFmt numFmtId="166" formatCode="_-* #,##0.00_-;\-* #,##0.00_-;_-* &quot;-&quot;??_-;_-@_-"/>
    <numFmt numFmtId="167" formatCode="_ * #,##0.00_ ;_ * \-#,##0.00_ ;_ * &quot;-&quot;??_ ;_ @_ "/>
    <numFmt numFmtId="168" formatCode="_-* #,##0_-;\-* #,##0_-;_-* &quot;-&quot;??_-;_-@_-"/>
    <numFmt numFmtId="169" formatCode="00"/>
    <numFmt numFmtId="170" formatCode="_-%* #,##0_-;\-%* #,##0_-;_-\%* &quot;-&quot;_-;_-@_-"/>
    <numFmt numFmtId="171" formatCode="_-&quot;$/ha&quot;\ * #,##0_-;\-&quot;$/ha&quot;\ * #,##0_-;_-&quot;$/ha&quot;\ * &quot;-&quot;_-;_-@_-"/>
    <numFmt numFmtId="172" formatCode="_-&quot;$/US$&quot;\ * #,##0_-;\-&quot;$/US$&quot;\ \ * #,##0_-;_-&quot;$/US$&quot;\ \ * &quot;-&quot;_-;_-@_-"/>
    <numFmt numFmtId="173" formatCode="_-&quot;$/qqm&quot;\ * #,##0_-;\-&quot;$/qqm&quot;\ * #,##0_-;_-&quot;$/qqm&quot;\ * &quot;-&quot;_-;_-@_-"/>
    <numFmt numFmtId="174" formatCode="_-&quot;$/ha&quot;\ * #,##0_-;\-&quot;$/ha&quot;\ \ * #,##0_-;_-&quot;$/ha&quot;\ \ * &quot;-&quot;_-;_-@_-"/>
    <numFmt numFmtId="175" formatCode="_-&quot;Kg&quot;\ * #,##0.00_-;\-&quot;Kg&quot;\ * #,##0.00_-;_-&quot;Kg&quot;\ * &quot;-&quot;??_-;_-@_-"/>
    <numFmt numFmtId="176" formatCode="#,##0_ ;\-#,##0\ "/>
    <numFmt numFmtId="177" formatCode="#,##0_ ;[Red]\-#,##0\ "/>
    <numFmt numFmtId="178" formatCode="&quot;$&quot;\ #,##0"/>
    <numFmt numFmtId="179" formatCode="&quot;US$&quot;\ #,##0;\-&quot;US$&quot;\ #,##0"/>
    <numFmt numFmtId="180" formatCode="0.0%"/>
    <numFmt numFmtId="181" formatCode="[$$-340A]\ #,##0"/>
    <numFmt numFmtId="182" formatCode="#,##0.000_ ;\-#,##0.000\ "/>
    <numFmt numFmtId="183" formatCode="#,##0.00_ ;\-#,##0.00\ "/>
    <numFmt numFmtId="184" formatCode="_-* #,##0_-&quot;meses&quot;\ ;\-\ * #,##0_-&quot;meses&quot;\ ;_-\ * &quot;-&quot;_-;_-@_-&quot;meses&quot;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&quot; &quot;#,##0.00&quot; &quot;;&quot; -&quot;#,##0.00&quot; &quot;;&quot; -&quot;00&quot; &quot;;&quot; &quot;@&quot; &quot;"/>
    <numFmt numFmtId="190" formatCode="&quot; &quot;#,##0&quot; &quot;;&quot;-&quot;#,##0&quot; &quot;;&quot; -&quot;00&quot; &quot;;&quot; &quot;@&quot; &quot;"/>
    <numFmt numFmtId="191" formatCode="&quot;$ &quot;#,##0;&quot;-$ &quot;#,##0"/>
    <numFmt numFmtId="192" formatCode="&quot; &quot;#,##0.0&quot; &quot;;&quot;-&quot;#,##0.0&quot; &quot;;&quot; -&quot;00&quot; &quot;;&quot; &quot;@&quot; 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56"/>
      <name val="Arial"/>
      <family val="2"/>
    </font>
    <font>
      <sz val="10"/>
      <name val="Trebuchet MS"/>
      <family val="2"/>
    </font>
    <font>
      <b/>
      <i/>
      <sz val="11"/>
      <name val="Trebuchet MS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56"/>
      <name val="Calibri"/>
      <family val="2"/>
    </font>
    <font>
      <b/>
      <sz val="8"/>
      <color indexed="8"/>
      <name val="Calibri"/>
      <family val="2"/>
    </font>
    <font>
      <i/>
      <sz val="10"/>
      <color indexed="18"/>
      <name val="Calibri"/>
      <family val="2"/>
    </font>
    <font>
      <b/>
      <i/>
      <sz val="11"/>
      <color indexed="56"/>
      <name val="Calibri"/>
      <family val="2"/>
    </font>
    <font>
      <b/>
      <sz val="9"/>
      <color indexed="9"/>
      <name val="Arial"/>
      <family val="2"/>
    </font>
    <font>
      <b/>
      <i/>
      <sz val="11"/>
      <color indexed="18"/>
      <name val="Calibri"/>
      <family val="2"/>
    </font>
    <font>
      <b/>
      <i/>
      <sz val="11"/>
      <color indexed="8"/>
      <name val="Calibri"/>
      <family val="2"/>
    </font>
    <font>
      <b/>
      <sz val="9"/>
      <color indexed="9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1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16"/>
      <name val="Calibri"/>
      <family val="2"/>
    </font>
    <font>
      <i/>
      <sz val="10"/>
      <color indexed="10"/>
      <name val="Calibri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u val="single"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3"/>
      <name val="Calibri"/>
      <family val="2"/>
    </font>
    <font>
      <b/>
      <sz val="8"/>
      <color theme="1"/>
      <name val="Calibri"/>
      <family val="2"/>
    </font>
    <font>
      <i/>
      <sz val="10"/>
      <color theme="3" tint="-0.24997000396251678"/>
      <name val="Calibri"/>
      <family val="2"/>
    </font>
    <font>
      <b/>
      <i/>
      <sz val="11"/>
      <color theme="3"/>
      <name val="Calibri"/>
      <family val="2"/>
    </font>
    <font>
      <b/>
      <sz val="9"/>
      <color theme="0"/>
      <name val="Arial"/>
      <family val="2"/>
    </font>
    <font>
      <b/>
      <i/>
      <sz val="11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3"/>
      <name val="Arial"/>
      <family val="2"/>
    </font>
    <font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Arial"/>
      <family val="2"/>
    </font>
    <font>
      <i/>
      <sz val="10"/>
      <color rgb="FFFF0000"/>
      <name val="Calibri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56"/>
      </right>
      <top/>
      <bottom/>
    </border>
    <border>
      <left style="thin">
        <color indexed="56"/>
      </left>
      <right/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hair">
        <color indexed="23"/>
      </top>
      <bottom style="hair">
        <color indexed="2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/>
      <top style="thin">
        <color theme="3"/>
      </top>
      <bottom style="medium">
        <color theme="3"/>
      </bottom>
    </border>
    <border>
      <left/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 style="thin">
        <color theme="0"/>
      </left>
      <right/>
      <top/>
      <bottom style="thin">
        <color theme="3"/>
      </bottom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/>
      <top style="thin">
        <color indexed="56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theme="3"/>
      </bottom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 style="thin"/>
      <right/>
      <top style="thin"/>
      <bottom style="thin"/>
    </border>
    <border>
      <left/>
      <right style="thin">
        <color indexed="56"/>
      </right>
      <top style="thin"/>
      <bottom/>
    </border>
    <border>
      <left/>
      <right style="thin">
        <color indexed="56"/>
      </right>
      <top/>
      <bottom style="thin"/>
    </border>
    <border>
      <left style="thin">
        <color indexed="56"/>
      </left>
      <right style="thin">
        <color indexed="56"/>
      </right>
      <top style="thin"/>
      <bottom style="thin">
        <color indexed="56"/>
      </bottom>
    </border>
    <border>
      <left style="thin">
        <color indexed="56"/>
      </left>
      <right style="thin"/>
      <top style="thin"/>
      <bottom style="thin">
        <color indexed="56"/>
      </bottom>
    </border>
    <border>
      <left style="thin"/>
      <right style="thin">
        <color indexed="56"/>
      </right>
      <top style="thin"/>
      <bottom style="thin">
        <color indexed="56"/>
      </bottom>
    </border>
    <border>
      <left style="thin"/>
      <right style="thin">
        <color indexed="56"/>
      </right>
      <top style="thin">
        <color indexed="56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0" fontId="70" fillId="0" borderId="0" xfId="0" applyFont="1" applyBorder="1" applyAlignment="1" applyProtection="1">
      <alignment/>
      <protection/>
    </xf>
    <xf numFmtId="165" fontId="70" fillId="0" borderId="0" xfId="0" applyNumberFormat="1" applyFont="1" applyBorder="1" applyAlignment="1" applyProtection="1">
      <alignment/>
      <protection/>
    </xf>
    <xf numFmtId="10" fontId="70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9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165" fontId="72" fillId="0" borderId="0" xfId="0" applyNumberFormat="1" applyFont="1" applyBorder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center" vertical="center"/>
      <protection/>
    </xf>
    <xf numFmtId="165" fontId="55" fillId="33" borderId="0" xfId="0" applyNumberFormat="1" applyFont="1" applyFill="1" applyAlignment="1" applyProtection="1">
      <alignment/>
      <protection/>
    </xf>
    <xf numFmtId="10" fontId="55" fillId="33" borderId="0" xfId="0" applyNumberFormat="1" applyFont="1" applyFill="1" applyAlignment="1" applyProtection="1">
      <alignment/>
      <protection/>
    </xf>
    <xf numFmtId="0" fontId="74" fillId="33" borderId="12" xfId="0" applyFont="1" applyFill="1" applyBorder="1" applyAlignment="1" applyProtection="1">
      <alignment horizontal="center" vertical="center"/>
      <protection/>
    </xf>
    <xf numFmtId="167" fontId="2" fillId="2" borderId="12" xfId="46" applyNumberFormat="1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165" fontId="2" fillId="2" borderId="12" xfId="46" applyNumberFormat="1" applyFont="1" applyFill="1" applyBorder="1" applyAlignment="1" applyProtection="1">
      <alignment horizontal="center" vertical="center" wrapText="1"/>
      <protection/>
    </xf>
    <xf numFmtId="165" fontId="2" fillId="2" borderId="12" xfId="46" applyNumberFormat="1" applyFont="1" applyFill="1" applyBorder="1" applyAlignment="1" applyProtection="1">
      <alignment horizontal="center" vertical="center"/>
      <protection/>
    </xf>
    <xf numFmtId="170" fontId="2" fillId="2" borderId="12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70" fillId="34" borderId="12" xfId="0" applyFont="1" applyFill="1" applyBorder="1" applyAlignment="1" applyProtection="1">
      <alignment vertical="center"/>
      <protection/>
    </xf>
    <xf numFmtId="2" fontId="72" fillId="0" borderId="13" xfId="0" applyNumberFormat="1" applyFont="1" applyFill="1" applyBorder="1" applyAlignment="1" applyProtection="1">
      <alignment vertical="center"/>
      <protection/>
    </xf>
    <xf numFmtId="0" fontId="70" fillId="0" borderId="14" xfId="0" applyFont="1" applyFill="1" applyBorder="1" applyAlignment="1" applyProtection="1">
      <alignment horizontal="left" vertical="center"/>
      <protection/>
    </xf>
    <xf numFmtId="164" fontId="70" fillId="0" borderId="12" xfId="0" applyNumberFormat="1" applyFont="1" applyFill="1" applyBorder="1" applyAlignment="1" applyProtection="1">
      <alignment vertical="center"/>
      <protection/>
    </xf>
    <xf numFmtId="10" fontId="72" fillId="0" borderId="12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73" fillId="14" borderId="16" xfId="0" applyFont="1" applyFill="1" applyBorder="1" applyAlignment="1" applyProtection="1">
      <alignment horizontal="right" vertical="center"/>
      <protection/>
    </xf>
    <xf numFmtId="2" fontId="73" fillId="14" borderId="17" xfId="0" applyNumberFormat="1" applyFont="1" applyFill="1" applyBorder="1" applyAlignment="1" applyProtection="1">
      <alignment vertical="center"/>
      <protection/>
    </xf>
    <xf numFmtId="0" fontId="73" fillId="14" borderId="18" xfId="0" applyFont="1" applyFill="1" applyBorder="1" applyAlignment="1" applyProtection="1">
      <alignment horizontal="left" vertical="center"/>
      <protection/>
    </xf>
    <xf numFmtId="0" fontId="73" fillId="14" borderId="17" xfId="0" applyFont="1" applyFill="1" applyBorder="1" applyAlignment="1" applyProtection="1">
      <alignment vertical="center"/>
      <protection/>
    </xf>
    <xf numFmtId="165" fontId="73" fillId="14" borderId="18" xfId="0" applyNumberFormat="1" applyFont="1" applyFill="1" applyBorder="1" applyAlignment="1" applyProtection="1">
      <alignment vertical="center"/>
      <protection/>
    </xf>
    <xf numFmtId="10" fontId="75" fillId="14" borderId="16" xfId="0" applyNumberFormat="1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74" fillId="33" borderId="19" xfId="0" applyFont="1" applyFill="1" applyBorder="1" applyAlignment="1" applyProtection="1">
      <alignment horizontal="center" vertical="center"/>
      <protection/>
    </xf>
    <xf numFmtId="167" fontId="2" fillId="2" borderId="19" xfId="46" applyNumberFormat="1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165" fontId="2" fillId="2" borderId="19" xfId="46" applyNumberFormat="1" applyFont="1" applyFill="1" applyBorder="1" applyAlignment="1" applyProtection="1">
      <alignment horizontal="center" vertical="center" wrapText="1"/>
      <protection/>
    </xf>
    <xf numFmtId="165" fontId="2" fillId="2" borderId="19" xfId="46" applyNumberFormat="1" applyFont="1" applyFill="1" applyBorder="1" applyAlignment="1" applyProtection="1">
      <alignment horizontal="center" vertical="center"/>
      <protection/>
    </xf>
    <xf numFmtId="170" fontId="2" fillId="2" borderId="19" xfId="46" applyNumberFormat="1" applyFont="1" applyFill="1" applyBorder="1" applyAlignment="1" applyProtection="1">
      <alignment horizontal="center" vertical="center" wrapText="1"/>
      <protection/>
    </xf>
    <xf numFmtId="164" fontId="70" fillId="0" borderId="12" xfId="0" applyNumberFormat="1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2" fontId="70" fillId="0" borderId="13" xfId="0" applyNumberFormat="1" applyFont="1" applyFill="1" applyBorder="1" applyAlignment="1" applyProtection="1">
      <alignment vertical="center"/>
      <protection/>
    </xf>
    <xf numFmtId="0" fontId="70" fillId="0" borderId="14" xfId="0" applyFont="1" applyBorder="1" applyAlignment="1" applyProtection="1">
      <alignment horizontal="left" vertical="center"/>
      <protection/>
    </xf>
    <xf numFmtId="0" fontId="73" fillId="14" borderId="13" xfId="0" applyFont="1" applyFill="1" applyBorder="1" applyAlignment="1" applyProtection="1">
      <alignment horizontal="right" vertical="center"/>
      <protection/>
    </xf>
    <xf numFmtId="2" fontId="73" fillId="14" borderId="20" xfId="0" applyNumberFormat="1" applyFont="1" applyFill="1" applyBorder="1" applyAlignment="1" applyProtection="1">
      <alignment vertical="center"/>
      <protection/>
    </xf>
    <xf numFmtId="0" fontId="73" fillId="14" borderId="20" xfId="0" applyFont="1" applyFill="1" applyBorder="1" applyAlignment="1" applyProtection="1">
      <alignment horizontal="center" vertical="center"/>
      <protection/>
    </xf>
    <xf numFmtId="0" fontId="73" fillId="14" borderId="13" xfId="0" applyFont="1" applyFill="1" applyBorder="1" applyAlignment="1" applyProtection="1">
      <alignment vertical="center"/>
      <protection/>
    </xf>
    <xf numFmtId="165" fontId="73" fillId="14" borderId="14" xfId="0" applyNumberFormat="1" applyFont="1" applyFill="1" applyBorder="1" applyAlignment="1" applyProtection="1">
      <alignment vertical="center"/>
      <protection/>
    </xf>
    <xf numFmtId="10" fontId="75" fillId="14" borderId="12" xfId="0" applyNumberFormat="1" applyFont="1" applyFill="1" applyBorder="1" applyAlignment="1" applyProtection="1">
      <alignment vertical="center"/>
      <protection/>
    </xf>
    <xf numFmtId="165" fontId="74" fillId="33" borderId="21" xfId="0" applyNumberFormat="1" applyFont="1" applyFill="1" applyBorder="1" applyAlignment="1" applyProtection="1">
      <alignment vertical="center"/>
      <protection/>
    </xf>
    <xf numFmtId="10" fontId="74" fillId="33" borderId="22" xfId="0" applyNumberFormat="1" applyFont="1" applyFill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164" fontId="74" fillId="33" borderId="21" xfId="0" applyNumberFormat="1" applyFont="1" applyFill="1" applyBorder="1" applyAlignment="1" applyProtection="1">
      <alignment vertical="center"/>
      <protection/>
    </xf>
    <xf numFmtId="164" fontId="78" fillId="0" borderId="12" xfId="0" applyNumberFormat="1" applyFont="1" applyFill="1" applyBorder="1" applyAlignment="1" applyProtection="1">
      <alignment vertical="center"/>
      <protection/>
    </xf>
    <xf numFmtId="179" fontId="79" fillId="0" borderId="12" xfId="0" applyNumberFormat="1" applyFont="1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vertical="center"/>
      <protection/>
    </xf>
    <xf numFmtId="0" fontId="79" fillId="2" borderId="24" xfId="0" applyFont="1" applyFill="1" applyBorder="1" applyAlignment="1" applyProtection="1">
      <alignment vertical="center"/>
      <protection/>
    </xf>
    <xf numFmtId="0" fontId="0" fillId="2" borderId="25" xfId="0" applyFill="1" applyBorder="1" applyAlignment="1" applyProtection="1">
      <alignment vertical="center"/>
      <protection/>
    </xf>
    <xf numFmtId="176" fontId="57" fillId="2" borderId="12" xfId="0" applyNumberFormat="1" applyFont="1" applyFill="1" applyBorder="1" applyAlignment="1" applyProtection="1">
      <alignment vertical="center"/>
      <protection/>
    </xf>
    <xf numFmtId="0" fontId="57" fillId="2" borderId="25" xfId="0" applyFont="1" applyFill="1" applyBorder="1" applyAlignment="1" applyProtection="1">
      <alignment horizontal="center" vertical="center"/>
      <protection/>
    </xf>
    <xf numFmtId="177" fontId="79" fillId="0" borderId="12" xfId="0" applyNumberFormat="1" applyFont="1" applyFill="1" applyBorder="1" applyAlignment="1" applyProtection="1">
      <alignment vertical="center"/>
      <protection/>
    </xf>
    <xf numFmtId="0" fontId="0" fillId="2" borderId="26" xfId="0" applyFill="1" applyBorder="1" applyAlignment="1" applyProtection="1">
      <alignment vertical="center"/>
      <protection/>
    </xf>
    <xf numFmtId="1" fontId="74" fillId="33" borderId="0" xfId="0" applyNumberFormat="1" applyFont="1" applyFill="1" applyAlignment="1" applyProtection="1">
      <alignment vertical="center"/>
      <protection/>
    </xf>
    <xf numFmtId="181" fontId="70" fillId="0" borderId="0" xfId="0" applyNumberFormat="1" applyFont="1" applyBorder="1" applyAlignment="1" applyProtection="1">
      <alignment/>
      <protection/>
    </xf>
    <xf numFmtId="165" fontId="73" fillId="0" borderId="0" xfId="0" applyNumberFormat="1" applyFont="1" applyAlignment="1" applyProtection="1">
      <alignment/>
      <protection/>
    </xf>
    <xf numFmtId="0" fontId="7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5" fontId="0" fillId="6" borderId="27" xfId="0" applyNumberFormat="1" applyFill="1" applyBorder="1" applyAlignment="1" applyProtection="1">
      <alignment/>
      <protection/>
    </xf>
    <xf numFmtId="10" fontId="0" fillId="6" borderId="28" xfId="0" applyNumberFormat="1" applyFill="1" applyBorder="1" applyAlignment="1" applyProtection="1">
      <alignment/>
      <protection/>
    </xf>
    <xf numFmtId="165" fontId="2" fillId="4" borderId="29" xfId="46" applyNumberFormat="1" applyFont="1" applyFill="1" applyBorder="1" applyAlignment="1" applyProtection="1">
      <alignment horizontal="center" vertical="center"/>
      <protection/>
    </xf>
    <xf numFmtId="165" fontId="2" fillId="4" borderId="29" xfId="0" applyNumberFormat="1" applyFont="1" applyFill="1" applyBorder="1" applyAlignment="1" applyProtection="1">
      <alignment horizontal="center" vertical="center" wrapText="1"/>
      <protection/>
    </xf>
    <xf numFmtId="170" fontId="2" fillId="4" borderId="30" xfId="46" applyNumberFormat="1" applyFont="1" applyFill="1" applyBorder="1" applyAlignment="1" applyProtection="1">
      <alignment horizontal="center" vertical="center" wrapText="1"/>
      <protection/>
    </xf>
    <xf numFmtId="165" fontId="73" fillId="6" borderId="27" xfId="0" applyNumberFormat="1" applyFont="1" applyFill="1" applyBorder="1" applyAlignment="1" applyProtection="1">
      <alignment/>
      <protection/>
    </xf>
    <xf numFmtId="10" fontId="73" fillId="6" borderId="28" xfId="0" applyNumberFormat="1" applyFont="1" applyFill="1" applyBorder="1" applyAlignment="1" applyProtection="1">
      <alignment/>
      <protection/>
    </xf>
    <xf numFmtId="165" fontId="55" fillId="33" borderId="27" xfId="0" applyNumberFormat="1" applyFont="1" applyFill="1" applyBorder="1" applyAlignment="1" applyProtection="1">
      <alignment/>
      <protection/>
    </xf>
    <xf numFmtId="10" fontId="55" fillId="33" borderId="28" xfId="0" applyNumberFormat="1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0" fontId="72" fillId="0" borderId="32" xfId="0" applyNumberFormat="1" applyFont="1" applyBorder="1" applyAlignment="1" applyProtection="1">
      <alignment/>
      <protection/>
    </xf>
    <xf numFmtId="0" fontId="80" fillId="0" borderId="33" xfId="0" applyFont="1" applyBorder="1" applyAlignment="1" applyProtection="1">
      <alignment/>
      <protection/>
    </xf>
    <xf numFmtId="0" fontId="72" fillId="0" borderId="34" xfId="0" applyFont="1" applyBorder="1" applyAlignment="1" applyProtection="1">
      <alignment/>
      <protection/>
    </xf>
    <xf numFmtId="0" fontId="72" fillId="0" borderId="34" xfId="0" applyFont="1" applyBorder="1" applyAlignment="1" applyProtection="1">
      <alignment horizontal="center"/>
      <protection locked="0"/>
    </xf>
    <xf numFmtId="165" fontId="72" fillId="0" borderId="34" xfId="0" applyNumberFormat="1" applyFont="1" applyBorder="1" applyAlignment="1" applyProtection="1">
      <alignment/>
      <protection/>
    </xf>
    <xf numFmtId="10" fontId="72" fillId="0" borderId="35" xfId="0" applyNumberFormat="1" applyFont="1" applyBorder="1" applyAlignment="1" applyProtection="1">
      <alignment/>
      <protection/>
    </xf>
    <xf numFmtId="0" fontId="70" fillId="0" borderId="36" xfId="0" applyFont="1" applyBorder="1" applyAlignment="1" applyProtection="1">
      <alignment/>
      <protection/>
    </xf>
    <xf numFmtId="0" fontId="70" fillId="0" borderId="37" xfId="0" applyFont="1" applyBorder="1" applyAlignment="1" applyProtection="1">
      <alignment/>
      <protection/>
    </xf>
    <xf numFmtId="0" fontId="72" fillId="0" borderId="37" xfId="0" applyFont="1" applyBorder="1" applyAlignment="1" applyProtection="1">
      <alignment horizontal="center"/>
      <protection locked="0"/>
    </xf>
    <xf numFmtId="165" fontId="70" fillId="0" borderId="37" xfId="0" applyNumberFormat="1" applyFont="1" applyBorder="1" applyAlignment="1" applyProtection="1">
      <alignment/>
      <protection/>
    </xf>
    <xf numFmtId="10" fontId="72" fillId="0" borderId="38" xfId="0" applyNumberFormat="1" applyFont="1" applyBorder="1" applyAlignment="1" applyProtection="1">
      <alignment/>
      <protection/>
    </xf>
    <xf numFmtId="0" fontId="70" fillId="0" borderId="31" xfId="0" applyFont="1" applyBorder="1" applyAlignment="1" applyProtection="1">
      <alignment/>
      <protection/>
    </xf>
    <xf numFmtId="0" fontId="70" fillId="0" borderId="33" xfId="0" applyFont="1" applyBorder="1" applyAlignment="1" applyProtection="1">
      <alignment/>
      <protection/>
    </xf>
    <xf numFmtId="0" fontId="70" fillId="0" borderId="34" xfId="0" applyFont="1" applyBorder="1" applyAlignment="1" applyProtection="1">
      <alignment/>
      <protection/>
    </xf>
    <xf numFmtId="165" fontId="70" fillId="0" borderId="34" xfId="0" applyNumberFormat="1" applyFont="1" applyBorder="1" applyAlignment="1" applyProtection="1">
      <alignment/>
      <protection/>
    </xf>
    <xf numFmtId="165" fontId="2" fillId="4" borderId="39" xfId="46" applyNumberFormat="1" applyFont="1" applyFill="1" applyBorder="1" applyAlignment="1" applyProtection="1">
      <alignment horizontal="center" vertical="center"/>
      <protection/>
    </xf>
    <xf numFmtId="165" fontId="2" fillId="4" borderId="39" xfId="0" applyNumberFormat="1" applyFont="1" applyFill="1" applyBorder="1" applyAlignment="1" applyProtection="1">
      <alignment horizontal="center" vertical="center" wrapText="1"/>
      <protection/>
    </xf>
    <xf numFmtId="170" fontId="2" fillId="4" borderId="39" xfId="46" applyNumberFormat="1" applyFont="1" applyFill="1" applyBorder="1" applyAlignment="1" applyProtection="1">
      <alignment horizontal="center" vertical="center" wrapText="1"/>
      <protection/>
    </xf>
    <xf numFmtId="165" fontId="2" fillId="4" borderId="40" xfId="46" applyNumberFormat="1" applyFont="1" applyFill="1" applyBorder="1" applyAlignment="1" applyProtection="1">
      <alignment horizontal="center" vertical="center"/>
      <protection/>
    </xf>
    <xf numFmtId="165" fontId="2" fillId="4" borderId="40" xfId="0" applyNumberFormat="1" applyFont="1" applyFill="1" applyBorder="1" applyAlignment="1" applyProtection="1">
      <alignment horizontal="center" vertical="center" wrapText="1"/>
      <protection/>
    </xf>
    <xf numFmtId="170" fontId="2" fillId="4" borderId="40" xfId="46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81" fontId="70" fillId="0" borderId="3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7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8" fillId="35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41" fillId="35" borderId="0" xfId="0" applyFont="1" applyFill="1" applyBorder="1" applyAlignment="1" applyProtection="1">
      <alignment/>
      <protection/>
    </xf>
    <xf numFmtId="0" fontId="41" fillId="35" borderId="37" xfId="0" applyFont="1" applyFill="1" applyBorder="1" applyAlignment="1" applyProtection="1">
      <alignment/>
      <protection/>
    </xf>
    <xf numFmtId="0" fontId="64" fillId="35" borderId="37" xfId="0" applyFont="1" applyFill="1" applyBorder="1" applyAlignment="1" applyProtection="1">
      <alignment/>
      <protection locked="0"/>
    </xf>
    <xf numFmtId="0" fontId="41" fillId="35" borderId="0" xfId="0" applyFont="1" applyFill="1" applyBorder="1" applyAlignment="1" applyProtection="1">
      <alignment/>
      <protection/>
    </xf>
    <xf numFmtId="3" fontId="64" fillId="35" borderId="0" xfId="0" applyNumberFormat="1" applyFont="1" applyFill="1" applyBorder="1" applyAlignment="1" applyProtection="1">
      <alignment/>
      <protection locked="0"/>
    </xf>
    <xf numFmtId="10" fontId="64" fillId="35" borderId="0" xfId="0" applyNumberFormat="1" applyFont="1" applyFill="1" applyBorder="1" applyAlignment="1" applyProtection="1">
      <alignment/>
      <protection locked="0"/>
    </xf>
    <xf numFmtId="9" fontId="64" fillId="35" borderId="0" xfId="0" applyNumberFormat="1" applyFont="1" applyFill="1" applyBorder="1" applyAlignment="1" applyProtection="1">
      <alignment/>
      <protection locked="0"/>
    </xf>
    <xf numFmtId="0" fontId="41" fillId="35" borderId="34" xfId="0" applyFont="1" applyFill="1" applyBorder="1" applyAlignment="1" applyProtection="1">
      <alignment/>
      <protection/>
    </xf>
    <xf numFmtId="0" fontId="64" fillId="35" borderId="34" xfId="0" applyFont="1" applyFill="1" applyBorder="1" applyAlignment="1" applyProtection="1">
      <alignment/>
      <protection locked="0"/>
    </xf>
    <xf numFmtId="0" fontId="55" fillId="33" borderId="0" xfId="52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/>
      <protection/>
    </xf>
    <xf numFmtId="0" fontId="55" fillId="33" borderId="0" xfId="52" applyFont="1" applyFill="1" applyBorder="1" applyAlignment="1" applyProtection="1">
      <alignment horizontal="center" vertical="center"/>
      <protection/>
    </xf>
    <xf numFmtId="189" fontId="55" fillId="33" borderId="0" xfId="48" applyFont="1" applyFill="1" applyBorder="1" applyAlignment="1" applyProtection="1">
      <alignment vertical="center"/>
      <protection/>
    </xf>
    <xf numFmtId="190" fontId="55" fillId="33" borderId="0" xfId="48" applyNumberFormat="1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/>
      <protection/>
    </xf>
    <xf numFmtId="191" fontId="55" fillId="33" borderId="0" xfId="48" applyNumberFormat="1" applyFont="1" applyFill="1" applyBorder="1" applyAlignment="1" applyProtection="1">
      <alignment vertical="center"/>
      <protection/>
    </xf>
    <xf numFmtId="9" fontId="55" fillId="33" borderId="0" xfId="48" applyNumberFormat="1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/>
      <protection/>
    </xf>
    <xf numFmtId="0" fontId="6" fillId="0" borderId="0" xfId="52" applyFont="1" applyFill="1" applyAlignment="1" applyProtection="1">
      <alignment/>
      <protection/>
    </xf>
    <xf numFmtId="189" fontId="6" fillId="0" borderId="0" xfId="48" applyFont="1" applyFill="1" applyAlignment="1" applyProtection="1">
      <alignment horizontal="center"/>
      <protection/>
    </xf>
    <xf numFmtId="189" fontId="6" fillId="0" borderId="0" xfId="48" applyFont="1" applyFill="1" applyAlignment="1" applyProtection="1">
      <alignment/>
      <protection/>
    </xf>
    <xf numFmtId="190" fontId="6" fillId="0" borderId="0" xfId="48" applyNumberFormat="1" applyFont="1" applyFill="1" applyAlignment="1" applyProtection="1">
      <alignment horizontal="center"/>
      <protection/>
    </xf>
    <xf numFmtId="190" fontId="6" fillId="0" borderId="0" xfId="48" applyNumberFormat="1" applyFont="1" applyFill="1" applyAlignment="1" applyProtection="1">
      <alignment/>
      <protection/>
    </xf>
    <xf numFmtId="192" fontId="6" fillId="0" borderId="0" xfId="48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1" fillId="35" borderId="33" xfId="0" applyFont="1" applyFill="1" applyBorder="1" applyAlignment="1" applyProtection="1">
      <alignment/>
      <protection/>
    </xf>
    <xf numFmtId="0" fontId="82" fillId="35" borderId="39" xfId="0" applyFont="1" applyFill="1" applyBorder="1" applyAlignment="1" applyProtection="1">
      <alignment horizontal="center" vertical="center"/>
      <protection/>
    </xf>
    <xf numFmtId="176" fontId="82" fillId="35" borderId="39" xfId="0" applyNumberFormat="1" applyFont="1" applyFill="1" applyBorder="1" applyAlignment="1" applyProtection="1">
      <alignment horizontal="center" vertical="center"/>
      <protection/>
    </xf>
    <xf numFmtId="1" fontId="81" fillId="35" borderId="41" xfId="0" applyNumberFormat="1" applyFont="1" applyFill="1" applyBorder="1" applyAlignment="1" applyProtection="1">
      <alignment horizontal="center" vertical="center"/>
      <protection/>
    </xf>
    <xf numFmtId="177" fontId="8" fillId="35" borderId="3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1" fontId="81" fillId="35" borderId="39" xfId="0" applyNumberFormat="1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/>
      <protection/>
    </xf>
    <xf numFmtId="1" fontId="7" fillId="36" borderId="40" xfId="0" applyNumberFormat="1" applyFont="1" applyFill="1" applyBorder="1" applyAlignment="1" applyProtection="1">
      <alignment horizontal="center" vertical="center"/>
      <protection/>
    </xf>
    <xf numFmtId="1" fontId="7" fillId="36" borderId="42" xfId="0" applyNumberFormat="1" applyFont="1" applyFill="1" applyBorder="1" applyAlignment="1" applyProtection="1">
      <alignment horizontal="center" vertical="center"/>
      <protection/>
    </xf>
    <xf numFmtId="176" fontId="7" fillId="35" borderId="28" xfId="0" applyNumberFormat="1" applyFont="1" applyFill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/>
    </xf>
    <xf numFmtId="3" fontId="8" fillId="35" borderId="39" xfId="0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Fill="1" applyAlignment="1" applyProtection="1">
      <alignment/>
      <protection/>
    </xf>
    <xf numFmtId="191" fontId="9" fillId="0" borderId="0" xfId="0" applyNumberFormat="1" applyFont="1" applyFill="1" applyAlignment="1" applyProtection="1">
      <alignment/>
      <protection/>
    </xf>
    <xf numFmtId="9" fontId="83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8" fillId="35" borderId="0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65" fontId="84" fillId="0" borderId="0" xfId="0" applyNumberFormat="1" applyFont="1" applyBorder="1" applyAlignment="1" applyProtection="1">
      <alignment/>
      <protection/>
    </xf>
    <xf numFmtId="165" fontId="84" fillId="0" borderId="34" xfId="0" applyNumberFormat="1" applyFont="1" applyBorder="1" applyAlignment="1" applyProtection="1">
      <alignment/>
      <protection/>
    </xf>
    <xf numFmtId="165" fontId="84" fillId="0" borderId="37" xfId="0" applyNumberFormat="1" applyFont="1" applyBorder="1" applyAlignment="1" applyProtection="1">
      <alignment/>
      <protection locked="0"/>
    </xf>
    <xf numFmtId="165" fontId="84" fillId="0" borderId="0" xfId="0" applyNumberFormat="1" applyFont="1" applyBorder="1" applyAlignment="1" applyProtection="1">
      <alignment/>
      <protection locked="0"/>
    </xf>
    <xf numFmtId="165" fontId="84" fillId="0" borderId="34" xfId="0" applyNumberFormat="1" applyFont="1" applyBorder="1" applyAlignment="1" applyProtection="1">
      <alignment/>
      <protection locked="0"/>
    </xf>
    <xf numFmtId="181" fontId="84" fillId="0" borderId="37" xfId="0" applyNumberFormat="1" applyFont="1" applyBorder="1" applyAlignment="1" applyProtection="1">
      <alignment/>
      <protection/>
    </xf>
    <xf numFmtId="1" fontId="57" fillId="2" borderId="12" xfId="0" applyNumberFormat="1" applyFont="1" applyFill="1" applyBorder="1" applyAlignment="1" applyProtection="1">
      <alignment vertical="center"/>
      <protection/>
    </xf>
    <xf numFmtId="0" fontId="79" fillId="2" borderId="0" xfId="0" applyFont="1" applyFill="1" applyBorder="1" applyAlignment="1" applyProtection="1">
      <alignment vertical="center"/>
      <protection/>
    </xf>
    <xf numFmtId="0" fontId="74" fillId="33" borderId="24" xfId="0" applyFont="1" applyFill="1" applyBorder="1" applyAlignment="1" applyProtection="1">
      <alignment vertical="center"/>
      <protection/>
    </xf>
    <xf numFmtId="0" fontId="74" fillId="33" borderId="26" xfId="0" applyFont="1" applyFill="1" applyBorder="1" applyAlignment="1" applyProtection="1">
      <alignment vertical="center"/>
      <protection/>
    </xf>
    <xf numFmtId="0" fontId="74" fillId="33" borderId="43" xfId="0" applyFont="1" applyFill="1" applyBorder="1" applyAlignment="1" applyProtection="1">
      <alignment vertical="center"/>
      <protection/>
    </xf>
    <xf numFmtId="0" fontId="77" fillId="33" borderId="43" xfId="0" applyFont="1" applyFill="1" applyBorder="1" applyAlignment="1" applyProtection="1">
      <alignment vertical="center"/>
      <protection/>
    </xf>
    <xf numFmtId="0" fontId="74" fillId="33" borderId="44" xfId="0" applyFont="1" applyFill="1" applyBorder="1" applyAlignment="1" applyProtection="1">
      <alignment vertical="center"/>
      <protection/>
    </xf>
    <xf numFmtId="0" fontId="74" fillId="33" borderId="45" xfId="0" applyFont="1" applyFill="1" applyBorder="1" applyAlignment="1" applyProtection="1">
      <alignment vertical="center"/>
      <protection/>
    </xf>
    <xf numFmtId="0" fontId="77" fillId="33" borderId="45" xfId="0" applyFont="1" applyFill="1" applyBorder="1" applyAlignment="1" applyProtection="1">
      <alignment vertical="center"/>
      <protection/>
    </xf>
    <xf numFmtId="0" fontId="79" fillId="2" borderId="14" xfId="0" applyFont="1" applyFill="1" applyBorder="1" applyAlignment="1" applyProtection="1">
      <alignment horizontal="center" vertical="center"/>
      <protection/>
    </xf>
    <xf numFmtId="0" fontId="79" fillId="2" borderId="12" xfId="0" applyFont="1" applyFill="1" applyBorder="1" applyAlignment="1" applyProtection="1">
      <alignment horizontal="center" vertical="center"/>
      <protection/>
    </xf>
    <xf numFmtId="0" fontId="74" fillId="33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/>
      <protection/>
    </xf>
    <xf numFmtId="0" fontId="40" fillId="36" borderId="27" xfId="0" applyFont="1" applyFill="1" applyBorder="1" applyAlignment="1" applyProtection="1">
      <alignment horizontal="center"/>
      <protection/>
    </xf>
    <xf numFmtId="0" fontId="7" fillId="36" borderId="46" xfId="0" applyFont="1" applyFill="1" applyBorder="1" applyAlignment="1" applyProtection="1">
      <alignment horizontal="center"/>
      <protection/>
    </xf>
    <xf numFmtId="0" fontId="7" fillId="36" borderId="27" xfId="0" applyFont="1" applyFill="1" applyBorder="1" applyAlignment="1" applyProtection="1">
      <alignment horizontal="center"/>
      <protection/>
    </xf>
    <xf numFmtId="0" fontId="7" fillId="36" borderId="28" xfId="0" applyFont="1" applyFill="1" applyBorder="1" applyAlignment="1" applyProtection="1">
      <alignment horizontal="center"/>
      <protection/>
    </xf>
    <xf numFmtId="0" fontId="82" fillId="36" borderId="36" xfId="0" applyFont="1" applyFill="1" applyBorder="1" applyAlignment="1" applyProtection="1">
      <alignment horizontal="center" vertical="center"/>
      <protection/>
    </xf>
    <xf numFmtId="0" fontId="82" fillId="36" borderId="37" xfId="0" applyFont="1" applyFill="1" applyBorder="1" applyAlignment="1" applyProtection="1">
      <alignment horizontal="center" vertical="center"/>
      <protection/>
    </xf>
    <xf numFmtId="0" fontId="82" fillId="36" borderId="38" xfId="0" applyFont="1" applyFill="1" applyBorder="1" applyAlignment="1" applyProtection="1">
      <alignment horizontal="center" vertical="center"/>
      <protection/>
    </xf>
    <xf numFmtId="0" fontId="82" fillId="36" borderId="33" xfId="0" applyFont="1" applyFill="1" applyBorder="1" applyAlignment="1" applyProtection="1">
      <alignment horizontal="center" vertical="center"/>
      <protection/>
    </xf>
    <xf numFmtId="0" fontId="82" fillId="36" borderId="34" xfId="0" applyFont="1" applyFill="1" applyBorder="1" applyAlignment="1" applyProtection="1">
      <alignment horizontal="center" vertical="center"/>
      <protection/>
    </xf>
    <xf numFmtId="0" fontId="82" fillId="36" borderId="35" xfId="0" applyFont="1" applyFill="1" applyBorder="1" applyAlignment="1" applyProtection="1">
      <alignment horizontal="center" vertical="center"/>
      <protection/>
    </xf>
    <xf numFmtId="0" fontId="82" fillId="35" borderId="46" xfId="0" applyFont="1" applyFill="1" applyBorder="1" applyAlignment="1" applyProtection="1">
      <alignment horizontal="center" vertical="center"/>
      <protection/>
    </xf>
    <xf numFmtId="0" fontId="82" fillId="35" borderId="27" xfId="0" applyFont="1" applyFill="1" applyBorder="1" applyAlignment="1" applyProtection="1">
      <alignment horizontal="center" vertical="center"/>
      <protection/>
    </xf>
    <xf numFmtId="0" fontId="82" fillId="35" borderId="28" xfId="0" applyFont="1" applyFill="1" applyBorder="1" applyAlignment="1" applyProtection="1">
      <alignment horizontal="center" vertical="center"/>
      <protection/>
    </xf>
    <xf numFmtId="0" fontId="7" fillId="36" borderId="46" xfId="0" applyFont="1" applyFill="1" applyBorder="1" applyAlignment="1" applyProtection="1">
      <alignment horizontal="center" vertical="center"/>
      <protection/>
    </xf>
    <xf numFmtId="0" fontId="7" fillId="36" borderId="27" xfId="0" applyFont="1" applyFill="1" applyBorder="1" applyAlignment="1" applyProtection="1">
      <alignment horizontal="center" vertical="center"/>
      <protection/>
    </xf>
    <xf numFmtId="0" fontId="7" fillId="36" borderId="28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/>
      <protection/>
    </xf>
    <xf numFmtId="0" fontId="41" fillId="0" borderId="0" xfId="0" applyFont="1" applyFill="1" applyAlignment="1" applyProtection="1">
      <alignment horizontal="center"/>
      <protection/>
    </xf>
    <xf numFmtId="0" fontId="70" fillId="0" borderId="0" xfId="0" applyFont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3" fillId="6" borderId="46" xfId="0" applyFont="1" applyFill="1" applyBorder="1" applyAlignment="1" applyProtection="1">
      <alignment/>
      <protection/>
    </xf>
    <xf numFmtId="0" fontId="73" fillId="6" borderId="27" xfId="0" applyFont="1" applyFill="1" applyBorder="1" applyAlignment="1" applyProtection="1">
      <alignment/>
      <protection/>
    </xf>
    <xf numFmtId="0" fontId="55" fillId="33" borderId="46" xfId="0" applyFont="1" applyFill="1" applyBorder="1" applyAlignment="1" applyProtection="1">
      <alignment/>
      <protection/>
    </xf>
    <xf numFmtId="0" fontId="55" fillId="33" borderId="27" xfId="0" applyFont="1" applyFill="1" applyBorder="1" applyAlignment="1" applyProtection="1">
      <alignment/>
      <protection/>
    </xf>
    <xf numFmtId="0" fontId="2" fillId="4" borderId="36" xfId="0" applyFont="1" applyFill="1" applyBorder="1" applyAlignment="1" applyProtection="1">
      <alignment horizontal="center" vertical="center"/>
      <protection/>
    </xf>
    <xf numFmtId="0" fontId="2" fillId="4" borderId="37" xfId="0" applyFont="1" applyFill="1" applyBorder="1" applyAlignment="1" applyProtection="1">
      <alignment horizontal="center" vertical="center"/>
      <protection/>
    </xf>
    <xf numFmtId="0" fontId="0" fillId="4" borderId="47" xfId="0" applyFill="1" applyBorder="1" applyAlignment="1" applyProtection="1">
      <alignment horizontal="center" vertical="center"/>
      <protection/>
    </xf>
    <xf numFmtId="0" fontId="2" fillId="4" borderId="33" xfId="0" applyFont="1" applyFill="1" applyBorder="1" applyAlignment="1" applyProtection="1">
      <alignment horizontal="center" vertical="center"/>
      <protection/>
    </xf>
    <xf numFmtId="0" fontId="2" fillId="4" borderId="34" xfId="0" applyFont="1" applyFill="1" applyBorder="1" applyAlignment="1" applyProtection="1">
      <alignment horizontal="center" vertical="center"/>
      <protection/>
    </xf>
    <xf numFmtId="0" fontId="0" fillId="4" borderId="48" xfId="0" applyFill="1" applyBorder="1" applyAlignment="1" applyProtection="1">
      <alignment horizontal="center" vertical="center"/>
      <protection/>
    </xf>
    <xf numFmtId="167" fontId="2" fillId="4" borderId="49" xfId="46" applyNumberFormat="1" applyFont="1" applyFill="1" applyBorder="1" applyAlignment="1" applyProtection="1">
      <alignment horizontal="center" vertical="center"/>
      <protection/>
    </xf>
    <xf numFmtId="167" fontId="2" fillId="4" borderId="29" xfId="46" applyNumberFormat="1" applyFont="1" applyFill="1" applyBorder="1" applyAlignment="1" applyProtection="1">
      <alignment horizontal="center" vertical="center"/>
      <protection/>
    </xf>
    <xf numFmtId="0" fontId="0" fillId="4" borderId="29" xfId="0" applyFill="1" applyBorder="1" applyAlignment="1" applyProtection="1">
      <alignment vertical="center"/>
      <protection/>
    </xf>
    <xf numFmtId="168" fontId="2" fillId="4" borderId="49" xfId="46" applyNumberFormat="1" applyFont="1" applyFill="1" applyBorder="1" applyAlignment="1" applyProtection="1">
      <alignment horizontal="center" vertical="center" wrapText="1"/>
      <protection/>
    </xf>
    <xf numFmtId="168" fontId="2" fillId="4" borderId="50" xfId="46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 applyProtection="1">
      <alignment/>
      <protection/>
    </xf>
    <xf numFmtId="0" fontId="70" fillId="0" borderId="34" xfId="0" applyFont="1" applyBorder="1" applyAlignment="1" applyProtection="1">
      <alignment/>
      <protection/>
    </xf>
    <xf numFmtId="0" fontId="2" fillId="4" borderId="51" xfId="0" applyFont="1" applyFill="1" applyBorder="1" applyAlignment="1" applyProtection="1">
      <alignment horizontal="center" vertical="center"/>
      <protection/>
    </xf>
    <xf numFmtId="0" fontId="2" fillId="4" borderId="49" xfId="0" applyFont="1" applyFill="1" applyBorder="1" applyAlignment="1" applyProtection="1">
      <alignment horizontal="center" vertical="center"/>
      <protection/>
    </xf>
    <xf numFmtId="0" fontId="2" fillId="4" borderId="52" xfId="0" applyFont="1" applyFill="1" applyBorder="1" applyAlignment="1" applyProtection="1">
      <alignment horizontal="center" vertical="center"/>
      <protection/>
    </xf>
    <xf numFmtId="0" fontId="2" fillId="4" borderId="29" xfId="0" applyFont="1" applyFill="1" applyBorder="1" applyAlignment="1" applyProtection="1">
      <alignment horizontal="center" vertical="center"/>
      <protection/>
    </xf>
    <xf numFmtId="0" fontId="85" fillId="0" borderId="31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72" fillId="0" borderId="34" xfId="0" applyFont="1" applyBorder="1" applyAlignment="1" applyProtection="1">
      <alignment/>
      <protection/>
    </xf>
    <xf numFmtId="0" fontId="85" fillId="0" borderId="36" xfId="0" applyFont="1" applyBorder="1" applyAlignment="1" applyProtection="1">
      <alignment/>
      <protection/>
    </xf>
    <xf numFmtId="0" fontId="85" fillId="0" borderId="37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85" fillId="6" borderId="46" xfId="0" applyFont="1" applyFill="1" applyBorder="1" applyAlignment="1" applyProtection="1">
      <alignment/>
      <protection/>
    </xf>
    <xf numFmtId="0" fontId="85" fillId="6" borderId="27" xfId="0" applyFont="1" applyFill="1" applyBorder="1" applyAlignment="1" applyProtection="1">
      <alignment/>
      <protection/>
    </xf>
    <xf numFmtId="0" fontId="70" fillId="0" borderId="37" xfId="0" applyFont="1" applyBorder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2" fillId="4" borderId="39" xfId="0" applyFont="1" applyFill="1" applyBorder="1" applyAlignment="1" applyProtection="1">
      <alignment horizontal="center" vertical="center"/>
      <protection/>
    </xf>
    <xf numFmtId="0" fontId="0" fillId="4" borderId="39" xfId="0" applyFill="1" applyBorder="1" applyAlignment="1" applyProtection="1">
      <alignment horizontal="center" vertical="center"/>
      <protection/>
    </xf>
    <xf numFmtId="167" fontId="2" fillId="4" borderId="39" xfId="46" applyNumberFormat="1" applyFont="1" applyFill="1" applyBorder="1" applyAlignment="1" applyProtection="1">
      <alignment horizontal="center" vertical="center"/>
      <protection/>
    </xf>
    <xf numFmtId="168" fontId="2" fillId="4" borderId="39" xfId="46" applyNumberFormat="1" applyFont="1" applyFill="1" applyBorder="1" applyAlignment="1" applyProtection="1">
      <alignment horizontal="center" vertical="center" wrapText="1"/>
      <protection/>
    </xf>
    <xf numFmtId="0" fontId="0" fillId="4" borderId="39" xfId="0" applyFill="1" applyBorder="1" applyAlignment="1" applyProtection="1">
      <alignment vertical="center"/>
      <protection/>
    </xf>
    <xf numFmtId="167" fontId="2" fillId="4" borderId="40" xfId="46" applyNumberFormat="1" applyFont="1" applyFill="1" applyBorder="1" applyAlignment="1" applyProtection="1">
      <alignment horizontal="center" vertical="center"/>
      <protection/>
    </xf>
    <xf numFmtId="0" fontId="0" fillId="4" borderId="40" xfId="0" applyFill="1" applyBorder="1" applyAlignment="1" applyProtection="1">
      <alignment vertical="center"/>
      <protection/>
    </xf>
    <xf numFmtId="0" fontId="75" fillId="6" borderId="46" xfId="0" applyFont="1" applyFill="1" applyBorder="1" applyAlignment="1" applyProtection="1">
      <alignment/>
      <protection/>
    </xf>
    <xf numFmtId="0" fontId="75" fillId="6" borderId="27" xfId="0" applyFont="1" applyFill="1" applyBorder="1" applyAlignment="1" applyProtection="1">
      <alignment/>
      <protection/>
    </xf>
    <xf numFmtId="0" fontId="2" fillId="4" borderId="4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28575</xdr:rowOff>
    </xdr:from>
    <xdr:ext cx="9315450" cy="7505700"/>
    <xdr:sp>
      <xdr:nvSpPr>
        <xdr:cNvPr id="1" name="1 CuadroTexto"/>
        <xdr:cNvSpPr txBox="1">
          <a:spLocks noChangeArrowheads="1"/>
        </xdr:cNvSpPr>
      </xdr:nvSpPr>
      <xdr:spPr>
        <a:xfrm>
          <a:off x="762000" y="28575"/>
          <a:ext cx="9315450" cy="7505700"/>
        </a:xfrm>
        <a:prstGeom prst="rect">
          <a:avLst/>
        </a:prstGeom>
        <a:solidFill>
          <a:srgbClr val="1F497D"/>
        </a:solidFill>
        <a:ln w="9528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                               ¿COMO USAR LA PLANILLA  E  INTERPRETAR LOS RESULTADOS?
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1. Esta programa permite simular los costos, ingresos y márgenes de rentabilidad según los valores que reflejen mejor su propia realidad. Para ello, es posible modificar cualquiera de los datos que aparecen en color 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ROJO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, los que inicialmente toman el valor de referencia entregado por ODEPA en su página web.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2. Las variables posibles de modificar se clasifican en: 1. Generales  (modificables en la tabla "Parámetros Generales")  y 2. Específicas  (modificables en la misma planilla de costos).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3. Para cada tipologia de cultivo se entregan resultados para distintos escenarios de productividad y precio. Estos se deben interpretar de la siguiente forma : 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 el </a:t>
          </a:r>
          <a:r>
            <a:rPr lang="en-US" cap="none" sz="1400" b="0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ejemplo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de más abajo (ver celdas en  color 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VERDE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 para una productividad de 60 qqm/ha y un precio de $15.000/qqm, el margen neto es de $252.362. Y, en la segunda tabla, para el precio de $15.000 qqm/ha el punto de equilibrio es de 43 qqm/ha, esto quiere decir que si se considera un precio de $15.000 qqm/ha, la productividad mìnima necesaria para cubrir los costos es de 43 qqm/ha. 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                            Ejemplo : 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4. Supuesto para el precio de venta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: En las planillas se entrega como referencia el precio de  las semanas previas a la publicación. Fuente:</a:t>
          </a:r>
        </a:p>
      </xdr:txBody>
    </xdr:sp>
    <xdr:clientData/>
  </xdr:oneCellAnchor>
  <xdr:twoCellAnchor editAs="oneCell">
    <xdr:from>
      <xdr:col>3</xdr:col>
      <xdr:colOff>514350</xdr:colOff>
      <xdr:row>20</xdr:row>
      <xdr:rowOff>161925</xdr:rowOff>
    </xdr:from>
    <xdr:to>
      <xdr:col>10</xdr:col>
      <xdr:colOff>581025</xdr:colOff>
      <xdr:row>34</xdr:row>
      <xdr:rowOff>161925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71925"/>
          <a:ext cx="54006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r\Documentos\Costos%20de%20produccion\CALCULO\Costos%20de%20producci&#243;n%20de%20Arro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res"/>
      <sheetName val="Insumos"/>
      <sheetName val="Sensibiliza"/>
      <sheetName val="Otros"/>
      <sheetName val="Pequeño"/>
      <sheetName val="Media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M42"/>
  <sheetViews>
    <sheetView zoomScalePageLayoutView="0" workbookViewId="0" topLeftCell="A34">
      <selection activeCell="C48" sqref="C48"/>
    </sheetView>
  </sheetViews>
  <sheetFormatPr defaultColWidth="11.421875" defaultRowHeight="15"/>
  <cols>
    <col min="1" max="1" width="36.28125" style="9" customWidth="1"/>
    <col min="2" max="3" width="9.28125" style="9" customWidth="1"/>
    <col min="4" max="6" width="14.421875" style="9" customWidth="1"/>
    <col min="7" max="16384" width="11.421875" style="9" customWidth="1"/>
  </cols>
  <sheetData>
    <row r="1" spans="1:6" s="24" customFormat="1" ht="24">
      <c r="A1" s="18" t="s">
        <v>32</v>
      </c>
      <c r="B1" s="19" t="s">
        <v>16</v>
      </c>
      <c r="C1" s="20" t="s">
        <v>1</v>
      </c>
      <c r="D1" s="21" t="s">
        <v>30</v>
      </c>
      <c r="E1" s="22" t="s">
        <v>31</v>
      </c>
      <c r="F1" s="23" t="s">
        <v>19</v>
      </c>
    </row>
    <row r="2" spans="1:13" s="24" customFormat="1" ht="15">
      <c r="A2" s="25" t="s">
        <v>21</v>
      </c>
      <c r="B2" s="26" t="e">
        <f>IF(A2&lt;&gt;"",SUMIF(#REF!,A2,#REF!),"")</f>
        <v>#REF!</v>
      </c>
      <c r="C2" s="27" t="s">
        <v>6</v>
      </c>
      <c r="D2" s="28" t="e">
        <f>#REF!</f>
        <v>#REF!</v>
      </c>
      <c r="E2" s="28">
        <f>_xlfn.IFERROR(B2*$D$2,"")</f>
      </c>
      <c r="F2" s="29">
        <f>_xlfn.IFERROR(E2/($E$20+$E$29),"")</f>
      </c>
      <c r="H2" s="30"/>
      <c r="I2" s="30"/>
      <c r="J2" s="30"/>
      <c r="K2" s="30"/>
      <c r="L2" s="30"/>
      <c r="M2" s="30"/>
    </row>
    <row r="3" spans="1:13" s="24" customFormat="1" ht="15">
      <c r="A3" s="25" t="e">
        <f>IF(#REF!&lt;5,"Cosecha y Acarreo","Riego")</f>
        <v>#REF!</v>
      </c>
      <c r="B3" s="26" t="e">
        <f>IF(A3&lt;&gt;"",SUMIF(#REF!,A3,#REF!),"")</f>
        <v>#REF!</v>
      </c>
      <c r="C3" s="27" t="s">
        <v>6</v>
      </c>
      <c r="D3" s="28" t="e">
        <f>#REF!</f>
        <v>#REF!</v>
      </c>
      <c r="E3" s="28">
        <f>_xlfn.IFERROR(B3*$D$2,"")</f>
      </c>
      <c r="F3" s="29">
        <f>_xlfn.IFERROR(E3/($E$20+$E$29),"")</f>
      </c>
      <c r="H3" s="30"/>
      <c r="I3" s="30"/>
      <c r="J3" s="30"/>
      <c r="K3" s="30"/>
      <c r="L3" s="30"/>
      <c r="M3" s="30"/>
    </row>
    <row r="4" spans="1:13" s="24" customFormat="1" ht="15">
      <c r="A4" s="25" t="e">
        <f>IF(A3="Riego","Cosecha y Acarreo","")</f>
        <v>#REF!</v>
      </c>
      <c r="B4" s="26" t="e">
        <f>IF(A4&lt;&gt;"",SUMIF(#REF!,A4,#REF!),"")</f>
        <v>#REF!</v>
      </c>
      <c r="C4" s="27" t="e">
        <f>IF(A3="Riego","JH","")</f>
        <v>#REF!</v>
      </c>
      <c r="D4" s="28" t="e">
        <f>IF(A3="Riego",#REF!,"")</f>
        <v>#REF!</v>
      </c>
      <c r="E4" s="28">
        <f>_xlfn.IFERROR(B4*$D$2,"")</f>
      </c>
      <c r="F4" s="29">
        <f>_xlfn.IFERROR(E4/($E$20+$E$29),"")</f>
      </c>
      <c r="H4" s="30"/>
      <c r="I4" s="30"/>
      <c r="J4" s="30"/>
      <c r="K4" s="30"/>
      <c r="L4" s="30"/>
      <c r="M4" s="30"/>
    </row>
    <row r="5" spans="1:13" s="37" customFormat="1" ht="17.25" thickBot="1">
      <c r="A5" s="31" t="s">
        <v>41</v>
      </c>
      <c r="B5" s="32" t="e">
        <f>SUM(B2:B4)</f>
        <v>#REF!</v>
      </c>
      <c r="C5" s="33" t="s">
        <v>6</v>
      </c>
      <c r="D5" s="34"/>
      <c r="E5" s="35">
        <f>SUM(E2:E4)</f>
        <v>0</v>
      </c>
      <c r="F5" s="36">
        <f>_xlfn.IFERROR(E5/($E$20+$E$29),"")</f>
      </c>
      <c r="H5" s="38"/>
      <c r="I5" s="38"/>
      <c r="J5" s="38"/>
      <c r="K5" s="38"/>
      <c r="L5" s="38"/>
      <c r="M5" s="38"/>
    </row>
    <row r="6" spans="1:6" ht="24">
      <c r="A6" s="39" t="s">
        <v>34</v>
      </c>
      <c r="B6" s="40" t="s">
        <v>16</v>
      </c>
      <c r="C6" s="41" t="s">
        <v>1</v>
      </c>
      <c r="D6" s="42" t="s">
        <v>30</v>
      </c>
      <c r="E6" s="43" t="s">
        <v>31</v>
      </c>
      <c r="F6" s="44" t="s">
        <v>19</v>
      </c>
    </row>
    <row r="7" spans="1:6" ht="15">
      <c r="A7" s="25" t="s">
        <v>33</v>
      </c>
      <c r="B7" s="26" t="e">
        <f>IF(A7&lt;&gt;"",SUMIF(#REF!,A7,#REF!),"")</f>
        <v>#REF!</v>
      </c>
      <c r="C7" s="27" t="s">
        <v>7</v>
      </c>
      <c r="D7" s="28" t="e">
        <f>#REF!</f>
        <v>#REF!</v>
      </c>
      <c r="E7" s="28">
        <f>_xlfn.IFERROR(B7*D7,"")</f>
      </c>
      <c r="F7" s="29">
        <f aca="true" t="shared" si="0" ref="F7:F20">_xlfn.IFERROR(E7/($E$20+$E$29),"")</f>
      </c>
    </row>
    <row r="8" spans="1:6" ht="15">
      <c r="A8" s="25" t="s">
        <v>4</v>
      </c>
      <c r="B8" s="26" t="e">
        <f>IF(A8&lt;&gt;"",SUMIF(#REF!,A8,#REF!),"")</f>
        <v>#REF!</v>
      </c>
      <c r="C8" s="27" t="s">
        <v>7</v>
      </c>
      <c r="D8" s="28" t="e">
        <f>#REF!</f>
        <v>#REF!</v>
      </c>
      <c r="E8" s="28">
        <f>_xlfn.IFERROR(B8*D8,"")</f>
      </c>
      <c r="F8" s="29">
        <f t="shared" si="0"/>
      </c>
    </row>
    <row r="9" spans="1:6" ht="15">
      <c r="A9" s="25" t="e">
        <f>IF(#REF!="","",IF(#REF!&lt;5,"Cosecha Automotriz","Acarreos Cosechas"))</f>
        <v>#REF!</v>
      </c>
      <c r="B9" s="26" t="e">
        <f>IF(A9&lt;&gt;"",SUMIF(#REF!,A9,#REF!),"")</f>
        <v>#REF!</v>
      </c>
      <c r="C9" s="27" t="s">
        <v>29</v>
      </c>
      <c r="D9" s="28" t="e">
        <f>IF(NFICHA=2,#REF!,#REF!)</f>
        <v>#REF!</v>
      </c>
      <c r="E9" s="28">
        <f>_xlfn.IFERROR(B9*D9,"")</f>
      </c>
      <c r="F9" s="29">
        <f t="shared" si="0"/>
      </c>
    </row>
    <row r="10" spans="1:6" ht="15">
      <c r="A10" s="25" t="e">
        <f>IF(#REF!="","",IF(#REF!&gt;1,"Aplicación Agroquímicos",""))</f>
        <v>#REF!</v>
      </c>
      <c r="B10" s="26" t="e">
        <f>IF(A10&lt;&gt;"",SUMIF(#REF!,A10,#REF!),"")</f>
        <v>#REF!</v>
      </c>
      <c r="C10" s="27" t="e">
        <f>IF(A10&lt;&gt;"",IF(#REF!=2,"JMC","JM"),"")</f>
        <v>#REF!</v>
      </c>
      <c r="D10" s="28" t="e">
        <f>IF(A10&lt;&gt;"",IF(#REF!=2,#REF!,#REF!),"")</f>
        <v>#REF!</v>
      </c>
      <c r="E10" s="28">
        <f>_xlfn.IFERROR(B10*D10,"")</f>
      </c>
      <c r="F10" s="29">
        <f t="shared" si="0"/>
      </c>
    </row>
    <row r="11" spans="1:6" ht="15">
      <c r="A11" s="25" t="e">
        <f>IF(#REF!="","",IF(#REF!=4,"Aplicación Fitosanitarios",""))</f>
        <v>#REF!</v>
      </c>
      <c r="B11" s="26" t="e">
        <f>IF(A11&lt;&gt;"",SUMIF(#REF!,A11,#REF!),"")</f>
        <v>#REF!</v>
      </c>
      <c r="C11" s="27" t="e">
        <f>IF(A11&lt;&gt;"","AA 1/","")</f>
        <v>#REF!</v>
      </c>
      <c r="D11" s="45" t="e">
        <f>IF(A11&lt;&gt;"",#REF!,"")</f>
        <v>#REF!</v>
      </c>
      <c r="E11" s="28">
        <f>_xlfn.IFERROR(B11*D11,"")</f>
      </c>
      <c r="F11" s="29">
        <f t="shared" si="0"/>
      </c>
    </row>
    <row r="12" spans="1:6" s="46" customFormat="1" ht="15.75" thickBot="1">
      <c r="A12" s="31" t="s">
        <v>42</v>
      </c>
      <c r="B12" s="32" t="e">
        <f>SUM(B7:B11)</f>
        <v>#REF!</v>
      </c>
      <c r="C12" s="33" t="s">
        <v>38</v>
      </c>
      <c r="D12" s="34"/>
      <c r="E12" s="35">
        <f>SUM(E7:E11)</f>
        <v>0</v>
      </c>
      <c r="F12" s="36">
        <f t="shared" si="0"/>
      </c>
    </row>
    <row r="13" spans="1:6" ht="24">
      <c r="A13" s="39" t="s">
        <v>39</v>
      </c>
      <c r="B13" s="40" t="s">
        <v>16</v>
      </c>
      <c r="C13" s="41" t="s">
        <v>1</v>
      </c>
      <c r="D13" s="42" t="s">
        <v>30</v>
      </c>
      <c r="E13" s="43" t="s">
        <v>31</v>
      </c>
      <c r="F13" s="44" t="s">
        <v>19</v>
      </c>
    </row>
    <row r="14" spans="1:6" ht="15">
      <c r="A14" s="25" t="s">
        <v>35</v>
      </c>
      <c r="B14" s="47" t="e">
        <f>IF(A14&lt;&gt;"",SUMIF(#REF!,A14,#REF!),"")*(IF(#REF!&lt;5,"1","20"))</f>
        <v>#REF!</v>
      </c>
      <c r="C14" s="48" t="s">
        <v>8</v>
      </c>
      <c r="D14" s="45">
        <f>_xlfn.IFERROR(E14/B14,"")</f>
      </c>
      <c r="E14" s="45" t="e">
        <f>IF(A14&lt;&gt;"",SUMIF(#REF!,A14,#REF!),"")</f>
        <v>#REF!</v>
      </c>
      <c r="F14" s="29">
        <f t="shared" si="0"/>
      </c>
    </row>
    <row r="15" spans="1:6" ht="15">
      <c r="A15" s="25" t="s">
        <v>36</v>
      </c>
      <c r="B15" s="47" t="e">
        <f>IF(A15&lt;&gt;"",SUMIF(#REF!,A15,#REF!),"")</f>
        <v>#REF!</v>
      </c>
      <c r="C15" s="48" t="s">
        <v>8</v>
      </c>
      <c r="D15" s="45">
        <f>_xlfn.IFERROR(E15/B15,"")</f>
      </c>
      <c r="E15" s="45" t="e">
        <f>IF(A15&lt;&gt;"",SUMIF(#REF!,A15,#REF!),"")</f>
        <v>#REF!</v>
      </c>
      <c r="F15" s="29">
        <f t="shared" si="0"/>
      </c>
    </row>
    <row r="16" spans="1:6" ht="15">
      <c r="A16" s="25" t="e">
        <f>IF(#REF!&gt;5,"Pesticidas","Agroquímicos")</f>
        <v>#REF!</v>
      </c>
      <c r="B16" s="47" t="e">
        <f>IF(A16&lt;&gt;"",SUMIF(#REF!,A16,#REF!),"")</f>
        <v>#REF!</v>
      </c>
      <c r="C16" s="48" t="e">
        <f>IF(#REF!&gt;5,"Lt","Kg/Lt")</f>
        <v>#REF!</v>
      </c>
      <c r="D16" s="45">
        <f>_xlfn.IFERROR(E16/B16,"")</f>
      </c>
      <c r="E16" s="45" t="e">
        <f>IF(A16&lt;&gt;"",SUMIF(#REF!,A16,#REF!),"")</f>
        <v>#REF!</v>
      </c>
      <c r="F16" s="29">
        <f t="shared" si="0"/>
      </c>
    </row>
    <row r="17" spans="1:6" ht="15">
      <c r="A17" s="25" t="s">
        <v>37</v>
      </c>
      <c r="B17" s="47" t="e">
        <f>IF(A17&lt;&gt;"",SUMIF(#REF!,A17,#REF!),"")</f>
        <v>#REF!</v>
      </c>
      <c r="C17" s="48" t="s">
        <v>10</v>
      </c>
      <c r="D17" s="45">
        <f>_xlfn.IFERROR(E17/B17,"")</f>
      </c>
      <c r="E17" s="45" t="e">
        <f>IF(A17&lt;&gt;"",SUMIF(#REF!,A17,#REF!),"")</f>
        <v>#REF!</v>
      </c>
      <c r="F17" s="29">
        <f t="shared" si="0"/>
      </c>
    </row>
    <row r="18" spans="1:6" ht="15">
      <c r="A18" s="25" t="e">
        <f>IF(#REF!=6,"Servicios de Secado","")</f>
        <v>#REF!</v>
      </c>
      <c r="B18" s="47" t="e">
        <f>IF(A18&lt;&gt;"",SUMIF(#REF!,A18,#REF!),"")</f>
        <v>#REF!</v>
      </c>
      <c r="C18" s="48" t="e">
        <f>IF(#REF!=6,"Ton","")</f>
        <v>#REF!</v>
      </c>
      <c r="D18" s="45">
        <f>_xlfn.IFERROR(E18/B18,"")</f>
      </c>
      <c r="E18" s="45" t="e">
        <f>IF(A18&lt;&gt;"",SUMIF(#REF!,A18,#REF!),"")</f>
        <v>#REF!</v>
      </c>
      <c r="F18" s="29">
        <f t="shared" si="0"/>
      </c>
    </row>
    <row r="19" spans="1:6" s="46" customFormat="1" ht="15">
      <c r="A19" s="49" t="s">
        <v>43</v>
      </c>
      <c r="B19" s="50"/>
      <c r="C19" s="51"/>
      <c r="D19" s="52"/>
      <c r="E19" s="53" t="e">
        <f>SUM(E14:E18)</f>
        <v>#REF!</v>
      </c>
      <c r="F19" s="54">
        <f t="shared" si="0"/>
      </c>
    </row>
    <row r="20" spans="1:6" s="57" customFormat="1" ht="15.75" customHeight="1">
      <c r="A20" s="171" t="s">
        <v>40</v>
      </c>
      <c r="B20" s="172"/>
      <c r="C20" s="172"/>
      <c r="D20" s="173"/>
      <c r="E20" s="55" t="e">
        <f>SUM(E19,E12,E5)</f>
        <v>#REF!</v>
      </c>
      <c r="F20" s="56">
        <f t="shared" si="0"/>
      </c>
    </row>
    <row r="23" spans="1:6" ht="24">
      <c r="A23" s="18" t="s">
        <v>51</v>
      </c>
      <c r="B23" s="19" t="s">
        <v>16</v>
      </c>
      <c r="C23" s="20" t="s">
        <v>1</v>
      </c>
      <c r="D23" s="21" t="s">
        <v>30</v>
      </c>
      <c r="E23" s="22" t="s">
        <v>31</v>
      </c>
      <c r="F23" s="23" t="s">
        <v>19</v>
      </c>
    </row>
    <row r="24" spans="1:6" ht="15">
      <c r="A24" s="25" t="e">
        <f>#REF!</f>
        <v>#REF!</v>
      </c>
      <c r="B24" s="26" t="e">
        <f>#REF!</f>
        <v>#REF!</v>
      </c>
      <c r="C24" s="27" t="e">
        <f>#REF!</f>
        <v>#REF!</v>
      </c>
      <c r="D24" s="28" t="e">
        <f>#REF!</f>
        <v>#REF!</v>
      </c>
      <c r="E24" s="28" t="e">
        <f>#REF!</f>
        <v>#REF!</v>
      </c>
      <c r="F24" s="29">
        <f aca="true" t="shared" si="1" ref="F24:F29">_xlfn.IFERROR(E24/($E$20+$E$29),"")</f>
      </c>
    </row>
    <row r="25" spans="1:6" ht="15">
      <c r="A25" s="25" t="e">
        <f>#REF!</f>
        <v>#REF!</v>
      </c>
      <c r="B25" s="26" t="e">
        <f>#REF!</f>
        <v>#REF!</v>
      </c>
      <c r="C25" s="27" t="e">
        <f>#REF!</f>
        <v>#REF!</v>
      </c>
      <c r="D25" s="28" t="e">
        <f>#REF!</f>
        <v>#REF!</v>
      </c>
      <c r="E25" s="28" t="e">
        <f>#REF!</f>
        <v>#REF!</v>
      </c>
      <c r="F25" s="29">
        <f t="shared" si="1"/>
      </c>
    </row>
    <row r="26" spans="1:6" ht="15">
      <c r="A26" s="25" t="e">
        <f>#REF!</f>
        <v>#REF!</v>
      </c>
      <c r="B26" s="26" t="e">
        <f>#REF!</f>
        <v>#REF!</v>
      </c>
      <c r="C26" s="27" t="e">
        <f>#REF!</f>
        <v>#REF!</v>
      </c>
      <c r="D26" s="28" t="e">
        <f>#REF!</f>
        <v>#REF!</v>
      </c>
      <c r="E26" s="28" t="e">
        <f>#REF!</f>
        <v>#REF!</v>
      </c>
      <c r="F26" s="29">
        <f t="shared" si="1"/>
      </c>
    </row>
    <row r="27" spans="1:6" ht="15">
      <c r="A27" s="25" t="e">
        <f>#REF!</f>
        <v>#REF!</v>
      </c>
      <c r="B27" s="26" t="e">
        <f>#REF!</f>
        <v>#REF!</v>
      </c>
      <c r="C27" s="27" t="e">
        <f>#REF!</f>
        <v>#REF!</v>
      </c>
      <c r="D27" s="28" t="e">
        <f>#REF!</f>
        <v>#REF!</v>
      </c>
      <c r="E27" s="28" t="e">
        <f>#REF!</f>
        <v>#REF!</v>
      </c>
      <c r="F27" s="29">
        <f t="shared" si="1"/>
      </c>
    </row>
    <row r="28" spans="1:6" ht="15">
      <c r="A28" s="25" t="e">
        <f>#REF!</f>
        <v>#REF!</v>
      </c>
      <c r="B28" s="26" t="e">
        <f>#REF!</f>
        <v>#REF!</v>
      </c>
      <c r="C28" s="27" t="e">
        <f>#REF!</f>
        <v>#REF!</v>
      </c>
      <c r="D28" s="28" t="e">
        <f>#REF!</f>
        <v>#REF!</v>
      </c>
      <c r="E28" s="28" t="e">
        <f>#REF!</f>
        <v>#REF!</v>
      </c>
      <c r="F28" s="29">
        <f t="shared" si="1"/>
      </c>
    </row>
    <row r="29" spans="1:6" s="57" customFormat="1" ht="15.75" customHeight="1">
      <c r="A29" s="171" t="s">
        <v>52</v>
      </c>
      <c r="B29" s="172"/>
      <c r="C29" s="172"/>
      <c r="D29" s="173"/>
      <c r="E29" s="58" t="e">
        <f>SUM(E24:E28)</f>
        <v>#REF!</v>
      </c>
      <c r="F29" s="56">
        <f t="shared" si="1"/>
      </c>
    </row>
    <row r="32" spans="5:6" ht="24" customHeight="1">
      <c r="E32" s="22" t="s">
        <v>31</v>
      </c>
      <c r="F32" s="22" t="s">
        <v>44</v>
      </c>
    </row>
    <row r="33" spans="1:6" ht="15.75" thickBot="1">
      <c r="A33" s="174" t="s">
        <v>54</v>
      </c>
      <c r="B33" s="175"/>
      <c r="C33" s="175"/>
      <c r="D33" s="176"/>
      <c r="E33" s="59" t="e">
        <f>SUM(E29,E20)</f>
        <v>#REF!</v>
      </c>
      <c r="F33" s="60" t="e">
        <f>E33/#REF!</f>
        <v>#REF!</v>
      </c>
    </row>
    <row r="36" spans="1:6" ht="15">
      <c r="A36" s="179" t="str">
        <f>UPPER("Cálculo Utilidad del Productor (Miles de pesos por ha) (1)")</f>
        <v>CÁLCULO UTILIDAD DEL PRODUCTOR (MILES DE PESOS POR HA) (1)</v>
      </c>
      <c r="B36" s="179"/>
      <c r="C36" s="179"/>
      <c r="D36" s="179"/>
      <c r="E36" s="179"/>
      <c r="F36" s="179"/>
    </row>
    <row r="37" spans="1:6" ht="15">
      <c r="A37" s="61"/>
      <c r="B37" s="62"/>
      <c r="C37" s="62"/>
      <c r="D37" s="177" t="s">
        <v>45</v>
      </c>
      <c r="E37" s="178"/>
      <c r="F37" s="178"/>
    </row>
    <row r="38" spans="1:6" ht="15">
      <c r="A38" s="63"/>
      <c r="B38" s="169"/>
      <c r="C38" s="169"/>
      <c r="D38" s="64" t="e">
        <f>E38*0.9</f>
        <v>#REF!</v>
      </c>
      <c r="E38" s="64" t="e">
        <f>#REF!</f>
        <v>#REF!</v>
      </c>
      <c r="F38" s="64" t="e">
        <f>E38*1.1</f>
        <v>#REF!</v>
      </c>
    </row>
    <row r="39" spans="1:6" ht="15">
      <c r="A39" s="65" t="s">
        <v>46</v>
      </c>
      <c r="B39" s="168" t="e">
        <f>B40*0.9</f>
        <v>#REF!</v>
      </c>
      <c r="C39" s="168"/>
      <c r="D39" s="66" t="e">
        <f>+(B39*$D$38-$E$33)/1000</f>
        <v>#REF!</v>
      </c>
      <c r="E39" s="66" t="e">
        <f>+(B39*$E$38-$E$33)/1000</f>
        <v>#REF!</v>
      </c>
      <c r="F39" s="66" t="e">
        <f>+(B39*$F$38-$E$33)/1000</f>
        <v>#REF!</v>
      </c>
    </row>
    <row r="40" spans="1:6" ht="15">
      <c r="A40" s="65" t="s">
        <v>47</v>
      </c>
      <c r="B40" s="168" t="e">
        <f>#REF!</f>
        <v>#REF!</v>
      </c>
      <c r="C40" s="168"/>
      <c r="D40" s="66" t="e">
        <f>+(B40*$D$38-$E$33)/1000</f>
        <v>#REF!</v>
      </c>
      <c r="E40" s="66" t="e">
        <f>+(B40*$E$38-$E$33)/1000</f>
        <v>#REF!</v>
      </c>
      <c r="F40" s="66" t="e">
        <f>+(B40*$F$38-$E$33)/1000</f>
        <v>#REF!</v>
      </c>
    </row>
    <row r="41" spans="1:6" ht="15">
      <c r="A41" s="67"/>
      <c r="B41" s="168" t="e">
        <f>B40*1.1</f>
        <v>#REF!</v>
      </c>
      <c r="C41" s="168"/>
      <c r="D41" s="66" t="e">
        <f>+(B41*$D$38-$E$33)/1000</f>
        <v>#REF!</v>
      </c>
      <c r="E41" s="66" t="e">
        <f>+(B41*$E$38-$E$33)/1000</f>
        <v>#REF!</v>
      </c>
      <c r="F41" s="66" t="e">
        <f>+(B41*$F$38-$E$33)/1000</f>
        <v>#REF!</v>
      </c>
    </row>
    <row r="42" spans="1:6" ht="15">
      <c r="A42" s="170" t="s">
        <v>48</v>
      </c>
      <c r="B42" s="170"/>
      <c r="C42" s="170"/>
      <c r="D42" s="68" t="e">
        <f>$E$33/D38</f>
        <v>#REF!</v>
      </c>
      <c r="E42" s="68" t="e">
        <f>$E$33/E38</f>
        <v>#REF!</v>
      </c>
      <c r="F42" s="68" t="e">
        <f>$E$33/F38</f>
        <v>#REF!</v>
      </c>
    </row>
  </sheetData>
  <sheetProtection selectLockedCells="1"/>
  <mergeCells count="10">
    <mergeCell ref="B40:C40"/>
    <mergeCell ref="B41:C41"/>
    <mergeCell ref="B38:C38"/>
    <mergeCell ref="A42:C42"/>
    <mergeCell ref="A20:D20"/>
    <mergeCell ref="A29:D29"/>
    <mergeCell ref="A33:D33"/>
    <mergeCell ref="D37:F37"/>
    <mergeCell ref="A36:F36"/>
    <mergeCell ref="B39:C39"/>
  </mergeCells>
  <conditionalFormatting sqref="D24:D28">
    <cfRule type="expression" priority="1" dxfId="0">
      <formula>(C24="tasa mes")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E44" sqref="E4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70"/>
  <sheetViews>
    <sheetView zoomScalePageLayoutView="0" workbookViewId="0" topLeftCell="A22">
      <selection activeCell="G36" sqref="G36"/>
    </sheetView>
  </sheetViews>
  <sheetFormatPr defaultColWidth="11.421875" defaultRowHeight="15"/>
  <cols>
    <col min="1" max="1" width="40.140625" style="4" customWidth="1"/>
    <col min="2" max="2" width="35.57421875" style="4" customWidth="1"/>
    <col min="3" max="3" width="14.00390625" style="4" customWidth="1"/>
    <col min="4" max="4" width="21.00390625" style="4" customWidth="1"/>
    <col min="5" max="5" width="9.8515625" style="4" customWidth="1"/>
    <col min="6" max="6" width="8.57421875" style="4" customWidth="1"/>
    <col min="7" max="8" width="13.7109375" style="7" customWidth="1"/>
    <col min="9" max="9" width="11.140625" style="8" customWidth="1"/>
    <col min="10" max="10" width="11.421875" style="4" hidden="1" customWidth="1"/>
    <col min="11" max="11" width="19.8515625" style="4" hidden="1" customWidth="1"/>
    <col min="12" max="12" width="29.57421875" style="4" hidden="1" customWidth="1"/>
    <col min="13" max="13" width="22.140625" style="5" hidden="1" customWidth="1"/>
    <col min="14" max="14" width="24.421875" style="5" hidden="1" customWidth="1"/>
    <col min="15" max="18" width="22.140625" style="5" hidden="1" customWidth="1"/>
    <col min="19" max="19" width="11.421875" style="4" hidden="1" customWidth="1"/>
    <col min="20" max="20" width="11.421875" style="4" customWidth="1"/>
    <col min="21" max="16384" width="11.421875" style="4" customWidth="1"/>
  </cols>
  <sheetData>
    <row r="1" spans="1:9" ht="23.25">
      <c r="A1" s="180" t="s">
        <v>100</v>
      </c>
      <c r="B1" s="180"/>
      <c r="C1" s="180"/>
      <c r="D1" s="180"/>
      <c r="E1" s="180"/>
      <c r="F1" s="180"/>
      <c r="G1" s="180"/>
      <c r="H1" s="180"/>
      <c r="I1" s="180"/>
    </row>
    <row r="2" spans="1:9" ht="21">
      <c r="A2" s="197" t="s">
        <v>110</v>
      </c>
      <c r="B2" s="197"/>
      <c r="C2" s="197"/>
      <c r="D2" s="197"/>
      <c r="E2" s="197"/>
      <c r="F2" s="197"/>
      <c r="G2" s="197"/>
      <c r="H2" s="197"/>
      <c r="I2" s="197"/>
    </row>
    <row r="3" spans="1:9" ht="15.75">
      <c r="A3" s="159" t="s">
        <v>89</v>
      </c>
      <c r="B3" s="111" t="s">
        <v>62</v>
      </c>
      <c r="C3" s="107"/>
      <c r="E3" s="107"/>
      <c r="F3" s="158"/>
      <c r="G3" s="160"/>
      <c r="H3" s="160"/>
      <c r="I3" s="161"/>
    </row>
    <row r="4" spans="1:9" ht="15.75">
      <c r="A4" s="159" t="s">
        <v>13</v>
      </c>
      <c r="B4" s="111" t="s">
        <v>63</v>
      </c>
      <c r="C4" s="107"/>
      <c r="E4" s="107"/>
      <c r="F4" s="158"/>
      <c r="G4" s="158"/>
      <c r="H4" s="160"/>
      <c r="I4" s="161"/>
    </row>
    <row r="5" spans="1:9" ht="15.75">
      <c r="A5" s="159" t="s">
        <v>90</v>
      </c>
      <c r="B5" s="111" t="s">
        <v>91</v>
      </c>
      <c r="C5" s="107"/>
      <c r="E5" s="107"/>
      <c r="F5" s="158"/>
      <c r="G5" s="158"/>
      <c r="H5" s="160"/>
      <c r="I5" s="161"/>
    </row>
    <row r="6" spans="1:9" ht="15">
      <c r="A6" s="198" t="s">
        <v>92</v>
      </c>
      <c r="B6" s="198"/>
      <c r="C6" s="107"/>
      <c r="E6" s="114"/>
      <c r="F6" s="158"/>
      <c r="G6" s="158"/>
      <c r="H6" s="160"/>
      <c r="I6" s="161"/>
    </row>
    <row r="9" spans="1:2" ht="15">
      <c r="A9" s="181" t="s">
        <v>93</v>
      </c>
      <c r="B9" s="181"/>
    </row>
    <row r="10" spans="1:2" ht="15">
      <c r="A10" s="115"/>
      <c r="B10" s="116"/>
    </row>
    <row r="11" spans="1:2" ht="15">
      <c r="A11" s="117" t="s">
        <v>94</v>
      </c>
      <c r="B11" s="118">
        <v>48</v>
      </c>
    </row>
    <row r="12" spans="1:2" ht="15">
      <c r="A12" s="119" t="s">
        <v>95</v>
      </c>
      <c r="B12" s="120">
        <v>10000</v>
      </c>
    </row>
    <row r="13" spans="1:2" ht="15">
      <c r="A13" s="119" t="s">
        <v>96</v>
      </c>
      <c r="B13" s="120">
        <v>6690</v>
      </c>
    </row>
    <row r="14" spans="1:2" ht="15">
      <c r="A14" s="119" t="s">
        <v>97</v>
      </c>
      <c r="B14" s="121">
        <v>0.0105</v>
      </c>
    </row>
    <row r="15" spans="1:2" ht="15">
      <c r="A15" s="119" t="s">
        <v>98</v>
      </c>
      <c r="B15" s="122">
        <v>0.7</v>
      </c>
    </row>
    <row r="16" spans="1:2" ht="15">
      <c r="A16" s="123" t="s">
        <v>99</v>
      </c>
      <c r="B16" s="124">
        <v>6</v>
      </c>
    </row>
    <row r="17" spans="12:15" ht="15">
      <c r="L17" s="4" t="e">
        <f ca="1">OFFSET(INDEX(CULTIVO,1),2,MATCH(#REF!,CULTIVO,0)-1,OFFSET(INDEX(CULTIVO,1),1,MATCH(#REF!,CULTIVO,0)-1))</f>
        <v>#REF!</v>
      </c>
      <c r="O17" s="6">
        <v>6</v>
      </c>
    </row>
    <row r="18" spans="1:18" s="9" customFormat="1" ht="12.75" customHeight="1">
      <c r="A18" s="218" t="s">
        <v>0</v>
      </c>
      <c r="B18" s="219"/>
      <c r="C18" s="219"/>
      <c r="D18" s="219" t="s">
        <v>20</v>
      </c>
      <c r="E18" s="211" t="s">
        <v>14</v>
      </c>
      <c r="F18" s="211"/>
      <c r="G18" s="211"/>
      <c r="H18" s="214" t="s">
        <v>15</v>
      </c>
      <c r="I18" s="215"/>
      <c r="M18" s="5"/>
      <c r="N18" s="5"/>
      <c r="O18" s="5"/>
      <c r="P18" s="5"/>
      <c r="Q18" s="5"/>
      <c r="R18" s="5"/>
    </row>
    <row r="19" spans="1:18" s="9" customFormat="1" ht="12.75" customHeight="1">
      <c r="A19" s="220"/>
      <c r="B19" s="221"/>
      <c r="C19" s="221"/>
      <c r="D19" s="221"/>
      <c r="E19" s="212" t="s">
        <v>16</v>
      </c>
      <c r="F19" s="213"/>
      <c r="G19" s="75" t="s">
        <v>17</v>
      </c>
      <c r="H19" s="76" t="s">
        <v>18</v>
      </c>
      <c r="I19" s="77" t="s">
        <v>19</v>
      </c>
      <c r="M19" s="5"/>
      <c r="N19" s="5"/>
      <c r="O19" s="5"/>
      <c r="P19" s="5"/>
      <c r="Q19" s="5"/>
      <c r="R19" s="5"/>
    </row>
    <row r="20" spans="1:18" ht="15">
      <c r="A20" s="227" t="s">
        <v>21</v>
      </c>
      <c r="B20" s="228"/>
      <c r="C20" s="228"/>
      <c r="D20" s="229"/>
      <c r="E20" s="229"/>
      <c r="F20" s="229"/>
      <c r="G20" s="229"/>
      <c r="H20" s="229"/>
      <c r="I20" s="230"/>
      <c r="L20" s="72">
        <f>""</f>
      </c>
      <c r="M20" s="5">
        <v>1</v>
      </c>
      <c r="N20" s="5">
        <v>2</v>
      </c>
      <c r="O20" s="5">
        <v>3</v>
      </c>
      <c r="P20" s="5">
        <v>4</v>
      </c>
      <c r="Q20" s="5">
        <v>5</v>
      </c>
      <c r="R20" s="5">
        <v>6</v>
      </c>
    </row>
    <row r="21" spans="1:20" ht="15">
      <c r="A21" s="82"/>
      <c r="B21" s="216" t="s">
        <v>64</v>
      </c>
      <c r="C21" s="216"/>
      <c r="D21" s="12" t="s">
        <v>72</v>
      </c>
      <c r="E21" s="71" t="s">
        <v>57</v>
      </c>
      <c r="F21" s="12" t="s">
        <v>25</v>
      </c>
      <c r="G21" s="162">
        <v>30000</v>
      </c>
      <c r="H21" s="13">
        <f>+G21*E21</f>
        <v>30000</v>
      </c>
      <c r="I21" s="83">
        <f aca="true" t="shared" si="0" ref="I21:I27">+H21/$H$47</f>
        <v>0.07251487027282155</v>
      </c>
      <c r="K21" s="4">
        <f>_xlfn.IFERROR(VLOOKUP(HLOOKUP(#REF!,$M$20:$R$27,L21+1,FALSE),LABORES,13,FALSE),"")</f>
      </c>
      <c r="L21" s="10">
        <v>1</v>
      </c>
      <c r="M21" s="5" t="str">
        <f>CONCATENATE("CU-",IF(L21&lt;10,"0",""),L21,"-??-??-??-??-??")</f>
        <v>CU-01-??-??-??-??-??</v>
      </c>
      <c r="N21" s="5" t="str">
        <f>CONCATENATE("CU-??-",IF(L21&lt;10,"0",""),L21,"-??-??-??-??")</f>
        <v>CU-??-01-??-??-??-??</v>
      </c>
      <c r="O21" s="5" t="str">
        <f>CONCATENATE("CU-??-??-",IF(L21&lt;10,"0",""),L21,"-??-??-??")</f>
        <v>CU-??-??-01-??-??-??</v>
      </c>
      <c r="P21" s="5" t="str">
        <f>CONCATENATE("CU-??-??-??-",IF(L21&lt;10,"0",""),L21,"-??-??")</f>
        <v>CU-??-??-??-01-??-??</v>
      </c>
      <c r="Q21" s="5" t="str">
        <f>CONCATENATE("CU-??-??-??-??-",IF(L21&lt;10,"0",""),L21,"-??")</f>
        <v>CU-??-??-??-??-01-??</v>
      </c>
      <c r="R21" s="5" t="str">
        <f>CONCATENATE("CU-??-??-??-??-??-",IF(L21&lt;10,"0",""),L21)</f>
        <v>CU-??-??-??-??-??-01</v>
      </c>
      <c r="T21" s="7"/>
    </row>
    <row r="22" spans="1:20" ht="15">
      <c r="A22" s="82"/>
      <c r="B22" s="216" t="s">
        <v>2</v>
      </c>
      <c r="C22" s="216"/>
      <c r="D22" s="12" t="s">
        <v>73</v>
      </c>
      <c r="E22" s="71">
        <v>2</v>
      </c>
      <c r="F22" s="12" t="s">
        <v>25</v>
      </c>
      <c r="G22" s="162">
        <v>23000</v>
      </c>
      <c r="H22" s="13">
        <f aca="true" t="shared" si="1" ref="H22:H27">+G22*E22</f>
        <v>46000</v>
      </c>
      <c r="I22" s="83">
        <f t="shared" si="0"/>
        <v>0.1111894677516597</v>
      </c>
      <c r="K22" s="4">
        <f>_xlfn.IFERROR(VLOOKUP(HLOOKUP(#REF!,$M$20:$R$27,L22+1,FALSE),LABORES,13,FALSE),"")</f>
      </c>
      <c r="L22" s="10">
        <f aca="true" t="shared" si="2" ref="L22:L27">L21+1</f>
        <v>2</v>
      </c>
      <c r="M22" s="5" t="str">
        <f aca="true" t="shared" si="3" ref="M22:M27">CONCATENATE("CU-",IF(L22&lt;10,"0",""),L22,"-??-??-??-??-??")</f>
        <v>CU-02-??-??-??-??-??</v>
      </c>
      <c r="N22" s="5" t="str">
        <f aca="true" t="shared" si="4" ref="N22:N27">CONCATENATE("CU-??-",IF(L22&lt;10,"0",""),L22,"-??-??-??-??")</f>
        <v>CU-??-02-??-??-??-??</v>
      </c>
      <c r="O22" s="5" t="str">
        <f aca="true" t="shared" si="5" ref="O22:O27">CONCATENATE("CU-??-??-",IF(L22&lt;10,"0",""),L22,"-??-??-??")</f>
        <v>CU-??-??-02-??-??-??</v>
      </c>
      <c r="P22" s="5" t="str">
        <f aca="true" t="shared" si="6" ref="P22:P27">CONCATENATE("CU-??-??-??-",IF(L22&lt;10,"0",""),L22,"-??-??")</f>
        <v>CU-??-??-??-02-??-??</v>
      </c>
      <c r="Q22" s="5" t="str">
        <f aca="true" t="shared" si="7" ref="Q22:Q27">CONCATENATE("CU-??-??-??-??-",IF(L22&lt;10,"0",""),L22,"-??")</f>
        <v>CU-??-??-??-??-02-??</v>
      </c>
      <c r="R22" s="5" t="str">
        <f aca="true" t="shared" si="8" ref="R22:R27">CONCATENATE("CU-??-??-??-??-??-",IF(L22&lt;10,"0",""),L22)</f>
        <v>CU-??-??-??-??-??-02</v>
      </c>
      <c r="T22" s="7"/>
    </row>
    <row r="23" spans="1:20" ht="15">
      <c r="A23" s="82"/>
      <c r="B23" s="216" t="s">
        <v>70</v>
      </c>
      <c r="C23" s="216"/>
      <c r="D23" s="12" t="s">
        <v>56</v>
      </c>
      <c r="E23" s="71">
        <v>0.2</v>
      </c>
      <c r="F23" s="12" t="s">
        <v>6</v>
      </c>
      <c r="G23" s="13">
        <f>+B13</f>
        <v>6690</v>
      </c>
      <c r="H23" s="13">
        <f t="shared" si="1"/>
        <v>1338</v>
      </c>
      <c r="I23" s="83">
        <f t="shared" si="0"/>
        <v>0.003234163214167841</v>
      </c>
      <c r="K23" s="4">
        <f>_xlfn.IFERROR(VLOOKUP(HLOOKUP(#REF!,$M$20:$R$27,L23+1,FALSE),LABORES,13,FALSE),"")</f>
      </c>
      <c r="L23" s="10">
        <f t="shared" si="2"/>
        <v>3</v>
      </c>
      <c r="M23" s="5" t="str">
        <f t="shared" si="3"/>
        <v>CU-03-??-??-??-??-??</v>
      </c>
      <c r="N23" s="5" t="str">
        <f t="shared" si="4"/>
        <v>CU-??-03-??-??-??-??</v>
      </c>
      <c r="O23" s="5" t="str">
        <f t="shared" si="5"/>
        <v>CU-??-??-03-??-??-??</v>
      </c>
      <c r="P23" s="5" t="str">
        <f t="shared" si="6"/>
        <v>CU-??-??-??-03-??-??</v>
      </c>
      <c r="Q23" s="5" t="str">
        <f t="shared" si="7"/>
        <v>CU-??-??-??-??-03-??</v>
      </c>
      <c r="R23" s="5" t="str">
        <f t="shared" si="8"/>
        <v>CU-??-??-??-??-??-03</v>
      </c>
      <c r="T23" s="7"/>
    </row>
    <row r="24" spans="1:20" ht="15">
      <c r="A24" s="82"/>
      <c r="B24" s="216" t="s">
        <v>68</v>
      </c>
      <c r="C24" s="216"/>
      <c r="D24" s="12" t="s">
        <v>56</v>
      </c>
      <c r="E24" s="71">
        <v>1</v>
      </c>
      <c r="F24" s="12" t="s">
        <v>6</v>
      </c>
      <c r="G24" s="13">
        <f>+B13</f>
        <v>6690</v>
      </c>
      <c r="H24" s="13">
        <f t="shared" si="1"/>
        <v>6690</v>
      </c>
      <c r="I24" s="83">
        <f t="shared" si="0"/>
        <v>0.016170816070839204</v>
      </c>
      <c r="K24" s="4">
        <f>_xlfn.IFERROR(VLOOKUP(HLOOKUP(#REF!,$M$20:$R$27,L24+1,FALSE),LABORES,13,FALSE),"")</f>
      </c>
      <c r="L24" s="10">
        <f t="shared" si="2"/>
        <v>4</v>
      </c>
      <c r="M24" s="5" t="str">
        <f t="shared" si="3"/>
        <v>CU-04-??-??-??-??-??</v>
      </c>
      <c r="N24" s="5" t="str">
        <f t="shared" si="4"/>
        <v>CU-??-04-??-??-??-??</v>
      </c>
      <c r="O24" s="5" t="str">
        <f t="shared" si="5"/>
        <v>CU-??-??-04-??-??-??</v>
      </c>
      <c r="P24" s="5" t="str">
        <f t="shared" si="6"/>
        <v>CU-??-??-??-04-??-??</v>
      </c>
      <c r="Q24" s="5" t="str">
        <f t="shared" si="7"/>
        <v>CU-??-??-??-??-04-??</v>
      </c>
      <c r="R24" s="5" t="str">
        <f t="shared" si="8"/>
        <v>CU-??-??-??-??-??-04</v>
      </c>
      <c r="T24" s="7"/>
    </row>
    <row r="25" spans="1:20" ht="15">
      <c r="A25" s="82"/>
      <c r="B25" s="216" t="s">
        <v>3</v>
      </c>
      <c r="C25" s="216"/>
      <c r="D25" s="12" t="s">
        <v>74</v>
      </c>
      <c r="E25" s="71">
        <v>3</v>
      </c>
      <c r="F25" s="12" t="s">
        <v>6</v>
      </c>
      <c r="G25" s="13">
        <f>+B13</f>
        <v>6690</v>
      </c>
      <c r="H25" s="13">
        <f t="shared" si="1"/>
        <v>20070</v>
      </c>
      <c r="I25" s="83">
        <f t="shared" si="0"/>
        <v>0.048512448212517614</v>
      </c>
      <c r="K25" s="4">
        <f>_xlfn.IFERROR(VLOOKUP(HLOOKUP(#REF!,$M$20:$R$27,L25+1,FALSE),LABORES,13,FALSE),"")</f>
      </c>
      <c r="L25" s="10">
        <f t="shared" si="2"/>
        <v>5</v>
      </c>
      <c r="M25" s="5" t="str">
        <f t="shared" si="3"/>
        <v>CU-05-??-??-??-??-??</v>
      </c>
      <c r="N25" s="5" t="str">
        <f t="shared" si="4"/>
        <v>CU-??-05-??-??-??-??</v>
      </c>
      <c r="O25" s="5" t="str">
        <f t="shared" si="5"/>
        <v>CU-??-??-05-??-??-??</v>
      </c>
      <c r="P25" s="5" t="str">
        <f t="shared" si="6"/>
        <v>CU-??-??-??-05-??-??</v>
      </c>
      <c r="Q25" s="5" t="str">
        <f t="shared" si="7"/>
        <v>CU-??-??-??-??-05-??</v>
      </c>
      <c r="R25" s="5" t="str">
        <f t="shared" si="8"/>
        <v>CU-??-??-??-??-??-05</v>
      </c>
      <c r="T25" s="7"/>
    </row>
    <row r="26" spans="1:20" ht="15">
      <c r="A26" s="82"/>
      <c r="B26" s="216" t="s">
        <v>5</v>
      </c>
      <c r="C26" s="216"/>
      <c r="D26" s="12" t="s">
        <v>75</v>
      </c>
      <c r="E26" s="71">
        <v>1.5</v>
      </c>
      <c r="F26" s="12" t="s">
        <v>6</v>
      </c>
      <c r="G26" s="13">
        <f>+B13</f>
        <v>6690</v>
      </c>
      <c r="H26" s="13">
        <f t="shared" si="1"/>
        <v>10035</v>
      </c>
      <c r="I26" s="83">
        <f t="shared" si="0"/>
        <v>0.024256224106258807</v>
      </c>
      <c r="K26" s="4">
        <f>_xlfn.IFERROR(VLOOKUP(HLOOKUP(#REF!,$M$20:$R$27,L26+1,FALSE),LABORES,13,FALSE),"")</f>
      </c>
      <c r="L26" s="10">
        <f t="shared" si="2"/>
        <v>6</v>
      </c>
      <c r="M26" s="5" t="str">
        <f t="shared" si="3"/>
        <v>CU-06-??-??-??-??-??</v>
      </c>
      <c r="N26" s="5" t="str">
        <f t="shared" si="4"/>
        <v>CU-??-06-??-??-??-??</v>
      </c>
      <c r="O26" s="5" t="str">
        <f t="shared" si="5"/>
        <v>CU-??-??-06-??-??-??</v>
      </c>
      <c r="P26" s="5" t="str">
        <f t="shared" si="6"/>
        <v>CU-??-??-??-06-??-??</v>
      </c>
      <c r="Q26" s="5" t="str">
        <f t="shared" si="7"/>
        <v>CU-??-??-??-??-06-??</v>
      </c>
      <c r="R26" s="5" t="str">
        <f t="shared" si="8"/>
        <v>CU-??-??-??-??-??-06</v>
      </c>
      <c r="T26" s="7"/>
    </row>
    <row r="27" spans="1:20" ht="15">
      <c r="A27" s="82"/>
      <c r="B27" s="216" t="s">
        <v>71</v>
      </c>
      <c r="C27" s="216"/>
      <c r="D27" s="12" t="s">
        <v>76</v>
      </c>
      <c r="E27" s="71">
        <v>0.4</v>
      </c>
      <c r="F27" s="12" t="s">
        <v>6</v>
      </c>
      <c r="G27" s="13">
        <f>+B13</f>
        <v>6690</v>
      </c>
      <c r="H27" s="13">
        <f t="shared" si="1"/>
        <v>2676</v>
      </c>
      <c r="I27" s="83">
        <f t="shared" si="0"/>
        <v>0.006468326428335682</v>
      </c>
      <c r="K27" s="4">
        <f>_xlfn.IFERROR(VLOOKUP(HLOOKUP(#REF!,$M$20:$R$27,L27+1,FALSE),LABORES,13,FALSE),"")</f>
      </c>
      <c r="L27" s="10">
        <f t="shared" si="2"/>
        <v>7</v>
      </c>
      <c r="M27" s="5" t="str">
        <f t="shared" si="3"/>
        <v>CU-07-??-??-??-??-??</v>
      </c>
      <c r="N27" s="5" t="str">
        <f t="shared" si="4"/>
        <v>CU-??-07-??-??-??-??</v>
      </c>
      <c r="O27" s="5" t="str">
        <f t="shared" si="5"/>
        <v>CU-??-??-07-??-??-??</v>
      </c>
      <c r="P27" s="5" t="str">
        <f t="shared" si="6"/>
        <v>CU-??-??-??-07-??-??</v>
      </c>
      <c r="Q27" s="5" t="str">
        <f t="shared" si="7"/>
        <v>CU-??-??-??-??-07-??</v>
      </c>
      <c r="R27" s="5" t="str">
        <f t="shared" si="8"/>
        <v>CU-??-??-??-??-??-07</v>
      </c>
      <c r="T27" s="7"/>
    </row>
    <row r="28" spans="1:18" ht="15">
      <c r="A28" s="222" t="s">
        <v>22</v>
      </c>
      <c r="B28" s="223"/>
      <c r="C28" s="223"/>
      <c r="D28" s="224"/>
      <c r="E28" s="224"/>
      <c r="F28" s="224"/>
      <c r="G28" s="224"/>
      <c r="H28" s="224"/>
      <c r="I28" s="225"/>
      <c r="L28" s="72"/>
      <c r="M28" s="5">
        <v>1</v>
      </c>
      <c r="N28" s="5">
        <v>2</v>
      </c>
      <c r="O28" s="5">
        <v>3</v>
      </c>
      <c r="P28" s="5">
        <v>4</v>
      </c>
      <c r="Q28" s="5">
        <v>5</v>
      </c>
      <c r="R28" s="5">
        <v>6</v>
      </c>
    </row>
    <row r="29" spans="1:18" ht="15">
      <c r="A29" s="84"/>
      <c r="B29" s="226" t="s">
        <v>59</v>
      </c>
      <c r="C29" s="226"/>
      <c r="D29" s="85" t="s">
        <v>76</v>
      </c>
      <c r="E29" s="86">
        <v>1</v>
      </c>
      <c r="F29" s="85" t="s">
        <v>25</v>
      </c>
      <c r="G29" s="163">
        <v>60000</v>
      </c>
      <c r="H29" s="87">
        <f>+G29*E29</f>
        <v>60000</v>
      </c>
      <c r="I29" s="88">
        <f>+H29/$H$47</f>
        <v>0.1450297405456431</v>
      </c>
      <c r="K29" s="4">
        <f>_xlfn.IFERROR(VLOOKUP(HLOOKUP(#REF!,$M$28:$R$29,L29+1,FALSE),LABORES,13,FALSE),"")</f>
      </c>
      <c r="L29" s="10">
        <v>1</v>
      </c>
      <c r="M29" s="5" t="str">
        <f>CONCATENATE("CO-",IF(L29&lt;10,"0",""),L29,"-??-??-??-??-??")</f>
        <v>CO-01-??-??-??-??-??</v>
      </c>
      <c r="N29" s="5" t="str">
        <f>CONCATENATE("CO-??-",IF(L29&lt;10,"0",""),L29,"-??-??-??-??")</f>
        <v>CO-??-01-??-??-??-??</v>
      </c>
      <c r="O29" s="5" t="str">
        <f>CONCATENATE("CO-??-??-",IF(L29&lt;10,"0",""),L29,"-??-??-??")</f>
        <v>CO-??-??-01-??-??-??</v>
      </c>
      <c r="P29" s="5" t="str">
        <f>CONCATENATE("CO-??-??-??-",IF(L29&lt;10,"0",""),L29,"-??-??")</f>
        <v>CO-??-??-??-01-??-??</v>
      </c>
      <c r="Q29" s="5" t="str">
        <f>CONCATENATE("CO-??-??-??-??-",IF(L29&lt;10,"0",""),L29,"-??")</f>
        <v>CO-??-??-??-??-01-??</v>
      </c>
      <c r="R29" s="5" t="str">
        <f>CONCATENATE("CO-??-??-??-??-??-",IF(L29&lt;10,"0",""),L29)</f>
        <v>CO-??-??-??-??-??-01</v>
      </c>
    </row>
    <row r="30" spans="1:22" ht="15">
      <c r="A30" s="231" t="s">
        <v>23</v>
      </c>
      <c r="B30" s="232"/>
      <c r="C30" s="232"/>
      <c r="D30" s="232"/>
      <c r="E30" s="232"/>
      <c r="F30" s="232"/>
      <c r="G30" s="232"/>
      <c r="H30" s="73">
        <f>SUM(H21:H27)+H29</f>
        <v>176809</v>
      </c>
      <c r="I30" s="74">
        <f>SUM(I21:I27)+I29</f>
        <v>0.42737605660224354</v>
      </c>
      <c r="U30" s="7"/>
      <c r="V30" s="7"/>
    </row>
    <row r="31" spans="1:9" ht="15">
      <c r="A31" s="218" t="s">
        <v>24</v>
      </c>
      <c r="B31" s="219"/>
      <c r="C31" s="219"/>
      <c r="D31" s="219" t="s">
        <v>20</v>
      </c>
      <c r="E31" s="211" t="s">
        <v>14</v>
      </c>
      <c r="F31" s="211"/>
      <c r="G31" s="211"/>
      <c r="H31" s="214" t="s">
        <v>15</v>
      </c>
      <c r="I31" s="215"/>
    </row>
    <row r="32" spans="1:18" ht="15">
      <c r="A32" s="220"/>
      <c r="B32" s="221"/>
      <c r="C32" s="221"/>
      <c r="D32" s="221"/>
      <c r="E32" s="212" t="s">
        <v>16</v>
      </c>
      <c r="F32" s="213"/>
      <c r="G32" s="75" t="s">
        <v>17</v>
      </c>
      <c r="H32" s="76" t="s">
        <v>18</v>
      </c>
      <c r="I32" s="77" t="s">
        <v>19</v>
      </c>
      <c r="L32" s="72"/>
      <c r="M32" s="5">
        <v>1</v>
      </c>
      <c r="N32" s="5">
        <v>2</v>
      </c>
      <c r="O32" s="5">
        <v>3</v>
      </c>
      <c r="P32" s="5">
        <v>4</v>
      </c>
      <c r="Q32" s="5">
        <v>5</v>
      </c>
      <c r="R32" s="5">
        <v>6</v>
      </c>
    </row>
    <row r="33" spans="1:18" ht="15">
      <c r="A33" s="89"/>
      <c r="B33" s="233" t="s">
        <v>12</v>
      </c>
      <c r="C33" s="233"/>
      <c r="D33" s="90" t="s">
        <v>82</v>
      </c>
      <c r="E33" s="91">
        <f>+B11/10+(E34+E36+E38+E39)/1000</f>
        <v>5.38</v>
      </c>
      <c r="F33" s="90" t="s">
        <v>10</v>
      </c>
      <c r="G33" s="164">
        <v>6000</v>
      </c>
      <c r="H33" s="92">
        <f>+G33*E33</f>
        <v>32280</v>
      </c>
      <c r="I33" s="93">
        <f aca="true" t="shared" si="9" ref="I33:I39">+H33/$H$47</f>
        <v>0.07802600041355598</v>
      </c>
      <c r="K33" s="4">
        <f>_xlfn.IFERROR(VLOOKUP(HLOOKUP(#REF!,$M$32:$R$39,L33+1,FALSE),INSUMOS,10,FALSE),"")</f>
      </c>
      <c r="L33" s="10">
        <v>1</v>
      </c>
      <c r="M33" s="5" t="str">
        <f aca="true" t="shared" si="10" ref="M33:M39">CONCATENATE("IN-",IF(L33&lt;10,"0",""),L33,"-??-??-??-??-??")</f>
        <v>IN-01-??-??-??-??-??</v>
      </c>
      <c r="N33" s="5" t="str">
        <f aca="true" t="shared" si="11" ref="N33:N39">CONCATENATE("IN-??-",IF(L33&lt;10,"0",""),L33,"-??-??-??-??")</f>
        <v>IN-??-01-??-??-??-??</v>
      </c>
      <c r="O33" s="5" t="str">
        <f aca="true" t="shared" si="12" ref="O33:O39">CONCATENATE("IN-??-??-",IF(L33&lt;10,"0",""),L33,"-??-??-??")</f>
        <v>IN-??-??-01-??-??-??</v>
      </c>
      <c r="P33" s="5" t="str">
        <f aca="true" t="shared" si="13" ref="P33:P39">CONCATENATE("IN-??-??-??-",IF(L33&lt;10,"0",""),L33,"-??-??")</f>
        <v>IN-??-??-??-01-??-??</v>
      </c>
      <c r="Q33" s="5" t="str">
        <f aca="true" t="shared" si="14" ref="Q33:Q39">CONCATENATE("IN-??-??-??-??-",IF(L33&lt;10,"0",""),L33,"-??")</f>
        <v>IN-??-??-??-??-01-??</v>
      </c>
      <c r="R33" s="5" t="str">
        <f aca="true" t="shared" si="15" ref="R33:R39">CONCATENATE("IN-??-??-??-??-??-",IF(L33&lt;10,"0",""),L33)</f>
        <v>IN-??-??-??-??-??-01</v>
      </c>
    </row>
    <row r="34" spans="1:18" ht="15">
      <c r="A34" s="94"/>
      <c r="B34" s="199" t="s">
        <v>60</v>
      </c>
      <c r="C34" s="199"/>
      <c r="D34" s="1" t="s">
        <v>83</v>
      </c>
      <c r="E34" s="71">
        <v>70</v>
      </c>
      <c r="F34" s="1" t="s">
        <v>8</v>
      </c>
      <c r="G34" s="165">
        <v>495</v>
      </c>
      <c r="H34" s="2">
        <f aca="true" t="shared" si="16" ref="H34:H39">+G34*E34</f>
        <v>34650</v>
      </c>
      <c r="I34" s="83">
        <f t="shared" si="9"/>
        <v>0.08375467516510889</v>
      </c>
      <c r="K34" s="4">
        <f>_xlfn.IFERROR(VLOOKUP(HLOOKUP(#REF!,$M$32:$R$39,L34+1,FALSE),INSUMOS,10,FALSE),"")</f>
      </c>
      <c r="L34" s="10">
        <f>L33+1</f>
        <v>2</v>
      </c>
      <c r="M34" s="5" t="str">
        <f t="shared" si="10"/>
        <v>IN-02-??-??-??-??-??</v>
      </c>
      <c r="N34" s="5" t="str">
        <f t="shared" si="11"/>
        <v>IN-??-02-??-??-??-??</v>
      </c>
      <c r="O34" s="5" t="str">
        <f t="shared" si="12"/>
        <v>IN-??-??-02-??-??-??</v>
      </c>
      <c r="P34" s="5" t="str">
        <f t="shared" si="13"/>
        <v>IN-??-??-??-02-??-??</v>
      </c>
      <c r="Q34" s="5" t="str">
        <f t="shared" si="14"/>
        <v>IN-??-??-??-??-02-??</v>
      </c>
      <c r="R34" s="5" t="str">
        <f t="shared" si="15"/>
        <v>IN-??-??-??-??-??-02</v>
      </c>
    </row>
    <row r="35" spans="1:18" ht="15">
      <c r="A35" s="94"/>
      <c r="B35" s="199" t="s">
        <v>78</v>
      </c>
      <c r="C35" s="199"/>
      <c r="D35" s="1" t="s">
        <v>83</v>
      </c>
      <c r="E35" s="71">
        <v>1.2</v>
      </c>
      <c r="F35" s="1" t="s">
        <v>9</v>
      </c>
      <c r="G35" s="165">
        <v>13231</v>
      </c>
      <c r="H35" s="2">
        <f t="shared" si="16"/>
        <v>15877.199999999999</v>
      </c>
      <c r="I35" s="83">
        <f t="shared" si="9"/>
        <v>0.038377769943188075</v>
      </c>
      <c r="K35" s="4">
        <f>_xlfn.IFERROR(VLOOKUP(HLOOKUP(#REF!,$M$32:$R$39,L35+1,FALSE),INSUMOS,10,FALSE),"")</f>
      </c>
      <c r="L35" s="10">
        <f>L34+1</f>
        <v>3</v>
      </c>
      <c r="M35" s="5" t="str">
        <f t="shared" si="10"/>
        <v>IN-03-??-??-??-??-??</v>
      </c>
      <c r="N35" s="5" t="str">
        <f t="shared" si="11"/>
        <v>IN-??-03-??-??-??-??</v>
      </c>
      <c r="O35" s="5" t="str">
        <f t="shared" si="12"/>
        <v>IN-??-??-03-??-??-??</v>
      </c>
      <c r="P35" s="5" t="str">
        <f t="shared" si="13"/>
        <v>IN-??-??-??-03-??-??</v>
      </c>
      <c r="Q35" s="5" t="str">
        <f t="shared" si="14"/>
        <v>IN-??-??-??-??-03-??</v>
      </c>
      <c r="R35" s="5" t="str">
        <f t="shared" si="15"/>
        <v>IN-??-??-??-??-??-03</v>
      </c>
    </row>
    <row r="36" spans="1:18" ht="15">
      <c r="A36" s="94"/>
      <c r="B36" s="199" t="s">
        <v>77</v>
      </c>
      <c r="C36" s="199"/>
      <c r="D36" s="1" t="s">
        <v>84</v>
      </c>
      <c r="E36" s="71">
        <v>240</v>
      </c>
      <c r="F36" s="1" t="s">
        <v>8</v>
      </c>
      <c r="G36" s="165">
        <v>283</v>
      </c>
      <c r="H36" s="2">
        <f t="shared" si="16"/>
        <v>67920</v>
      </c>
      <c r="I36" s="83">
        <f t="shared" si="9"/>
        <v>0.16417366629766797</v>
      </c>
      <c r="K36" s="4">
        <f>_xlfn.IFERROR(VLOOKUP(HLOOKUP(#REF!,$M$32:$R$39,L36+1,FALSE),INSUMOS,10,FALSE),"")</f>
      </c>
      <c r="L36" s="10" t="e">
        <f>#REF!+1</f>
        <v>#REF!</v>
      </c>
      <c r="M36" s="5" t="e">
        <f t="shared" si="10"/>
        <v>#REF!</v>
      </c>
      <c r="N36" s="5" t="e">
        <f t="shared" si="11"/>
        <v>#REF!</v>
      </c>
      <c r="O36" s="5" t="e">
        <f t="shared" si="12"/>
        <v>#REF!</v>
      </c>
      <c r="P36" s="5" t="e">
        <f t="shared" si="13"/>
        <v>#REF!</v>
      </c>
      <c r="Q36" s="5" t="e">
        <f t="shared" si="14"/>
        <v>#REF!</v>
      </c>
      <c r="R36" s="5" t="e">
        <f t="shared" si="15"/>
        <v>#REF!</v>
      </c>
    </row>
    <row r="37" spans="1:18" ht="15">
      <c r="A37" s="94"/>
      <c r="B37" s="199" t="s">
        <v>79</v>
      </c>
      <c r="C37" s="199"/>
      <c r="D37" s="1" t="s">
        <v>83</v>
      </c>
      <c r="E37" s="71">
        <v>0.1</v>
      </c>
      <c r="F37" s="1" t="s">
        <v>9</v>
      </c>
      <c r="G37" s="165">
        <v>16531</v>
      </c>
      <c r="H37" s="2">
        <f t="shared" si="16"/>
        <v>1653.1000000000001</v>
      </c>
      <c r="I37" s="83">
        <f t="shared" si="9"/>
        <v>0.00399581106826671</v>
      </c>
      <c r="K37" s="4">
        <f>_xlfn.IFERROR(VLOOKUP(HLOOKUP(#REF!,$M$32:$R$39,L37+1,FALSE),INSUMOS,10,FALSE),"")</f>
      </c>
      <c r="L37" s="10" t="e">
        <f>L36+1</f>
        <v>#REF!</v>
      </c>
      <c r="M37" s="5" t="e">
        <f t="shared" si="10"/>
        <v>#REF!</v>
      </c>
      <c r="N37" s="5" t="e">
        <f t="shared" si="11"/>
        <v>#REF!</v>
      </c>
      <c r="O37" s="5" t="e">
        <f t="shared" si="12"/>
        <v>#REF!</v>
      </c>
      <c r="P37" s="5" t="e">
        <f t="shared" si="13"/>
        <v>#REF!</v>
      </c>
      <c r="Q37" s="5" t="e">
        <f t="shared" si="14"/>
        <v>#REF!</v>
      </c>
      <c r="R37" s="5" t="e">
        <f t="shared" si="15"/>
        <v>#REF!</v>
      </c>
    </row>
    <row r="38" spans="1:18" ht="15">
      <c r="A38" s="94"/>
      <c r="B38" s="199" t="s">
        <v>81</v>
      </c>
      <c r="C38" s="199"/>
      <c r="D38" s="1" t="s">
        <v>83</v>
      </c>
      <c r="E38" s="71">
        <v>90</v>
      </c>
      <c r="F38" s="1" t="s">
        <v>8</v>
      </c>
      <c r="G38" s="165">
        <v>300</v>
      </c>
      <c r="H38" s="2">
        <f t="shared" si="16"/>
        <v>27000</v>
      </c>
      <c r="I38" s="83">
        <f t="shared" si="9"/>
        <v>0.06526338324553939</v>
      </c>
      <c r="K38" s="4">
        <f>_xlfn.IFERROR(VLOOKUP(HLOOKUP(#REF!,$M$32:$R$39,L38+1,FALSE),INSUMOS,10,FALSE),"")</f>
      </c>
      <c r="L38" s="10" t="e">
        <f>L37+1</f>
        <v>#REF!</v>
      </c>
      <c r="M38" s="5" t="e">
        <f t="shared" si="10"/>
        <v>#REF!</v>
      </c>
      <c r="N38" s="5" t="e">
        <f t="shared" si="11"/>
        <v>#REF!</v>
      </c>
      <c r="O38" s="5" t="e">
        <f t="shared" si="12"/>
        <v>#REF!</v>
      </c>
      <c r="P38" s="5" t="e">
        <f t="shared" si="13"/>
        <v>#REF!</v>
      </c>
      <c r="Q38" s="5" t="e">
        <f t="shared" si="14"/>
        <v>#REF!</v>
      </c>
      <c r="R38" s="5" t="e">
        <f t="shared" si="15"/>
        <v>#REF!</v>
      </c>
    </row>
    <row r="39" spans="1:18" ht="15">
      <c r="A39" s="95"/>
      <c r="B39" s="217" t="s">
        <v>11</v>
      </c>
      <c r="C39" s="217"/>
      <c r="D39" s="96" t="s">
        <v>83</v>
      </c>
      <c r="E39" s="86">
        <v>180</v>
      </c>
      <c r="F39" s="96" t="s">
        <v>8</v>
      </c>
      <c r="G39" s="166">
        <v>220</v>
      </c>
      <c r="H39" s="97">
        <f t="shared" si="16"/>
        <v>39600</v>
      </c>
      <c r="I39" s="88">
        <f t="shared" si="9"/>
        <v>0.09571962876012444</v>
      </c>
      <c r="K39" s="4">
        <f>_xlfn.IFERROR(VLOOKUP(HLOOKUP(#REF!,$M$32:$R$39,L39+1,FALSE),INSUMOS,10,FALSE),"")</f>
      </c>
      <c r="L39" s="10" t="e">
        <f>L38+1</f>
        <v>#REF!</v>
      </c>
      <c r="M39" s="5" t="e">
        <f t="shared" si="10"/>
        <v>#REF!</v>
      </c>
      <c r="N39" s="5" t="e">
        <f t="shared" si="11"/>
        <v>#REF!</v>
      </c>
      <c r="O39" s="5" t="e">
        <f t="shared" si="12"/>
        <v>#REF!</v>
      </c>
      <c r="P39" s="5" t="e">
        <f t="shared" si="13"/>
        <v>#REF!</v>
      </c>
      <c r="Q39" s="5" t="e">
        <f t="shared" si="14"/>
        <v>#REF!</v>
      </c>
      <c r="R39" s="5" t="e">
        <f t="shared" si="15"/>
        <v>#REF!</v>
      </c>
    </row>
    <row r="40" spans="1:20" s="14" customFormat="1" ht="15">
      <c r="A40" s="201" t="s">
        <v>27</v>
      </c>
      <c r="B40" s="202"/>
      <c r="C40" s="202"/>
      <c r="D40" s="202"/>
      <c r="E40" s="202"/>
      <c r="F40" s="202"/>
      <c r="G40" s="202"/>
      <c r="H40" s="78">
        <f>SUM(H33:H39)</f>
        <v>218980.30000000002</v>
      </c>
      <c r="I40" s="79">
        <f>SUM(I33:I39)</f>
        <v>0.5293109348934515</v>
      </c>
      <c r="M40" s="15"/>
      <c r="N40" s="15"/>
      <c r="O40" s="15"/>
      <c r="P40" s="15"/>
      <c r="Q40" s="15"/>
      <c r="R40" s="15"/>
      <c r="T40" s="70"/>
    </row>
    <row r="41" spans="1:9" ht="15">
      <c r="A41" s="201" t="s">
        <v>49</v>
      </c>
      <c r="B41" s="202"/>
      <c r="C41" s="202"/>
      <c r="D41" s="202"/>
      <c r="E41" s="202"/>
      <c r="F41" s="202"/>
      <c r="G41" s="202"/>
      <c r="H41" s="78">
        <f>+H40+H30</f>
        <v>395789.30000000005</v>
      </c>
      <c r="I41" s="79">
        <f>+I40+I30</f>
        <v>0.956686991495695</v>
      </c>
    </row>
    <row r="42" spans="1:9" ht="15">
      <c r="A42" s="205" t="s">
        <v>50</v>
      </c>
      <c r="B42" s="206"/>
      <c r="C42" s="206"/>
      <c r="D42" s="207"/>
      <c r="E42" s="211" t="s">
        <v>14</v>
      </c>
      <c r="F42" s="211"/>
      <c r="G42" s="211"/>
      <c r="H42" s="214" t="s">
        <v>15</v>
      </c>
      <c r="I42" s="215"/>
    </row>
    <row r="43" spans="1:18" ht="15">
      <c r="A43" s="208"/>
      <c r="B43" s="209"/>
      <c r="C43" s="209"/>
      <c r="D43" s="210"/>
      <c r="E43" s="212" t="s">
        <v>16</v>
      </c>
      <c r="F43" s="213"/>
      <c r="G43" s="75" t="s">
        <v>17</v>
      </c>
      <c r="H43" s="76" t="s">
        <v>18</v>
      </c>
      <c r="I43" s="77" t="s">
        <v>19</v>
      </c>
      <c r="L43" s="72"/>
      <c r="M43" s="5">
        <v>1</v>
      </c>
      <c r="N43" s="5">
        <v>2</v>
      </c>
      <c r="O43" s="5">
        <v>3</v>
      </c>
      <c r="P43" s="5">
        <v>4</v>
      </c>
      <c r="Q43" s="5">
        <v>5</v>
      </c>
      <c r="R43" s="5">
        <v>6</v>
      </c>
    </row>
    <row r="44" spans="1:18" ht="15">
      <c r="A44" s="11"/>
      <c r="B44" s="199" t="s">
        <v>61</v>
      </c>
      <c r="C44" s="199"/>
      <c r="D44" s="200"/>
      <c r="E44" s="108">
        <f>+B16</f>
        <v>6</v>
      </c>
      <c r="F44" s="1" t="s">
        <v>26</v>
      </c>
      <c r="G44" s="69">
        <f>+B14</f>
        <v>0.0105</v>
      </c>
      <c r="H44" s="2">
        <f>+(H41*B15)*((1+G44)^E44-1)</f>
        <v>17918.948903038377</v>
      </c>
      <c r="I44" s="3">
        <f>+H44/H47</f>
        <v>0.04331300850430486</v>
      </c>
      <c r="L44" s="10" t="e">
        <f>#REF!+1</f>
        <v>#REF!</v>
      </c>
      <c r="M44" s="5" t="e">
        <f>CONCATENATE("CI-",IF(L44&lt;10,"0",""),L44,"-??-??-??-??-??")</f>
        <v>#REF!</v>
      </c>
      <c r="N44" s="5" t="e">
        <f>CONCATENATE("CI-??-",IF(L44&lt;10,"0",""),L44,"-??-??-??-??")</f>
        <v>#REF!</v>
      </c>
      <c r="O44" s="5" t="e">
        <f>CONCATENATE("CI-??-??-",IF(L44&lt;10,"0",""),L44,"-??-??-??")</f>
        <v>#REF!</v>
      </c>
      <c r="P44" s="5" t="e">
        <f>CONCATENATE("CI-??-??-??-",IF(L44&lt;10,"0",""),L44,"-??-??")</f>
        <v>#REF!</v>
      </c>
      <c r="Q44" s="5" t="e">
        <f>CONCATENATE("CI-??-??-??-??-",IF(L44&lt;10,"0",""),L44,"-??")</f>
        <v>#REF!</v>
      </c>
      <c r="R44" s="5" t="e">
        <f>CONCATENATE("CI-??-??-??-??-??-",IF(L44&lt;10,"0",""),L44)</f>
        <v>#REF!</v>
      </c>
    </row>
    <row r="45" spans="1:18" s="14" customFormat="1" ht="15">
      <c r="A45" s="201" t="s">
        <v>53</v>
      </c>
      <c r="B45" s="202"/>
      <c r="C45" s="202"/>
      <c r="D45" s="202"/>
      <c r="E45" s="202"/>
      <c r="F45" s="202"/>
      <c r="G45" s="202"/>
      <c r="H45" s="78">
        <f>+H44</f>
        <v>17918.948903038377</v>
      </c>
      <c r="I45" s="79">
        <f>+I44</f>
        <v>0.04331300850430486</v>
      </c>
      <c r="M45" s="15"/>
      <c r="N45" s="15"/>
      <c r="O45" s="15"/>
      <c r="P45" s="15"/>
      <c r="Q45" s="15"/>
      <c r="R45" s="15"/>
    </row>
    <row r="47" spans="1:9" ht="15">
      <c r="A47" s="203" t="s">
        <v>28</v>
      </c>
      <c r="B47" s="204"/>
      <c r="C47" s="204"/>
      <c r="D47" s="204"/>
      <c r="E47" s="204"/>
      <c r="F47" s="204"/>
      <c r="G47" s="204"/>
      <c r="H47" s="80">
        <f>+H45+H41</f>
        <v>413708.24890303845</v>
      </c>
      <c r="I47" s="81">
        <f>+I45+I41</f>
        <v>0.9999999999999999</v>
      </c>
    </row>
    <row r="49" spans="1:9" ht="15">
      <c r="A49" s="125" t="s">
        <v>101</v>
      </c>
      <c r="B49" s="126"/>
      <c r="C49" s="125"/>
      <c r="D49" s="127"/>
      <c r="E49" s="128"/>
      <c r="F49" s="129"/>
      <c r="G49" s="130"/>
      <c r="H49" s="131">
        <f>+B11*B12</f>
        <v>480000</v>
      </c>
      <c r="I49" s="132">
        <f>+H49/H49</f>
        <v>1</v>
      </c>
    </row>
    <row r="50" spans="1:9" ht="15">
      <c r="A50" s="125" t="s">
        <v>102</v>
      </c>
      <c r="B50" s="126"/>
      <c r="C50" s="125"/>
      <c r="D50" s="127"/>
      <c r="E50" s="128"/>
      <c r="F50" s="129"/>
      <c r="G50" s="130"/>
      <c r="H50" s="131">
        <f>+H49-H41</f>
        <v>84210.69999999995</v>
      </c>
      <c r="I50" s="132">
        <f>+H50/H49</f>
        <v>0.17543895833333323</v>
      </c>
    </row>
    <row r="51" spans="1:9" ht="15">
      <c r="A51" s="125" t="s">
        <v>103</v>
      </c>
      <c r="B51" s="126"/>
      <c r="C51" s="125"/>
      <c r="D51" s="127"/>
      <c r="E51" s="128"/>
      <c r="F51" s="129"/>
      <c r="G51" s="130"/>
      <c r="H51" s="131">
        <f>+H49-H47</f>
        <v>66291.75109696155</v>
      </c>
      <c r="I51" s="132">
        <f>+H51/H49</f>
        <v>0.13810781478533657</v>
      </c>
    </row>
    <row r="52" spans="1:9" ht="15.75">
      <c r="A52" s="133"/>
      <c r="B52" s="134"/>
      <c r="C52" s="134"/>
      <c r="D52" s="135"/>
      <c r="E52" s="136"/>
      <c r="F52" s="137"/>
      <c r="G52" s="138"/>
      <c r="H52" s="139"/>
      <c r="I52" s="140"/>
    </row>
    <row r="53" spans="1:9" ht="15.75">
      <c r="A53" s="134"/>
      <c r="B53" s="140"/>
      <c r="C53" s="140"/>
      <c r="D53" s="140"/>
      <c r="E53" s="140"/>
      <c r="F53" s="140"/>
      <c r="G53" s="134"/>
      <c r="H53" s="140"/>
      <c r="I53" s="140"/>
    </row>
    <row r="54" spans="1:9" ht="15.75">
      <c r="A54" s="134"/>
      <c r="B54" s="140"/>
      <c r="C54" s="140"/>
      <c r="D54" s="140"/>
      <c r="E54" s="140"/>
      <c r="F54" s="140"/>
      <c r="G54" s="134"/>
      <c r="H54" s="140"/>
      <c r="I54" s="140"/>
    </row>
    <row r="55" spans="1:9" ht="15.75">
      <c r="A55" s="134"/>
      <c r="B55" s="182" t="s">
        <v>104</v>
      </c>
      <c r="C55" s="183"/>
      <c r="D55" s="183"/>
      <c r="E55" s="184"/>
      <c r="F55" s="140"/>
      <c r="G55" s="134"/>
      <c r="H55" s="140"/>
      <c r="I55" s="140"/>
    </row>
    <row r="56" spans="1:9" ht="15.75">
      <c r="A56" s="134"/>
      <c r="B56" s="141"/>
      <c r="C56" s="141"/>
      <c r="D56" s="141"/>
      <c r="E56" s="141"/>
      <c r="F56" s="140"/>
      <c r="G56" s="134"/>
      <c r="H56" s="140"/>
      <c r="I56" s="140"/>
    </row>
    <row r="57" spans="1:9" ht="15.75">
      <c r="A57" s="140"/>
      <c r="B57" s="185" t="s">
        <v>105</v>
      </c>
      <c r="C57" s="186"/>
      <c r="D57" s="186"/>
      <c r="E57" s="187"/>
      <c r="F57" s="140"/>
      <c r="G57" s="140"/>
      <c r="H57" s="140"/>
      <c r="I57" s="140"/>
    </row>
    <row r="58" spans="1:9" ht="15.75">
      <c r="A58" s="140"/>
      <c r="B58" s="188"/>
      <c r="C58" s="189"/>
      <c r="D58" s="189"/>
      <c r="E58" s="190"/>
      <c r="F58" s="140"/>
      <c r="G58" s="140"/>
      <c r="H58" s="140"/>
      <c r="I58" s="140"/>
    </row>
    <row r="59" spans="1:9" ht="15.75">
      <c r="A59" s="140"/>
      <c r="B59" s="142"/>
      <c r="C59" s="191" t="s">
        <v>106</v>
      </c>
      <c r="D59" s="192"/>
      <c r="E59" s="193"/>
      <c r="F59" s="140"/>
      <c r="G59" s="140"/>
      <c r="H59" s="140"/>
      <c r="I59" s="140"/>
    </row>
    <row r="60" spans="1:9" ht="15.75">
      <c r="A60" s="140"/>
      <c r="B60" s="143" t="s">
        <v>107</v>
      </c>
      <c r="C60" s="144">
        <f>D60*0.9</f>
        <v>9000</v>
      </c>
      <c r="D60" s="144">
        <f>+B12</f>
        <v>10000</v>
      </c>
      <c r="E60" s="144">
        <f>D60*1.1</f>
        <v>11000</v>
      </c>
      <c r="F60" s="140"/>
      <c r="G60" s="140"/>
      <c r="H60" s="140"/>
      <c r="I60" s="140"/>
    </row>
    <row r="61" spans="1:9" ht="15.75">
      <c r="A61" s="140"/>
      <c r="B61" s="145">
        <f>B62*0.9</f>
        <v>43.2</v>
      </c>
      <c r="C61" s="146">
        <f>+B61*C60-H47</f>
        <v>-24908.248903038446</v>
      </c>
      <c r="D61" s="146">
        <f>+D60*B61-H47</f>
        <v>18291.751096961554</v>
      </c>
      <c r="E61" s="146">
        <f>+E60*B61-H47</f>
        <v>61491.75109696161</v>
      </c>
      <c r="F61" s="140"/>
      <c r="G61" s="147"/>
      <c r="H61" s="140"/>
      <c r="I61" s="140"/>
    </row>
    <row r="62" spans="1:9" ht="15.75">
      <c r="A62" s="140"/>
      <c r="B62" s="148">
        <f>+B11</f>
        <v>48</v>
      </c>
      <c r="C62" s="146">
        <f>+C60*B62-H47</f>
        <v>18291.751096961554</v>
      </c>
      <c r="D62" s="146">
        <f>+D60*B62-H47</f>
        <v>66291.75109696155</v>
      </c>
      <c r="E62" s="146">
        <f>+E60*B62-H47</f>
        <v>114291.75109696155</v>
      </c>
      <c r="F62" s="140"/>
      <c r="G62" s="140"/>
      <c r="H62" s="140"/>
      <c r="I62" s="140"/>
    </row>
    <row r="63" spans="1:9" ht="15.75">
      <c r="A63" s="140"/>
      <c r="B63" s="148">
        <f>B62*1.1</f>
        <v>52.800000000000004</v>
      </c>
      <c r="C63" s="146">
        <f>+C60*B63-H47</f>
        <v>61491.75109696161</v>
      </c>
      <c r="D63" s="146">
        <f>+D60*B63-H47</f>
        <v>114291.75109696155</v>
      </c>
      <c r="E63" s="146">
        <f>+E60*B63-H47</f>
        <v>167091.75109696155</v>
      </c>
      <c r="F63" s="140"/>
      <c r="G63" s="140"/>
      <c r="H63" s="140"/>
      <c r="I63" s="140"/>
    </row>
    <row r="64" spans="1:9" ht="15.75">
      <c r="A64" s="140"/>
      <c r="B64" s="149"/>
      <c r="C64" s="149"/>
      <c r="D64" s="149"/>
      <c r="E64" s="149"/>
      <c r="F64" s="140"/>
      <c r="G64" s="140"/>
      <c r="H64" s="140"/>
      <c r="I64" s="140"/>
    </row>
    <row r="65" spans="1:9" ht="15.75">
      <c r="A65" s="140"/>
      <c r="B65" s="149"/>
      <c r="C65" s="149"/>
      <c r="D65" s="149"/>
      <c r="E65" s="149"/>
      <c r="F65" s="140"/>
      <c r="G65" s="140"/>
      <c r="H65" s="140"/>
      <c r="I65" s="140"/>
    </row>
    <row r="66" spans="1:9" ht="15.75">
      <c r="A66" s="140"/>
      <c r="B66" s="150"/>
      <c r="C66" s="194" t="s">
        <v>106</v>
      </c>
      <c r="D66" s="195"/>
      <c r="E66" s="196"/>
      <c r="F66" s="140"/>
      <c r="G66" s="140"/>
      <c r="H66" s="140"/>
      <c r="I66" s="140"/>
    </row>
    <row r="67" spans="1:9" ht="15.75">
      <c r="A67" s="140"/>
      <c r="B67" s="151"/>
      <c r="C67" s="152">
        <f>D67*0.9</f>
        <v>9000</v>
      </c>
      <c r="D67" s="152">
        <f>+B12</f>
        <v>10000</v>
      </c>
      <c r="E67" s="152">
        <f>D67*1.1</f>
        <v>11000</v>
      </c>
      <c r="F67" s="140"/>
      <c r="G67" s="140"/>
      <c r="H67" s="140"/>
      <c r="I67" s="140"/>
    </row>
    <row r="68" spans="1:9" ht="15.75">
      <c r="A68" s="140"/>
      <c r="B68" s="153" t="s">
        <v>108</v>
      </c>
      <c r="C68" s="154">
        <f>+$H$47/C67</f>
        <v>45.96758321144872</v>
      </c>
      <c r="D68" s="154">
        <f>+$H$47/D67</f>
        <v>41.370824890303844</v>
      </c>
      <c r="E68" s="154">
        <f>+$H$47/E67</f>
        <v>37.60984080936713</v>
      </c>
      <c r="F68" s="140"/>
      <c r="G68" s="140"/>
      <c r="H68" s="140"/>
      <c r="I68" s="140"/>
    </row>
    <row r="69" spans="1:9" ht="15.75">
      <c r="A69" s="140"/>
      <c r="B69" s="155"/>
      <c r="C69" s="155"/>
      <c r="D69" s="155"/>
      <c r="E69" s="155"/>
      <c r="F69" s="140"/>
      <c r="G69" s="140"/>
      <c r="H69" s="140"/>
      <c r="I69" s="140"/>
    </row>
    <row r="70" spans="1:9" ht="15.75">
      <c r="A70" s="140"/>
      <c r="B70" s="156" t="s">
        <v>109</v>
      </c>
      <c r="C70" s="157"/>
      <c r="D70" s="155"/>
      <c r="E70" s="155"/>
      <c r="F70" s="140"/>
      <c r="G70" s="140"/>
      <c r="H70" s="140"/>
      <c r="I70" s="140"/>
    </row>
  </sheetData>
  <sheetProtection/>
  <mergeCells count="45">
    <mergeCell ref="H42:I42"/>
    <mergeCell ref="B22:C22"/>
    <mergeCell ref="A28:I28"/>
    <mergeCell ref="B29:C29"/>
    <mergeCell ref="A20:I20"/>
    <mergeCell ref="B21:C21"/>
    <mergeCell ref="A30:G30"/>
    <mergeCell ref="B33:C33"/>
    <mergeCell ref="B34:C34"/>
    <mergeCell ref="A31:C32"/>
    <mergeCell ref="B39:C39"/>
    <mergeCell ref="A18:C19"/>
    <mergeCell ref="D18:D19"/>
    <mergeCell ref="E18:G18"/>
    <mergeCell ref="E32:F32"/>
    <mergeCell ref="B36:C36"/>
    <mergeCell ref="B37:C37"/>
    <mergeCell ref="B38:C38"/>
    <mergeCell ref="D31:D32"/>
    <mergeCell ref="E31:G31"/>
    <mergeCell ref="H18:I18"/>
    <mergeCell ref="E19:F19"/>
    <mergeCell ref="B25:C25"/>
    <mergeCell ref="B26:C26"/>
    <mergeCell ref="B27:C27"/>
    <mergeCell ref="H31:I31"/>
    <mergeCell ref="B23:C23"/>
    <mergeCell ref="B24:C24"/>
    <mergeCell ref="A45:G45"/>
    <mergeCell ref="A47:G47"/>
    <mergeCell ref="A40:G40"/>
    <mergeCell ref="A42:D43"/>
    <mergeCell ref="E42:G42"/>
    <mergeCell ref="A41:G41"/>
    <mergeCell ref="E43:F43"/>
    <mergeCell ref="A1:I1"/>
    <mergeCell ref="A9:B9"/>
    <mergeCell ref="B55:E55"/>
    <mergeCell ref="B57:E58"/>
    <mergeCell ref="C59:E59"/>
    <mergeCell ref="C66:E66"/>
    <mergeCell ref="A2:I2"/>
    <mergeCell ref="A6:B6"/>
    <mergeCell ref="B35:C35"/>
    <mergeCell ref="B44:D44"/>
  </mergeCells>
  <conditionalFormatting sqref="G44">
    <cfRule type="expression" priority="1" dxfId="0">
      <formula>(F44="tasa mes")</formula>
    </cfRule>
  </conditionalFormatting>
  <printOptions/>
  <pageMargins left="0.99" right="0.7086614173228347" top="0.885" bottom="0.7480314960629921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74"/>
  <sheetViews>
    <sheetView tabSelected="1" zoomScalePageLayoutView="0" workbookViewId="0" topLeftCell="A22">
      <selection activeCell="G38" sqref="G38"/>
    </sheetView>
  </sheetViews>
  <sheetFormatPr defaultColWidth="11.421875" defaultRowHeight="15"/>
  <cols>
    <col min="1" max="1" width="44.00390625" style="4" customWidth="1"/>
    <col min="2" max="2" width="28.57421875" style="4" customWidth="1"/>
    <col min="3" max="3" width="10.00390625" style="4" customWidth="1"/>
    <col min="4" max="4" width="22.28125" style="4" customWidth="1"/>
    <col min="5" max="5" width="9.8515625" style="4" customWidth="1"/>
    <col min="6" max="6" width="8.57421875" style="4" customWidth="1"/>
    <col min="7" max="8" width="13.7109375" style="7" customWidth="1"/>
    <col min="9" max="9" width="11.140625" style="8" customWidth="1"/>
    <col min="10" max="10" width="11.421875" style="4" hidden="1" customWidth="1"/>
    <col min="11" max="11" width="19.8515625" style="4" hidden="1" customWidth="1"/>
    <col min="12" max="12" width="29.57421875" style="4" hidden="1" customWidth="1"/>
    <col min="13" max="13" width="22.140625" style="5" hidden="1" customWidth="1"/>
    <col min="14" max="14" width="24.421875" style="5" hidden="1" customWidth="1"/>
    <col min="15" max="18" width="22.140625" style="5" hidden="1" customWidth="1"/>
    <col min="19" max="19" width="11.421875" style="4" hidden="1" customWidth="1"/>
    <col min="20" max="20" width="11.421875" style="4" customWidth="1"/>
    <col min="21" max="16384" width="11.421875" style="4" customWidth="1"/>
  </cols>
  <sheetData>
    <row r="1" spans="1:9" ht="23.25">
      <c r="A1" s="180" t="s">
        <v>100</v>
      </c>
      <c r="B1" s="180"/>
      <c r="C1" s="180"/>
      <c r="D1" s="180"/>
      <c r="E1" s="180"/>
      <c r="F1" s="180"/>
      <c r="G1" s="180"/>
      <c r="H1" s="180"/>
      <c r="I1" s="180"/>
    </row>
    <row r="2" spans="1:9" ht="21">
      <c r="A2" s="197" t="s">
        <v>110</v>
      </c>
      <c r="B2" s="197"/>
      <c r="C2" s="197"/>
      <c r="D2" s="197"/>
      <c r="E2" s="197"/>
      <c r="F2" s="197"/>
      <c r="G2" s="197"/>
      <c r="H2" s="197"/>
      <c r="I2" s="197"/>
    </row>
    <row r="3" spans="1:9" ht="15.75">
      <c r="A3" s="110" t="s">
        <v>89</v>
      </c>
      <c r="B3" s="111" t="s">
        <v>62</v>
      </c>
      <c r="F3" s="109"/>
      <c r="G3" s="112"/>
      <c r="H3" s="112"/>
      <c r="I3" s="113"/>
    </row>
    <row r="4" spans="1:9" ht="15.75">
      <c r="A4" s="110" t="s">
        <v>13</v>
      </c>
      <c r="B4" s="111" t="s">
        <v>63</v>
      </c>
      <c r="F4" s="109"/>
      <c r="G4" s="109"/>
      <c r="H4" s="112"/>
      <c r="I4" s="113"/>
    </row>
    <row r="5" spans="1:9" ht="15.75">
      <c r="A5" s="110" t="s">
        <v>90</v>
      </c>
      <c r="B5" s="111" t="s">
        <v>111</v>
      </c>
      <c r="F5" s="109"/>
      <c r="G5" s="109"/>
      <c r="H5" s="112"/>
      <c r="I5" s="113"/>
    </row>
    <row r="6" spans="1:9" ht="15">
      <c r="A6" s="198" t="s">
        <v>92</v>
      </c>
      <c r="B6" s="198"/>
      <c r="E6" s="114"/>
      <c r="F6" s="109"/>
      <c r="G6" s="109"/>
      <c r="H6" s="112"/>
      <c r="I6" s="113"/>
    </row>
    <row r="9" spans="1:2" ht="15">
      <c r="A9" s="181" t="s">
        <v>93</v>
      </c>
      <c r="B9" s="181"/>
    </row>
    <row r="10" spans="1:2" ht="15">
      <c r="A10" s="115"/>
      <c r="B10" s="116"/>
    </row>
    <row r="11" spans="1:2" ht="15">
      <c r="A11" s="117" t="s">
        <v>94</v>
      </c>
      <c r="B11" s="118">
        <v>60</v>
      </c>
    </row>
    <row r="12" spans="1:2" ht="15">
      <c r="A12" s="119" t="s">
        <v>95</v>
      </c>
      <c r="B12" s="120">
        <v>10000</v>
      </c>
    </row>
    <row r="13" spans="1:2" ht="15">
      <c r="A13" s="119" t="s">
        <v>96</v>
      </c>
      <c r="B13" s="120">
        <v>6690</v>
      </c>
    </row>
    <row r="14" spans="1:2" ht="15">
      <c r="A14" s="119" t="s">
        <v>97</v>
      </c>
      <c r="B14" s="121">
        <v>0.0105</v>
      </c>
    </row>
    <row r="15" spans="1:2" ht="15">
      <c r="A15" s="119" t="s">
        <v>98</v>
      </c>
      <c r="B15" s="122">
        <v>0.6</v>
      </c>
    </row>
    <row r="16" spans="1:2" ht="15">
      <c r="A16" s="123" t="s">
        <v>99</v>
      </c>
      <c r="B16" s="124">
        <v>6</v>
      </c>
    </row>
    <row r="17" spans="12:15" ht="15">
      <c r="L17" s="4" t="e">
        <f ca="1">OFFSET(INDEX(CULTIVO,1),2,MATCH(#REF!,CULTIVO,0)-1,OFFSET(INDEX(CULTIVO,1),1,MATCH(#REF!,CULTIVO,0)-1))</f>
        <v>#REF!</v>
      </c>
      <c r="O17" s="6">
        <v>6</v>
      </c>
    </row>
    <row r="18" spans="1:18" s="9" customFormat="1" ht="12.75" customHeight="1">
      <c r="A18" s="235" t="s">
        <v>0</v>
      </c>
      <c r="B18" s="235"/>
      <c r="C18" s="235"/>
      <c r="D18" s="235" t="s">
        <v>20</v>
      </c>
      <c r="E18" s="237" t="s">
        <v>14</v>
      </c>
      <c r="F18" s="237"/>
      <c r="G18" s="237"/>
      <c r="H18" s="238" t="s">
        <v>15</v>
      </c>
      <c r="I18" s="238"/>
      <c r="M18" s="5"/>
      <c r="N18" s="5"/>
      <c r="O18" s="5"/>
      <c r="P18" s="5"/>
      <c r="Q18" s="5"/>
      <c r="R18" s="5"/>
    </row>
    <row r="19" spans="1:18" s="9" customFormat="1" ht="12.75" customHeight="1">
      <c r="A19" s="235"/>
      <c r="B19" s="235"/>
      <c r="C19" s="235"/>
      <c r="D19" s="235"/>
      <c r="E19" s="237" t="s">
        <v>16</v>
      </c>
      <c r="F19" s="239"/>
      <c r="G19" s="98" t="s">
        <v>17</v>
      </c>
      <c r="H19" s="99" t="s">
        <v>18</v>
      </c>
      <c r="I19" s="100" t="s">
        <v>19</v>
      </c>
      <c r="M19" s="5"/>
      <c r="N19" s="5"/>
      <c r="O19" s="5"/>
      <c r="P19" s="5"/>
      <c r="Q19" s="5"/>
      <c r="R19" s="5"/>
    </row>
    <row r="20" spans="1:18" ht="15">
      <c r="A20" s="227" t="s">
        <v>21</v>
      </c>
      <c r="B20" s="228"/>
      <c r="C20" s="228"/>
      <c r="D20" s="229"/>
      <c r="E20" s="229"/>
      <c r="F20" s="229"/>
      <c r="G20" s="229"/>
      <c r="H20" s="229"/>
      <c r="I20" s="230"/>
      <c r="L20" s="72">
        <f>""</f>
      </c>
      <c r="M20" s="5">
        <v>1</v>
      </c>
      <c r="N20" s="5">
        <v>2</v>
      </c>
      <c r="O20" s="5">
        <v>3</v>
      </c>
      <c r="P20" s="5">
        <v>4</v>
      </c>
      <c r="Q20" s="5">
        <v>5</v>
      </c>
      <c r="R20" s="5">
        <v>6</v>
      </c>
    </row>
    <row r="21" spans="1:20" ht="15">
      <c r="A21" s="82"/>
      <c r="B21" s="216" t="s">
        <v>64</v>
      </c>
      <c r="C21" s="216"/>
      <c r="D21" s="12" t="s">
        <v>85</v>
      </c>
      <c r="E21" s="71" t="s">
        <v>57</v>
      </c>
      <c r="F21" s="12" t="s">
        <v>25</v>
      </c>
      <c r="G21" s="162">
        <v>30000</v>
      </c>
      <c r="H21" s="13">
        <f>+G21*E21</f>
        <v>30000</v>
      </c>
      <c r="I21" s="83">
        <f aca="true" t="shared" si="0" ref="I21:I29">+H21/$H$51</f>
        <v>0.05491358854455729</v>
      </c>
      <c r="K21" s="4">
        <f>_xlfn.IFERROR(VLOOKUP(HLOOKUP(#REF!,$M$20:$R$29,L21+1,FALSE),LABORES,13,FALSE),"")</f>
      </c>
      <c r="L21" s="10">
        <v>1</v>
      </c>
      <c r="M21" s="5" t="str">
        <f>CONCATENATE("CU-",IF(L21&lt;10,"0",""),L21,"-??-??-??-??-??")</f>
        <v>CU-01-??-??-??-??-??</v>
      </c>
      <c r="N21" s="5" t="str">
        <f>CONCATENATE("CU-??-",IF(L21&lt;10,"0",""),L21,"-??-??-??-??")</f>
        <v>CU-??-01-??-??-??-??</v>
      </c>
      <c r="O21" s="5" t="str">
        <f>CONCATENATE("CU-??-??-",IF(L21&lt;10,"0",""),L21,"-??-??-??")</f>
        <v>CU-??-??-01-??-??-??</v>
      </c>
      <c r="P21" s="5" t="str">
        <f>CONCATENATE("CU-??-??-??-",IF(L21&lt;10,"0",""),L21,"-??-??")</f>
        <v>CU-??-??-??-01-??-??</v>
      </c>
      <c r="Q21" s="5" t="str">
        <f>CONCATENATE("CU-??-??-??-??-",IF(L21&lt;10,"0",""),L21,"-??")</f>
        <v>CU-??-??-??-??-01-??</v>
      </c>
      <c r="R21" s="5" t="str">
        <f>CONCATENATE("CU-??-??-??-??-??-",IF(L21&lt;10,"0",""),L21)</f>
        <v>CU-??-??-??-??-??-01</v>
      </c>
      <c r="T21" s="7"/>
    </row>
    <row r="22" spans="1:20" ht="15">
      <c r="A22" s="82"/>
      <c r="B22" s="216" t="s">
        <v>2</v>
      </c>
      <c r="C22" s="216"/>
      <c r="D22" s="12" t="s">
        <v>73</v>
      </c>
      <c r="E22" s="71">
        <v>2</v>
      </c>
      <c r="F22" s="12" t="s">
        <v>25</v>
      </c>
      <c r="G22" s="162">
        <v>23000</v>
      </c>
      <c r="H22" s="13">
        <f aca="true" t="shared" si="1" ref="H22:H29">+G22*E22</f>
        <v>46000</v>
      </c>
      <c r="I22" s="83">
        <f t="shared" si="0"/>
        <v>0.08420083576832117</v>
      </c>
      <c r="K22" s="4">
        <f>_xlfn.IFERROR(VLOOKUP(HLOOKUP(#REF!,$M$20:$R$29,L22+1,FALSE),LABORES,13,FALSE),"")</f>
      </c>
      <c r="L22" s="10">
        <f>L21+1</f>
        <v>2</v>
      </c>
      <c r="M22" s="5" t="str">
        <f aca="true" t="shared" si="2" ref="M22:M29">CONCATENATE("CU-",IF(L22&lt;10,"0",""),L22,"-??-??-??-??-??")</f>
        <v>CU-02-??-??-??-??-??</v>
      </c>
      <c r="N22" s="5" t="str">
        <f aca="true" t="shared" si="3" ref="N22:N29">CONCATENATE("CU-??-",IF(L22&lt;10,"0",""),L22,"-??-??-??-??")</f>
        <v>CU-??-02-??-??-??-??</v>
      </c>
      <c r="O22" s="5" t="str">
        <f aca="true" t="shared" si="4" ref="O22:O29">CONCATENATE("CU-??-??-",IF(L22&lt;10,"0",""),L22,"-??-??-??")</f>
        <v>CU-??-??-02-??-??-??</v>
      </c>
      <c r="P22" s="5" t="str">
        <f aca="true" t="shared" si="5" ref="P22:P29">CONCATENATE("CU-??-??-??-",IF(L22&lt;10,"0",""),L22,"-??-??")</f>
        <v>CU-??-??-??-02-??-??</v>
      </c>
      <c r="Q22" s="5" t="str">
        <f aca="true" t="shared" si="6" ref="Q22:Q29">CONCATENATE("CU-??-??-??-??-",IF(L22&lt;10,"0",""),L22,"-??")</f>
        <v>CU-??-??-??-??-02-??</v>
      </c>
      <c r="R22" s="5" t="str">
        <f aca="true" t="shared" si="7" ref="R22:R29">CONCATENATE("CU-??-??-??-??-??-",IF(L22&lt;10,"0",""),L22)</f>
        <v>CU-??-??-??-??-??-02</v>
      </c>
      <c r="T22" s="7"/>
    </row>
    <row r="23" spans="1:20" ht="15">
      <c r="A23" s="82"/>
      <c r="B23" s="216" t="s">
        <v>65</v>
      </c>
      <c r="C23" s="216"/>
      <c r="D23" s="12" t="s">
        <v>83</v>
      </c>
      <c r="E23" s="71">
        <v>1</v>
      </c>
      <c r="F23" s="12" t="s">
        <v>25</v>
      </c>
      <c r="G23" s="162">
        <v>23000</v>
      </c>
      <c r="H23" s="13">
        <f t="shared" si="1"/>
        <v>23000</v>
      </c>
      <c r="I23" s="83">
        <f t="shared" si="0"/>
        <v>0.042100417884160586</v>
      </c>
      <c r="K23" s="4">
        <f>_xlfn.IFERROR(VLOOKUP(HLOOKUP(#REF!,$M$20:$R$29,L23+1,FALSE),LABORES,13,FALSE),"")</f>
      </c>
      <c r="L23" s="10">
        <f aca="true" t="shared" si="8" ref="L23:L29">L22+1</f>
        <v>3</v>
      </c>
      <c r="M23" s="5" t="str">
        <f t="shared" si="2"/>
        <v>CU-03-??-??-??-??-??</v>
      </c>
      <c r="N23" s="5" t="str">
        <f t="shared" si="3"/>
        <v>CU-??-03-??-??-??-??</v>
      </c>
      <c r="O23" s="5" t="str">
        <f t="shared" si="4"/>
        <v>CU-??-??-03-??-??-??</v>
      </c>
      <c r="P23" s="5" t="str">
        <f t="shared" si="5"/>
        <v>CU-??-??-??-03-??-??</v>
      </c>
      <c r="Q23" s="5" t="str">
        <f t="shared" si="6"/>
        <v>CU-??-??-??-??-03-??</v>
      </c>
      <c r="R23" s="5" t="str">
        <f t="shared" si="7"/>
        <v>CU-??-??-??-??-??-03</v>
      </c>
      <c r="T23" s="7"/>
    </row>
    <row r="24" spans="1:20" ht="15">
      <c r="A24" s="82"/>
      <c r="B24" s="216" t="s">
        <v>5</v>
      </c>
      <c r="C24" s="216"/>
      <c r="D24" s="12" t="s">
        <v>75</v>
      </c>
      <c r="E24" s="71">
        <v>1</v>
      </c>
      <c r="F24" s="12" t="s">
        <v>25</v>
      </c>
      <c r="G24" s="162">
        <v>11000</v>
      </c>
      <c r="H24" s="13">
        <f t="shared" si="1"/>
        <v>11000</v>
      </c>
      <c r="I24" s="83">
        <f t="shared" si="0"/>
        <v>0.020134982466337673</v>
      </c>
      <c r="K24" s="4">
        <f>_xlfn.IFERROR(VLOOKUP(HLOOKUP(#REF!,$M$20:$R$29,L24+1,FALSE),LABORES,13,FALSE),"")</f>
      </c>
      <c r="L24" s="10">
        <f t="shared" si="8"/>
        <v>4</v>
      </c>
      <c r="M24" s="5" t="str">
        <f t="shared" si="2"/>
        <v>CU-04-??-??-??-??-??</v>
      </c>
      <c r="N24" s="5" t="str">
        <f t="shared" si="3"/>
        <v>CU-??-04-??-??-??-??</v>
      </c>
      <c r="O24" s="5" t="str">
        <f t="shared" si="4"/>
        <v>CU-??-??-04-??-??-??</v>
      </c>
      <c r="P24" s="5" t="str">
        <f t="shared" si="5"/>
        <v>CU-??-??-??-04-??-??</v>
      </c>
      <c r="Q24" s="5" t="str">
        <f t="shared" si="6"/>
        <v>CU-??-??-??-??-04-??</v>
      </c>
      <c r="R24" s="5" t="str">
        <f t="shared" si="7"/>
        <v>CU-??-??-??-??-??-04</v>
      </c>
      <c r="T24" s="7"/>
    </row>
    <row r="25" spans="1:20" ht="15">
      <c r="A25" s="82"/>
      <c r="B25" s="216" t="s">
        <v>66</v>
      </c>
      <c r="C25" s="216"/>
      <c r="D25" s="12" t="s">
        <v>86</v>
      </c>
      <c r="E25" s="71">
        <v>1</v>
      </c>
      <c r="F25" s="12" t="s">
        <v>25</v>
      </c>
      <c r="G25" s="162">
        <v>11000</v>
      </c>
      <c r="H25" s="13">
        <f t="shared" si="1"/>
        <v>11000</v>
      </c>
      <c r="I25" s="83">
        <f t="shared" si="0"/>
        <v>0.020134982466337673</v>
      </c>
      <c r="K25" s="4">
        <f>_xlfn.IFERROR(VLOOKUP(HLOOKUP(#REF!,$M$20:$R$29,L25+1,FALSE),LABORES,13,FALSE),"")</f>
      </c>
      <c r="L25" s="10">
        <f t="shared" si="8"/>
        <v>5</v>
      </c>
      <c r="M25" s="5" t="str">
        <f t="shared" si="2"/>
        <v>CU-05-??-??-??-??-??</v>
      </c>
      <c r="N25" s="5" t="str">
        <f t="shared" si="3"/>
        <v>CU-??-05-??-??-??-??</v>
      </c>
      <c r="O25" s="5" t="str">
        <f t="shared" si="4"/>
        <v>CU-??-??-05-??-??-??</v>
      </c>
      <c r="P25" s="5" t="str">
        <f t="shared" si="5"/>
        <v>CU-??-??-??-05-??-??</v>
      </c>
      <c r="Q25" s="5" t="str">
        <f t="shared" si="6"/>
        <v>CU-??-??-??-??-05-??</v>
      </c>
      <c r="R25" s="5" t="str">
        <f t="shared" si="7"/>
        <v>CU-??-??-??-??-??-05</v>
      </c>
      <c r="T25" s="7"/>
    </row>
    <row r="26" spans="1:20" ht="15">
      <c r="A26" s="82"/>
      <c r="B26" s="216" t="s">
        <v>67</v>
      </c>
      <c r="C26" s="216"/>
      <c r="D26" s="12" t="s">
        <v>87</v>
      </c>
      <c r="E26" s="71">
        <v>2</v>
      </c>
      <c r="F26" s="12" t="s">
        <v>25</v>
      </c>
      <c r="G26" s="162">
        <v>11000</v>
      </c>
      <c r="H26" s="13">
        <f t="shared" si="1"/>
        <v>22000</v>
      </c>
      <c r="I26" s="83">
        <f t="shared" si="0"/>
        <v>0.040269964932675345</v>
      </c>
      <c r="K26" s="4">
        <f>_xlfn.IFERROR(VLOOKUP(HLOOKUP(#REF!,$M$20:$R$29,L26+1,FALSE),LABORES,13,FALSE),"")</f>
      </c>
      <c r="L26" s="10">
        <f t="shared" si="8"/>
        <v>6</v>
      </c>
      <c r="M26" s="5" t="str">
        <f t="shared" si="2"/>
        <v>CU-06-??-??-??-??-??</v>
      </c>
      <c r="N26" s="5" t="str">
        <f t="shared" si="3"/>
        <v>CU-??-06-??-??-??-??</v>
      </c>
      <c r="O26" s="5" t="str">
        <f t="shared" si="4"/>
        <v>CU-??-??-06-??-??-??</v>
      </c>
      <c r="P26" s="5" t="str">
        <f t="shared" si="5"/>
        <v>CU-??-??-??-06-??-??</v>
      </c>
      <c r="Q26" s="5" t="str">
        <f t="shared" si="6"/>
        <v>CU-??-??-??-??-06-??</v>
      </c>
      <c r="R26" s="5" t="str">
        <f t="shared" si="7"/>
        <v>CU-??-??-??-??-??-06</v>
      </c>
      <c r="T26" s="7"/>
    </row>
    <row r="27" spans="1:20" ht="15">
      <c r="A27" s="82"/>
      <c r="B27" s="216" t="s">
        <v>69</v>
      </c>
      <c r="C27" s="216"/>
      <c r="D27" s="12" t="s">
        <v>83</v>
      </c>
      <c r="E27" s="71">
        <v>1</v>
      </c>
      <c r="F27" s="12" t="s">
        <v>25</v>
      </c>
      <c r="G27" s="162">
        <v>30000</v>
      </c>
      <c r="H27" s="13">
        <f t="shared" si="1"/>
        <v>30000</v>
      </c>
      <c r="I27" s="83">
        <f t="shared" si="0"/>
        <v>0.05491358854455729</v>
      </c>
      <c r="K27" s="4">
        <f>_xlfn.IFERROR(VLOOKUP(HLOOKUP(#REF!,$M$20:$R$29,L27+1,FALSE),LABORES,13,FALSE),"")</f>
      </c>
      <c r="L27" s="10" t="e">
        <f>#REF!+1</f>
        <v>#REF!</v>
      </c>
      <c r="M27" s="5" t="e">
        <f t="shared" si="2"/>
        <v>#REF!</v>
      </c>
      <c r="N27" s="5" t="e">
        <f t="shared" si="3"/>
        <v>#REF!</v>
      </c>
      <c r="O27" s="5" t="e">
        <f t="shared" si="4"/>
        <v>#REF!</v>
      </c>
      <c r="P27" s="5" t="e">
        <f t="shared" si="5"/>
        <v>#REF!</v>
      </c>
      <c r="Q27" s="5" t="e">
        <f t="shared" si="6"/>
        <v>#REF!</v>
      </c>
      <c r="R27" s="5" t="e">
        <f t="shared" si="7"/>
        <v>#REF!</v>
      </c>
      <c r="T27" s="7"/>
    </row>
    <row r="28" spans="1:20" ht="15">
      <c r="A28" s="82"/>
      <c r="B28" s="216" t="s">
        <v>70</v>
      </c>
      <c r="C28" s="216"/>
      <c r="D28" s="12" t="s">
        <v>83</v>
      </c>
      <c r="E28" s="71">
        <v>0.7</v>
      </c>
      <c r="F28" s="12" t="s">
        <v>6</v>
      </c>
      <c r="G28" s="13">
        <f>+B13</f>
        <v>6690</v>
      </c>
      <c r="H28" s="13">
        <f t="shared" si="1"/>
        <v>4683</v>
      </c>
      <c r="I28" s="83">
        <f t="shared" si="0"/>
        <v>0.008572011171805392</v>
      </c>
      <c r="K28" s="4">
        <f>_xlfn.IFERROR(VLOOKUP(HLOOKUP(#REF!,$M$20:$R$29,L28+1,FALSE),LABORES,13,FALSE),"")</f>
      </c>
      <c r="L28" s="10" t="e">
        <f t="shared" si="8"/>
        <v>#REF!</v>
      </c>
      <c r="M28" s="5" t="e">
        <f t="shared" si="2"/>
        <v>#REF!</v>
      </c>
      <c r="N28" s="5" t="e">
        <f t="shared" si="3"/>
        <v>#REF!</v>
      </c>
      <c r="O28" s="5" t="e">
        <f t="shared" si="4"/>
        <v>#REF!</v>
      </c>
      <c r="P28" s="5" t="e">
        <f t="shared" si="5"/>
        <v>#REF!</v>
      </c>
      <c r="Q28" s="5" t="e">
        <f t="shared" si="6"/>
        <v>#REF!</v>
      </c>
      <c r="R28" s="5" t="e">
        <f t="shared" si="7"/>
        <v>#REF!</v>
      </c>
      <c r="T28" s="7"/>
    </row>
    <row r="29" spans="1:20" ht="15">
      <c r="A29" s="82"/>
      <c r="B29" s="216" t="s">
        <v>71</v>
      </c>
      <c r="C29" s="216"/>
      <c r="D29" s="12" t="s">
        <v>88</v>
      </c>
      <c r="E29" s="71">
        <v>1</v>
      </c>
      <c r="F29" s="12" t="s">
        <v>6</v>
      </c>
      <c r="G29" s="13">
        <f>+B13</f>
        <v>6690</v>
      </c>
      <c r="H29" s="13">
        <f t="shared" si="1"/>
        <v>6690</v>
      </c>
      <c r="I29" s="83">
        <f t="shared" si="0"/>
        <v>0.012245730245436275</v>
      </c>
      <c r="K29" s="4">
        <f>_xlfn.IFERROR(VLOOKUP(HLOOKUP(#REF!,$M$20:$R$29,L29+1,FALSE),LABORES,13,FALSE),"")</f>
      </c>
      <c r="L29" s="10" t="e">
        <f t="shared" si="8"/>
        <v>#REF!</v>
      </c>
      <c r="M29" s="5" t="e">
        <f t="shared" si="2"/>
        <v>#REF!</v>
      </c>
      <c r="N29" s="5" t="e">
        <f t="shared" si="3"/>
        <v>#REF!</v>
      </c>
      <c r="O29" s="5" t="e">
        <f t="shared" si="4"/>
        <v>#REF!</v>
      </c>
      <c r="P29" s="5" t="e">
        <f t="shared" si="5"/>
        <v>#REF!</v>
      </c>
      <c r="Q29" s="5" t="e">
        <f t="shared" si="6"/>
        <v>#REF!</v>
      </c>
      <c r="R29" s="5" t="e">
        <f t="shared" si="7"/>
        <v>#REF!</v>
      </c>
      <c r="T29" s="7"/>
    </row>
    <row r="30" spans="1:18" ht="15">
      <c r="A30" s="222" t="s">
        <v>22</v>
      </c>
      <c r="B30" s="223"/>
      <c r="C30" s="223"/>
      <c r="D30" s="224"/>
      <c r="E30" s="224"/>
      <c r="F30" s="224"/>
      <c r="G30" s="224"/>
      <c r="H30" s="224"/>
      <c r="I30" s="225"/>
      <c r="L30" s="72"/>
      <c r="M30" s="5">
        <v>1</v>
      </c>
      <c r="N30" s="5">
        <v>2</v>
      </c>
      <c r="O30" s="5">
        <v>3</v>
      </c>
      <c r="P30" s="5">
        <v>4</v>
      </c>
      <c r="Q30" s="5">
        <v>5</v>
      </c>
      <c r="R30" s="5">
        <v>6</v>
      </c>
    </row>
    <row r="31" spans="1:18" ht="15">
      <c r="A31" s="84"/>
      <c r="B31" s="226" t="s">
        <v>59</v>
      </c>
      <c r="C31" s="226"/>
      <c r="D31" s="85" t="s">
        <v>58</v>
      </c>
      <c r="E31" s="86" t="s">
        <v>57</v>
      </c>
      <c r="F31" s="85" t="s">
        <v>25</v>
      </c>
      <c r="G31" s="163">
        <v>60000</v>
      </c>
      <c r="H31" s="87">
        <f>+G31*E31</f>
        <v>60000</v>
      </c>
      <c r="I31" s="88">
        <f>+H31/$H$51</f>
        <v>0.10982717708911457</v>
      </c>
      <c r="K31" s="4">
        <f>_xlfn.IFERROR(VLOOKUP(HLOOKUP(#REF!,$M$30:$R$31,L31+1,FALSE),LABORES,13,FALSE),"")</f>
      </c>
      <c r="L31" s="10">
        <v>1</v>
      </c>
      <c r="M31" s="5" t="str">
        <f>CONCATENATE("CO-",IF(L31&lt;10,"0",""),L31,"-??-??-??-??-??")</f>
        <v>CO-01-??-??-??-??-??</v>
      </c>
      <c r="N31" s="5" t="str">
        <f>CONCATENATE("CO-??-",IF(L31&lt;10,"0",""),L31,"-??-??-??-??")</f>
        <v>CO-??-01-??-??-??-??</v>
      </c>
      <c r="O31" s="5" t="str">
        <f>CONCATENATE("CO-??-??-",IF(L31&lt;10,"0",""),L31,"-??-??-??")</f>
        <v>CO-??-??-01-??-??-??</v>
      </c>
      <c r="P31" s="5" t="str">
        <f>CONCATENATE("CO-??-??-??-",IF(L31&lt;10,"0",""),L31,"-??-??")</f>
        <v>CO-??-??-??-01-??-??</v>
      </c>
      <c r="Q31" s="5" t="str">
        <f>CONCATENATE("CO-??-??-??-??-",IF(L31&lt;10,"0",""),L31,"-??")</f>
        <v>CO-??-??-??-??-01-??</v>
      </c>
      <c r="R31" s="5" t="str">
        <f>CONCATENATE("CO-??-??-??-??-??-",IF(L31&lt;10,"0",""),L31)</f>
        <v>CO-??-??-??-??-??-01</v>
      </c>
    </row>
    <row r="32" spans="1:22" ht="15">
      <c r="A32" s="242" t="s">
        <v>23</v>
      </c>
      <c r="B32" s="243"/>
      <c r="C32" s="243"/>
      <c r="D32" s="243"/>
      <c r="E32" s="243"/>
      <c r="F32" s="243"/>
      <c r="G32" s="243"/>
      <c r="H32" s="78">
        <f>SUM(H21:H29)+H31</f>
        <v>244373</v>
      </c>
      <c r="I32" s="79">
        <f>SUM(I21:I29)+I31</f>
        <v>0.4473132791133033</v>
      </c>
      <c r="U32" s="7"/>
      <c r="V32" s="7"/>
    </row>
    <row r="33" spans="1:9" ht="15">
      <c r="A33" s="235" t="s">
        <v>24</v>
      </c>
      <c r="B33" s="235"/>
      <c r="C33" s="235"/>
      <c r="D33" s="235" t="s">
        <v>20</v>
      </c>
      <c r="E33" s="237" t="s">
        <v>14</v>
      </c>
      <c r="F33" s="237"/>
      <c r="G33" s="237"/>
      <c r="H33" s="238" t="s">
        <v>15</v>
      </c>
      <c r="I33" s="238"/>
    </row>
    <row r="34" spans="1:18" ht="15">
      <c r="A34" s="244"/>
      <c r="B34" s="244"/>
      <c r="C34" s="244"/>
      <c r="D34" s="244"/>
      <c r="E34" s="240" t="s">
        <v>16</v>
      </c>
      <c r="F34" s="241"/>
      <c r="G34" s="101" t="s">
        <v>17</v>
      </c>
      <c r="H34" s="102" t="s">
        <v>18</v>
      </c>
      <c r="I34" s="103" t="s">
        <v>19</v>
      </c>
      <c r="L34" s="72"/>
      <c r="M34" s="5">
        <v>1</v>
      </c>
      <c r="N34" s="5">
        <v>2</v>
      </c>
      <c r="O34" s="5">
        <v>3</v>
      </c>
      <c r="P34" s="5">
        <v>4</v>
      </c>
      <c r="Q34" s="5">
        <v>5</v>
      </c>
      <c r="R34" s="5">
        <v>6</v>
      </c>
    </row>
    <row r="35" spans="1:18" ht="15">
      <c r="A35" s="89"/>
      <c r="B35" s="233" t="s">
        <v>12</v>
      </c>
      <c r="C35" s="233"/>
      <c r="D35" s="90" t="s">
        <v>82</v>
      </c>
      <c r="E35" s="91">
        <f>+B11/10+(E36+E38+E41+E42)/1000</f>
        <v>6.67</v>
      </c>
      <c r="F35" s="90" t="s">
        <v>10</v>
      </c>
      <c r="G35" s="164">
        <v>6000</v>
      </c>
      <c r="H35" s="92">
        <f>+G35*E35</f>
        <v>40020</v>
      </c>
      <c r="I35" s="93">
        <f aca="true" t="shared" si="9" ref="I35:I42">+H35/$H$51</f>
        <v>0.07325472711843942</v>
      </c>
      <c r="K35" s="4">
        <f>_xlfn.IFERROR(VLOOKUP(HLOOKUP(#REF!,$M$34:$R$42,L35+1,FALSE),INSUMOS,10,FALSE),"")</f>
      </c>
      <c r="L35" s="10">
        <v>1</v>
      </c>
      <c r="M35" s="5" t="str">
        <f>CONCATENATE("IN-",IF(L35&lt;10,"0",""),L35,"-??-??-??-??-??")</f>
        <v>IN-01-??-??-??-??-??</v>
      </c>
      <c r="N35" s="5" t="str">
        <f>CONCATENATE("IN-??-",IF(L35&lt;10,"0",""),L35,"-??-??-??-??")</f>
        <v>IN-??-01-??-??-??-??</v>
      </c>
      <c r="O35" s="5" t="str">
        <f>CONCATENATE("IN-??-??-",IF(L35&lt;10,"0",""),L35,"-??-??-??")</f>
        <v>IN-??-??-01-??-??-??</v>
      </c>
      <c r="P35" s="5" t="str">
        <f>CONCATENATE("IN-??-??-??-",IF(L35&lt;10,"0",""),L35,"-??-??")</f>
        <v>IN-??-??-??-01-??-??</v>
      </c>
      <c r="Q35" s="5" t="str">
        <f>CONCATENATE("IN-??-??-??-??-",IF(L35&lt;10,"0",""),L35,"-??")</f>
        <v>IN-??-??-??-??-01-??</v>
      </c>
      <c r="R35" s="5" t="str">
        <f>CONCATENATE("IN-??-??-??-??-??-",IF(L35&lt;10,"0",""),L35)</f>
        <v>IN-??-??-??-??-??-01</v>
      </c>
    </row>
    <row r="36" spans="1:18" ht="15">
      <c r="A36" s="94"/>
      <c r="B36" s="199" t="s">
        <v>60</v>
      </c>
      <c r="C36" s="199"/>
      <c r="D36" s="1" t="s">
        <v>83</v>
      </c>
      <c r="E36" s="71">
        <v>90</v>
      </c>
      <c r="F36" s="1" t="s">
        <v>8</v>
      </c>
      <c r="G36" s="165">
        <v>495</v>
      </c>
      <c r="H36" s="2">
        <f aca="true" t="shared" si="10" ref="H36:H42">+G36*E36</f>
        <v>44550</v>
      </c>
      <c r="I36" s="83">
        <f t="shared" si="9"/>
        <v>0.08154667898866758</v>
      </c>
      <c r="K36" s="4">
        <f>_xlfn.IFERROR(VLOOKUP(HLOOKUP(#REF!,$M$34:$R$42,L36+1,FALSE),INSUMOS,10,FALSE),"")</f>
      </c>
      <c r="L36" s="10">
        <f>L35+1</f>
        <v>2</v>
      </c>
      <c r="M36" s="5" t="str">
        <f>CONCATENATE("IN-",IF(L36&lt;10,"0",""),L36,"-??-??-??-??-??")</f>
        <v>IN-02-??-??-??-??-??</v>
      </c>
      <c r="N36" s="5" t="str">
        <f>CONCATENATE("IN-??-",IF(L36&lt;10,"0",""),L36,"-??-??-??-??")</f>
        <v>IN-??-02-??-??-??-??</v>
      </c>
      <c r="O36" s="5" t="str">
        <f>CONCATENATE("IN-??-??-",IF(L36&lt;10,"0",""),L36,"-??-??-??")</f>
        <v>IN-??-??-02-??-??-??</v>
      </c>
      <c r="P36" s="5" t="str">
        <f>CONCATENATE("IN-??-??-??-",IF(L36&lt;10,"0",""),L36,"-??-??")</f>
        <v>IN-??-??-??-02-??-??</v>
      </c>
      <c r="Q36" s="5" t="str">
        <f>CONCATENATE("IN-??-??-??-??-",IF(L36&lt;10,"0",""),L36,"-??")</f>
        <v>IN-??-??-??-??-02-??</v>
      </c>
      <c r="R36" s="5" t="str">
        <f>CONCATENATE("IN-??-??-??-??-??-",IF(L36&lt;10,"0",""),L36)</f>
        <v>IN-??-??-??-??-??-02</v>
      </c>
    </row>
    <row r="37" spans="1:18" ht="15">
      <c r="A37" s="94"/>
      <c r="B37" s="199" t="s">
        <v>78</v>
      </c>
      <c r="C37" s="199"/>
      <c r="D37" s="1" t="s">
        <v>83</v>
      </c>
      <c r="E37" s="71">
        <v>1.2</v>
      </c>
      <c r="F37" s="1" t="s">
        <v>9</v>
      </c>
      <c r="G37" s="165">
        <v>13231</v>
      </c>
      <c r="H37" s="2">
        <f t="shared" si="10"/>
        <v>15877.199999999999</v>
      </c>
      <c r="I37" s="83">
        <f t="shared" si="9"/>
        <v>0.029062467601321498</v>
      </c>
      <c r="K37" s="4">
        <f>_xlfn.IFERROR(VLOOKUP(HLOOKUP(#REF!,$M$34:$R$42,L37+1,FALSE),INSUMOS,10,FALSE),"")</f>
      </c>
      <c r="L37" s="10">
        <f>L36+1</f>
        <v>3</v>
      </c>
      <c r="M37" s="5" t="str">
        <f aca="true" t="shared" si="11" ref="M37:M42">CONCATENATE("IN-",IF(L37&lt;10,"0",""),L37,"-??-??-??-??-??")</f>
        <v>IN-03-??-??-??-??-??</v>
      </c>
      <c r="N37" s="5" t="str">
        <f aca="true" t="shared" si="12" ref="N37:N42">CONCATENATE("IN-??-",IF(L37&lt;10,"0",""),L37,"-??-??-??-??")</f>
        <v>IN-??-03-??-??-??-??</v>
      </c>
      <c r="O37" s="5" t="str">
        <f aca="true" t="shared" si="13" ref="O37:O42">CONCATENATE("IN-??-??-",IF(L37&lt;10,"0",""),L37,"-??-??-??")</f>
        <v>IN-??-??-03-??-??-??</v>
      </c>
      <c r="P37" s="5" t="str">
        <f aca="true" t="shared" si="14" ref="P37:P42">CONCATENATE("IN-??-??-??-",IF(L37&lt;10,"0",""),L37,"-??-??")</f>
        <v>IN-??-??-??-03-??-??</v>
      </c>
      <c r="Q37" s="5" t="str">
        <f aca="true" t="shared" si="15" ref="Q37:Q42">CONCATENATE("IN-??-??-??-??-",IF(L37&lt;10,"0",""),L37,"-??")</f>
        <v>IN-??-??-??-??-03-??</v>
      </c>
      <c r="R37" s="5" t="str">
        <f aca="true" t="shared" si="16" ref="R37:R42">CONCATENATE("IN-??-??-??-??-??-",IF(L37&lt;10,"0",""),L37)</f>
        <v>IN-??-??-??-??-??-03</v>
      </c>
    </row>
    <row r="38" spans="1:18" ht="15">
      <c r="A38" s="94"/>
      <c r="B38" s="199" t="s">
        <v>77</v>
      </c>
      <c r="C38" s="199"/>
      <c r="D38" s="1" t="s">
        <v>84</v>
      </c>
      <c r="E38" s="71">
        <v>240</v>
      </c>
      <c r="F38" s="1" t="s">
        <v>8</v>
      </c>
      <c r="G38" s="165">
        <v>283</v>
      </c>
      <c r="H38" s="2">
        <f t="shared" si="10"/>
        <v>67920</v>
      </c>
      <c r="I38" s="83">
        <f t="shared" si="9"/>
        <v>0.1243243644648777</v>
      </c>
      <c r="K38" s="4">
        <f>_xlfn.IFERROR(VLOOKUP(HLOOKUP(#REF!,$M$34:$R$42,L38+1,FALSE),INSUMOS,10,FALSE),"")</f>
      </c>
      <c r="L38" s="10" t="e">
        <f>#REF!+1</f>
        <v>#REF!</v>
      </c>
      <c r="M38" s="5" t="e">
        <f t="shared" si="11"/>
        <v>#REF!</v>
      </c>
      <c r="N38" s="5" t="e">
        <f t="shared" si="12"/>
        <v>#REF!</v>
      </c>
      <c r="O38" s="5" t="e">
        <f t="shared" si="13"/>
        <v>#REF!</v>
      </c>
      <c r="P38" s="5" t="e">
        <f t="shared" si="14"/>
        <v>#REF!</v>
      </c>
      <c r="Q38" s="5" t="e">
        <f t="shared" si="15"/>
        <v>#REF!</v>
      </c>
      <c r="R38" s="5" t="e">
        <f t="shared" si="16"/>
        <v>#REF!</v>
      </c>
    </row>
    <row r="39" spans="1:18" ht="15">
      <c r="A39" s="94"/>
      <c r="B39" s="199" t="s">
        <v>79</v>
      </c>
      <c r="C39" s="199"/>
      <c r="D39" s="1" t="s">
        <v>83</v>
      </c>
      <c r="E39" s="71">
        <v>0.1</v>
      </c>
      <c r="F39" s="1" t="s">
        <v>9</v>
      </c>
      <c r="G39" s="165">
        <v>16531</v>
      </c>
      <c r="H39" s="2">
        <f t="shared" si="10"/>
        <v>1653.1000000000001</v>
      </c>
      <c r="I39" s="83">
        <f t="shared" si="9"/>
        <v>0.0030259217741002552</v>
      </c>
      <c r="K39" s="4">
        <f>_xlfn.IFERROR(VLOOKUP(HLOOKUP(#REF!,$M$34:$R$42,L39+1,FALSE),INSUMOS,10,FALSE),"")</f>
      </c>
      <c r="L39" s="10" t="e">
        <f>L38+1</f>
        <v>#REF!</v>
      </c>
      <c r="M39" s="5" t="e">
        <f t="shared" si="11"/>
        <v>#REF!</v>
      </c>
      <c r="N39" s="5" t="e">
        <f t="shared" si="12"/>
        <v>#REF!</v>
      </c>
      <c r="O39" s="5" t="e">
        <f t="shared" si="13"/>
        <v>#REF!</v>
      </c>
      <c r="P39" s="5" t="e">
        <f t="shared" si="14"/>
        <v>#REF!</v>
      </c>
      <c r="Q39" s="5" t="e">
        <f t="shared" si="15"/>
        <v>#REF!</v>
      </c>
      <c r="R39" s="5" t="e">
        <f t="shared" si="16"/>
        <v>#REF!</v>
      </c>
    </row>
    <row r="40" spans="1:18" ht="15">
      <c r="A40" s="94"/>
      <c r="B40" s="199" t="s">
        <v>55</v>
      </c>
      <c r="C40" s="199"/>
      <c r="D40" s="1" t="s">
        <v>83</v>
      </c>
      <c r="E40" s="71">
        <v>0.7</v>
      </c>
      <c r="F40" s="1" t="s">
        <v>9</v>
      </c>
      <c r="G40" s="165">
        <v>5493</v>
      </c>
      <c r="H40" s="2">
        <f t="shared" si="10"/>
        <v>3845.1</v>
      </c>
      <c r="I40" s="83">
        <f t="shared" si="9"/>
        <v>0.007038274643755908</v>
      </c>
      <c r="K40" s="4">
        <f>_xlfn.IFERROR(VLOOKUP(HLOOKUP(#REF!,$M$34:$R$42,L40+1,FALSE),INSUMOS,10,FALSE),"")</f>
      </c>
      <c r="L40" s="10" t="e">
        <f>L39+1</f>
        <v>#REF!</v>
      </c>
      <c r="M40" s="5" t="e">
        <f t="shared" si="11"/>
        <v>#REF!</v>
      </c>
      <c r="N40" s="5" t="e">
        <f t="shared" si="12"/>
        <v>#REF!</v>
      </c>
      <c r="O40" s="5" t="e">
        <f t="shared" si="13"/>
        <v>#REF!</v>
      </c>
      <c r="P40" s="5" t="e">
        <f t="shared" si="14"/>
        <v>#REF!</v>
      </c>
      <c r="Q40" s="5" t="e">
        <f t="shared" si="15"/>
        <v>#REF!</v>
      </c>
      <c r="R40" s="5" t="e">
        <f t="shared" si="16"/>
        <v>#REF!</v>
      </c>
    </row>
    <row r="41" spans="1:18" ht="15">
      <c r="A41" s="94"/>
      <c r="B41" s="199" t="s">
        <v>81</v>
      </c>
      <c r="C41" s="199"/>
      <c r="D41" s="1" t="s">
        <v>83</v>
      </c>
      <c r="E41" s="71">
        <v>110</v>
      </c>
      <c r="F41" s="1" t="s">
        <v>8</v>
      </c>
      <c r="G41" s="165">
        <v>300</v>
      </c>
      <c r="H41" s="2">
        <f t="shared" si="10"/>
        <v>33000</v>
      </c>
      <c r="I41" s="83">
        <f t="shared" si="9"/>
        <v>0.06040494739901302</v>
      </c>
      <c r="K41" s="4">
        <f>_xlfn.IFERROR(VLOOKUP(HLOOKUP(#REF!,$M$34:$R$42,L41+1,FALSE),INSUMOS,10,FALSE),"")</f>
      </c>
      <c r="L41" s="10" t="e">
        <f>L40+1</f>
        <v>#REF!</v>
      </c>
      <c r="M41" s="5" t="e">
        <f t="shared" si="11"/>
        <v>#REF!</v>
      </c>
      <c r="N41" s="5" t="e">
        <f t="shared" si="12"/>
        <v>#REF!</v>
      </c>
      <c r="O41" s="5" t="e">
        <f t="shared" si="13"/>
        <v>#REF!</v>
      </c>
      <c r="P41" s="5" t="e">
        <f t="shared" si="14"/>
        <v>#REF!</v>
      </c>
      <c r="Q41" s="5" t="e">
        <f t="shared" si="15"/>
        <v>#REF!</v>
      </c>
      <c r="R41" s="5" t="e">
        <f t="shared" si="16"/>
        <v>#REF!</v>
      </c>
    </row>
    <row r="42" spans="1:18" ht="15">
      <c r="A42" s="95"/>
      <c r="B42" s="217" t="s">
        <v>11</v>
      </c>
      <c r="C42" s="217"/>
      <c r="D42" s="96" t="s">
        <v>83</v>
      </c>
      <c r="E42" s="86">
        <v>230</v>
      </c>
      <c r="F42" s="1" t="s">
        <v>8</v>
      </c>
      <c r="G42" s="166">
        <v>220</v>
      </c>
      <c r="H42" s="97">
        <f t="shared" si="10"/>
        <v>50600</v>
      </c>
      <c r="I42" s="88">
        <f t="shared" si="9"/>
        <v>0.09262091934515329</v>
      </c>
      <c r="K42" s="4">
        <f>_xlfn.IFERROR(VLOOKUP(HLOOKUP(#REF!,$M$34:$R$42,L42+1,FALSE),INSUMOS,10,FALSE),"")</f>
      </c>
      <c r="L42" s="10" t="e">
        <f>#REF!+1</f>
        <v>#REF!</v>
      </c>
      <c r="M42" s="5" t="e">
        <f t="shared" si="11"/>
        <v>#REF!</v>
      </c>
      <c r="N42" s="5" t="e">
        <f t="shared" si="12"/>
        <v>#REF!</v>
      </c>
      <c r="O42" s="5" t="e">
        <f t="shared" si="13"/>
        <v>#REF!</v>
      </c>
      <c r="P42" s="5" t="e">
        <f t="shared" si="14"/>
        <v>#REF!</v>
      </c>
      <c r="Q42" s="5" t="e">
        <f t="shared" si="15"/>
        <v>#REF!</v>
      </c>
      <c r="R42" s="5" t="e">
        <f t="shared" si="16"/>
        <v>#REF!</v>
      </c>
    </row>
    <row r="43" spans="1:20" s="14" customFormat="1" ht="15">
      <c r="A43" s="201" t="s">
        <v>27</v>
      </c>
      <c r="B43" s="202"/>
      <c r="C43" s="202"/>
      <c r="D43" s="202"/>
      <c r="E43" s="202"/>
      <c r="F43" s="202"/>
      <c r="G43" s="202"/>
      <c r="H43" s="78">
        <f>SUM(H35:H42)</f>
        <v>257465.40000000002</v>
      </c>
      <c r="I43" s="79">
        <f>SUM(I35:I42)</f>
        <v>0.47127830133532866</v>
      </c>
      <c r="M43" s="15"/>
      <c r="N43" s="15"/>
      <c r="O43" s="15"/>
      <c r="P43" s="15"/>
      <c r="Q43" s="15"/>
      <c r="R43" s="15"/>
      <c r="T43" s="70"/>
    </row>
    <row r="44" spans="1:9" ht="15">
      <c r="A44" s="201" t="s">
        <v>49</v>
      </c>
      <c r="B44" s="202"/>
      <c r="C44" s="202"/>
      <c r="D44" s="202"/>
      <c r="E44" s="202"/>
      <c r="F44" s="202"/>
      <c r="G44" s="202"/>
      <c r="H44" s="78">
        <f>+H43+H32</f>
        <v>501838.4</v>
      </c>
      <c r="I44" s="79">
        <f>+I43+I32</f>
        <v>0.918591580448632</v>
      </c>
    </row>
    <row r="45" spans="1:9" ht="15">
      <c r="A45" s="235" t="s">
        <v>50</v>
      </c>
      <c r="B45" s="235"/>
      <c r="C45" s="235"/>
      <c r="D45" s="236"/>
      <c r="E45" s="237" t="s">
        <v>14</v>
      </c>
      <c r="F45" s="237"/>
      <c r="G45" s="237"/>
      <c r="H45" s="238" t="s">
        <v>15</v>
      </c>
      <c r="I45" s="238"/>
    </row>
    <row r="46" spans="1:18" ht="15">
      <c r="A46" s="235"/>
      <c r="B46" s="235"/>
      <c r="C46" s="235"/>
      <c r="D46" s="236"/>
      <c r="E46" s="237" t="s">
        <v>16</v>
      </c>
      <c r="F46" s="239"/>
      <c r="G46" s="98" t="s">
        <v>17</v>
      </c>
      <c r="H46" s="99" t="s">
        <v>18</v>
      </c>
      <c r="I46" s="100" t="s">
        <v>19</v>
      </c>
      <c r="L46" s="72"/>
      <c r="M46" s="5">
        <v>1</v>
      </c>
      <c r="N46" s="5">
        <v>2</v>
      </c>
      <c r="O46" s="5">
        <v>3</v>
      </c>
      <c r="P46" s="5">
        <v>4</v>
      </c>
      <c r="Q46" s="5">
        <v>5</v>
      </c>
      <c r="R46" s="5">
        <v>6</v>
      </c>
    </row>
    <row r="47" spans="1:18" ht="15">
      <c r="A47" s="104"/>
      <c r="B47" s="233" t="s">
        <v>80</v>
      </c>
      <c r="C47" s="233"/>
      <c r="D47" s="233"/>
      <c r="E47" s="90">
        <v>1</v>
      </c>
      <c r="F47" s="90" t="s">
        <v>25</v>
      </c>
      <c r="G47" s="167">
        <v>25000</v>
      </c>
      <c r="H47" s="92">
        <f>+G47*E47</f>
        <v>25000</v>
      </c>
      <c r="I47" s="93">
        <f>+H47/$H$51</f>
        <v>0.045761323787131075</v>
      </c>
      <c r="L47" s="10" t="e">
        <f>#REF!+1</f>
        <v>#REF!</v>
      </c>
      <c r="M47" s="5" t="e">
        <f>CONCATENATE("CI-",IF(L47&lt;10,"0",""),L47,"-??-??-??-??-??")</f>
        <v>#REF!</v>
      </c>
      <c r="N47" s="5" t="e">
        <f>CONCATENATE("CI-??-",IF(L47&lt;10,"0",""),L47,"-??-??-??-??")</f>
        <v>#REF!</v>
      </c>
      <c r="O47" s="5" t="e">
        <f>CONCATENATE("CI-??-??-",IF(L47&lt;10,"0",""),L47,"-??-??-??")</f>
        <v>#REF!</v>
      </c>
      <c r="P47" s="5" t="e">
        <f>CONCATENATE("CI-??-??-??-",IF(L47&lt;10,"0",""),L47,"-??-??")</f>
        <v>#REF!</v>
      </c>
      <c r="Q47" s="5" t="e">
        <f>CONCATENATE("CI-??-??-??-??-",IF(L47&lt;10,"0",""),L47,"-??")</f>
        <v>#REF!</v>
      </c>
      <c r="R47" s="5" t="e">
        <f>CONCATENATE("CI-??-??-??-??-??-",IF(L47&lt;10,"0",""),L47)</f>
        <v>#REF!</v>
      </c>
    </row>
    <row r="48" spans="1:18" ht="15">
      <c r="A48" s="105"/>
      <c r="B48" s="217" t="s">
        <v>61</v>
      </c>
      <c r="C48" s="217"/>
      <c r="D48" s="217"/>
      <c r="E48" s="96">
        <f>+B16</f>
        <v>6</v>
      </c>
      <c r="F48" s="96" t="s">
        <v>26</v>
      </c>
      <c r="G48" s="106">
        <f>+B14</f>
        <v>0.0105</v>
      </c>
      <c r="H48" s="2">
        <f>+(H44*B15)*((1+G48)^E48-1)</f>
        <v>19474.46709040651</v>
      </c>
      <c r="I48" s="88">
        <f>+H48/$H$51</f>
        <v>0.03564709576423683</v>
      </c>
      <c r="L48" s="10" t="e">
        <f>L47+1</f>
        <v>#REF!</v>
      </c>
      <c r="M48" s="5" t="e">
        <f>CONCATENATE("CI-",IF(L48&lt;10,"0",""),L48,"-??-??-??-??-??")</f>
        <v>#REF!</v>
      </c>
      <c r="N48" s="5" t="e">
        <f>CONCATENATE("CI-??-",IF(L48&lt;10,"0",""),L48,"-??-??-??-??")</f>
        <v>#REF!</v>
      </c>
      <c r="O48" s="5" t="e">
        <f>CONCATENATE("CI-??-??-",IF(L48&lt;10,"0",""),L48,"-??-??-??")</f>
        <v>#REF!</v>
      </c>
      <c r="P48" s="5" t="e">
        <f>CONCATENATE("CI-??-??-??-",IF(L48&lt;10,"0",""),L48,"-??-??")</f>
        <v>#REF!</v>
      </c>
      <c r="Q48" s="5" t="e">
        <f>CONCATENATE("CI-??-??-??-??-",IF(L48&lt;10,"0",""),L48,"-??")</f>
        <v>#REF!</v>
      </c>
      <c r="R48" s="5" t="e">
        <f>CONCATENATE("CI-??-??-??-??-??-",IF(L48&lt;10,"0",""),L48)</f>
        <v>#REF!</v>
      </c>
    </row>
    <row r="49" spans="1:18" s="14" customFormat="1" ht="15">
      <c r="A49" s="201" t="s">
        <v>53</v>
      </c>
      <c r="B49" s="202"/>
      <c r="C49" s="202"/>
      <c r="D49" s="202"/>
      <c r="E49" s="202"/>
      <c r="F49" s="202"/>
      <c r="G49" s="202"/>
      <c r="H49" s="78">
        <f>+H48+H47</f>
        <v>44474.46709040651</v>
      </c>
      <c r="I49" s="79">
        <f>+I47+I48</f>
        <v>0.0814084195513679</v>
      </c>
      <c r="M49" s="15"/>
      <c r="N49" s="15"/>
      <c r="O49" s="15"/>
      <c r="P49" s="15"/>
      <c r="Q49" s="15"/>
      <c r="R49" s="15"/>
    </row>
    <row r="51" spans="1:9" ht="15">
      <c r="A51" s="234" t="s">
        <v>28</v>
      </c>
      <c r="B51" s="234"/>
      <c r="C51" s="234"/>
      <c r="D51" s="234"/>
      <c r="E51" s="234"/>
      <c r="F51" s="234"/>
      <c r="G51" s="234"/>
      <c r="H51" s="16">
        <f>+H49+H44</f>
        <v>546312.8670904066</v>
      </c>
      <c r="I51" s="17">
        <f>+I49+I44</f>
        <v>0.9999999999999999</v>
      </c>
    </row>
    <row r="53" spans="1:9" ht="15">
      <c r="A53" s="125" t="s">
        <v>101</v>
      </c>
      <c r="B53" s="126"/>
      <c r="C53" s="125"/>
      <c r="D53" s="127"/>
      <c r="E53" s="128"/>
      <c r="F53" s="129"/>
      <c r="G53" s="130"/>
      <c r="H53" s="131">
        <f>+B11*B12</f>
        <v>600000</v>
      </c>
      <c r="I53" s="132">
        <f>+H53/H53</f>
        <v>1</v>
      </c>
    </row>
    <row r="54" spans="1:9" ht="15">
      <c r="A54" s="125" t="s">
        <v>102</v>
      </c>
      <c r="B54" s="126"/>
      <c r="C54" s="125"/>
      <c r="D54" s="127"/>
      <c r="E54" s="128"/>
      <c r="F54" s="129"/>
      <c r="G54" s="130"/>
      <c r="H54" s="131">
        <f>+H53-H44</f>
        <v>98161.59999999998</v>
      </c>
      <c r="I54" s="132">
        <f>+H54/H53</f>
        <v>0.16360266666666662</v>
      </c>
    </row>
    <row r="55" spans="1:9" ht="15">
      <c r="A55" s="125" t="s">
        <v>103</v>
      </c>
      <c r="B55" s="126"/>
      <c r="C55" s="125"/>
      <c r="D55" s="127"/>
      <c r="E55" s="128"/>
      <c r="F55" s="129"/>
      <c r="G55" s="130"/>
      <c r="H55" s="131">
        <f>+H53-H51</f>
        <v>53687.132909593405</v>
      </c>
      <c r="I55" s="132">
        <f>+H55/H53</f>
        <v>0.08947855484932234</v>
      </c>
    </row>
    <row r="56" spans="1:9" ht="15.75">
      <c r="A56" s="133"/>
      <c r="B56" s="134"/>
      <c r="C56" s="134"/>
      <c r="D56" s="135"/>
      <c r="E56" s="136"/>
      <c r="F56" s="137"/>
      <c r="G56" s="138"/>
      <c r="H56" s="139"/>
      <c r="I56" s="140"/>
    </row>
    <row r="57" spans="1:9" ht="15.75">
      <c r="A57" s="134"/>
      <c r="B57" s="140"/>
      <c r="C57" s="140"/>
      <c r="D57" s="140"/>
      <c r="E57" s="140"/>
      <c r="F57" s="140"/>
      <c r="G57" s="134"/>
      <c r="H57" s="140"/>
      <c r="I57" s="140"/>
    </row>
    <row r="58" spans="1:9" ht="15.75">
      <c r="A58" s="134"/>
      <c r="B58" s="140"/>
      <c r="C58" s="140"/>
      <c r="D58" s="140"/>
      <c r="E58" s="140"/>
      <c r="F58" s="140"/>
      <c r="G58" s="134"/>
      <c r="H58" s="140"/>
      <c r="I58" s="140"/>
    </row>
    <row r="59" spans="1:9" ht="15.75">
      <c r="A59" s="134"/>
      <c r="B59" s="182" t="s">
        <v>104</v>
      </c>
      <c r="C59" s="183"/>
      <c r="D59" s="183"/>
      <c r="E59" s="184"/>
      <c r="F59" s="140"/>
      <c r="G59" s="134"/>
      <c r="H59" s="140"/>
      <c r="I59" s="140"/>
    </row>
    <row r="60" spans="1:9" ht="15.75">
      <c r="A60" s="134"/>
      <c r="B60" s="141"/>
      <c r="C60" s="141"/>
      <c r="D60" s="141"/>
      <c r="E60" s="141"/>
      <c r="F60" s="140"/>
      <c r="G60" s="134"/>
      <c r="H60" s="140"/>
      <c r="I60" s="140"/>
    </row>
    <row r="61" spans="1:9" ht="15.75">
      <c r="A61" s="140"/>
      <c r="B61" s="185" t="s">
        <v>105</v>
      </c>
      <c r="C61" s="186"/>
      <c r="D61" s="186"/>
      <c r="E61" s="187"/>
      <c r="F61" s="140"/>
      <c r="G61" s="140"/>
      <c r="H61" s="140"/>
      <c r="I61" s="140"/>
    </row>
    <row r="62" spans="1:9" ht="15.75">
      <c r="A62" s="140"/>
      <c r="B62" s="188"/>
      <c r="C62" s="189"/>
      <c r="D62" s="189"/>
      <c r="E62" s="190"/>
      <c r="F62" s="140"/>
      <c r="G62" s="140"/>
      <c r="H62" s="140"/>
      <c r="I62" s="140"/>
    </row>
    <row r="63" spans="1:9" ht="15.75">
      <c r="A63" s="140"/>
      <c r="B63" s="142"/>
      <c r="C63" s="191" t="s">
        <v>106</v>
      </c>
      <c r="D63" s="192"/>
      <c r="E63" s="193"/>
      <c r="F63" s="140"/>
      <c r="G63" s="140"/>
      <c r="H63" s="140"/>
      <c r="I63" s="140"/>
    </row>
    <row r="64" spans="1:9" ht="15.75">
      <c r="A64" s="140"/>
      <c r="B64" s="143" t="s">
        <v>107</v>
      </c>
      <c r="C64" s="144">
        <f>D64*0.9</f>
        <v>9000</v>
      </c>
      <c r="D64" s="144">
        <f>+B12</f>
        <v>10000</v>
      </c>
      <c r="E64" s="144">
        <f>D64*1.1</f>
        <v>11000</v>
      </c>
      <c r="F64" s="140"/>
      <c r="G64" s="140"/>
      <c r="H64" s="140"/>
      <c r="I64" s="140"/>
    </row>
    <row r="65" spans="1:9" ht="15.75">
      <c r="A65" s="140"/>
      <c r="B65" s="145">
        <f>B66*0.9</f>
        <v>54</v>
      </c>
      <c r="C65" s="146">
        <f>+B65*C64-H51</f>
        <v>-60312.867090406595</v>
      </c>
      <c r="D65" s="146">
        <f>+D64*B65-H51</f>
        <v>-6312.867090406595</v>
      </c>
      <c r="E65" s="146">
        <f>+E64*B65-H51</f>
        <v>47687.132909593405</v>
      </c>
      <c r="F65" s="140"/>
      <c r="G65" s="147"/>
      <c r="H65" s="140"/>
      <c r="I65" s="140"/>
    </row>
    <row r="66" spans="1:9" ht="15.75">
      <c r="A66" s="140"/>
      <c r="B66" s="148">
        <f>+B11</f>
        <v>60</v>
      </c>
      <c r="C66" s="146">
        <f>+C64*B66-H51</f>
        <v>-6312.867090406595</v>
      </c>
      <c r="D66" s="146">
        <f>+D64*B66-H51</f>
        <v>53687.132909593405</v>
      </c>
      <c r="E66" s="146">
        <f>+E64*B66-H51</f>
        <v>113687.1329095934</v>
      </c>
      <c r="F66" s="140"/>
      <c r="G66" s="140"/>
      <c r="H66" s="140"/>
      <c r="I66" s="140"/>
    </row>
    <row r="67" spans="1:9" ht="15.75">
      <c r="A67" s="140"/>
      <c r="B67" s="148">
        <f>B66*1.1</f>
        <v>66</v>
      </c>
      <c r="C67" s="146">
        <f>+C64*B67-H51</f>
        <v>47687.132909593405</v>
      </c>
      <c r="D67" s="146">
        <f>+D64*B67-H51</f>
        <v>113687.1329095934</v>
      </c>
      <c r="E67" s="146">
        <f>+E64*B67-H51</f>
        <v>179687.1329095934</v>
      </c>
      <c r="F67" s="140"/>
      <c r="G67" s="140"/>
      <c r="H67" s="140"/>
      <c r="I67" s="140"/>
    </row>
    <row r="68" spans="1:9" ht="15.75">
      <c r="A68" s="140"/>
      <c r="B68" s="149"/>
      <c r="C68" s="149"/>
      <c r="D68" s="149"/>
      <c r="E68" s="149"/>
      <c r="F68" s="140"/>
      <c r="G68" s="140"/>
      <c r="H68" s="140"/>
      <c r="I68" s="140"/>
    </row>
    <row r="69" spans="1:9" ht="15.75">
      <c r="A69" s="140"/>
      <c r="B69" s="149"/>
      <c r="C69" s="149"/>
      <c r="D69" s="149"/>
      <c r="E69" s="149"/>
      <c r="F69" s="140"/>
      <c r="G69" s="140"/>
      <c r="H69" s="140"/>
      <c r="I69" s="140"/>
    </row>
    <row r="70" spans="1:9" ht="15.75">
      <c r="A70" s="140"/>
      <c r="B70" s="150"/>
      <c r="C70" s="194" t="s">
        <v>106</v>
      </c>
      <c r="D70" s="195"/>
      <c r="E70" s="196"/>
      <c r="F70" s="140"/>
      <c r="G70" s="140"/>
      <c r="H70" s="140"/>
      <c r="I70" s="140"/>
    </row>
    <row r="71" spans="1:9" ht="15.75">
      <c r="A71" s="140"/>
      <c r="B71" s="151"/>
      <c r="C71" s="152">
        <f>D71*0.9</f>
        <v>9000</v>
      </c>
      <c r="D71" s="152">
        <f>+B12</f>
        <v>10000</v>
      </c>
      <c r="E71" s="152">
        <f>D71*1.1</f>
        <v>11000</v>
      </c>
      <c r="F71" s="140"/>
      <c r="G71" s="140"/>
      <c r="H71" s="140"/>
      <c r="I71" s="140"/>
    </row>
    <row r="72" spans="1:9" ht="15.75">
      <c r="A72" s="140"/>
      <c r="B72" s="153" t="s">
        <v>108</v>
      </c>
      <c r="C72" s="154">
        <f>+$H$51/C71</f>
        <v>60.70142967671185</v>
      </c>
      <c r="D72" s="154">
        <f>+$H$51/D71</f>
        <v>54.63128670904066</v>
      </c>
      <c r="E72" s="154">
        <f>+$H$51/E71</f>
        <v>49.66480609912787</v>
      </c>
      <c r="F72" s="140"/>
      <c r="G72" s="140"/>
      <c r="H72" s="140"/>
      <c r="I72" s="140"/>
    </row>
    <row r="73" spans="1:9" ht="15.75">
      <c r="A73" s="140"/>
      <c r="B73" s="155"/>
      <c r="C73" s="155"/>
      <c r="D73" s="155"/>
      <c r="E73" s="155"/>
      <c r="F73" s="140"/>
      <c r="G73" s="140"/>
      <c r="H73" s="140"/>
      <c r="I73" s="140"/>
    </row>
    <row r="74" spans="1:9" ht="15.75">
      <c r="A74" s="140"/>
      <c r="B74" s="156" t="s">
        <v>109</v>
      </c>
      <c r="C74" s="157"/>
      <c r="D74" s="155"/>
      <c r="E74" s="155"/>
      <c r="F74" s="140"/>
      <c r="G74" s="140"/>
      <c r="H74" s="140"/>
      <c r="I74" s="140"/>
    </row>
  </sheetData>
  <sheetProtection/>
  <mergeCells count="49">
    <mergeCell ref="A18:C19"/>
    <mergeCell ref="D18:D19"/>
    <mergeCell ref="E18:G18"/>
    <mergeCell ref="B31:C31"/>
    <mergeCell ref="B35:C35"/>
    <mergeCell ref="B36:C36"/>
    <mergeCell ref="B27:C27"/>
    <mergeCell ref="B28:C28"/>
    <mergeCell ref="B29:C29"/>
    <mergeCell ref="A32:G32"/>
    <mergeCell ref="A33:C34"/>
    <mergeCell ref="D33:D34"/>
    <mergeCell ref="E33:G33"/>
    <mergeCell ref="H18:I18"/>
    <mergeCell ref="E19:F19"/>
    <mergeCell ref="A30:I30"/>
    <mergeCell ref="A20:I20"/>
    <mergeCell ref="B21:C21"/>
    <mergeCell ref="B22:C22"/>
    <mergeCell ref="B23:C23"/>
    <mergeCell ref="B24:C24"/>
    <mergeCell ref="B25:C25"/>
    <mergeCell ref="B26:C26"/>
    <mergeCell ref="H45:I45"/>
    <mergeCell ref="E46:F46"/>
    <mergeCell ref="H33:I33"/>
    <mergeCell ref="E34:F34"/>
    <mergeCell ref="B42:C42"/>
    <mergeCell ref="B38:C38"/>
    <mergeCell ref="B39:C39"/>
    <mergeCell ref="B40:C40"/>
    <mergeCell ref="B41:C41"/>
    <mergeCell ref="B37:C37"/>
    <mergeCell ref="B48:D48"/>
    <mergeCell ref="A49:G49"/>
    <mergeCell ref="A43:G43"/>
    <mergeCell ref="A44:G44"/>
    <mergeCell ref="A45:D46"/>
    <mergeCell ref="E45:G45"/>
    <mergeCell ref="A1:I1"/>
    <mergeCell ref="A9:B9"/>
    <mergeCell ref="B59:E59"/>
    <mergeCell ref="B61:E62"/>
    <mergeCell ref="C63:E63"/>
    <mergeCell ref="C70:E70"/>
    <mergeCell ref="A2:I2"/>
    <mergeCell ref="A6:B6"/>
    <mergeCell ref="A51:G51"/>
    <mergeCell ref="B47:D47"/>
  </mergeCells>
  <conditionalFormatting sqref="G47:G48">
    <cfRule type="expression" priority="1" dxfId="0">
      <formula>(F47="tasa mes")</formula>
    </cfRule>
  </conditionalFormatting>
  <printOptions/>
  <pageMargins left="0.89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Cacarote</dc:creator>
  <cp:keywords/>
  <dc:description/>
  <cp:lastModifiedBy>msilva</cp:lastModifiedBy>
  <cp:lastPrinted>2010-09-30T18:07:48Z</cp:lastPrinted>
  <dcterms:created xsi:type="dcterms:W3CDTF">2009-09-29T21:27:39Z</dcterms:created>
  <dcterms:modified xsi:type="dcterms:W3CDTF">2010-11-23T14:41:56Z</dcterms:modified>
  <cp:category/>
  <cp:version/>
  <cp:contentType/>
  <cp:contentStatus/>
</cp:coreProperties>
</file>