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'export'!$B$2:$K$46</definedName>
    <definedName name="_xlnm.Print_Area" localSheetId="14">'Ficha de Costos'!$B$2:$E$34</definedName>
    <definedName name="_xlnm.Print_Area" localSheetId="16">'import'!$B$2:$K$96</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minorista'!$B$2:$K$46</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región'!$B$2:$L$46</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<sst xmlns="http://schemas.openxmlformats.org/spreadsheetml/2006/main" count="618" uniqueCount="276">
  <si>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</si>
  <si>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</si>
  <si>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</si>
  <si>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</si>
  <si>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</si>
  <si>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</si>
  <si>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</si>
  <si>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</si>
  <si>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</si>
  <si>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</si>
  <si>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</si>
  <si>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</si>
  <si>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</si>
  <si>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</si>
  <si>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</si>
  <si>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</si>
  <si>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</si>
  <si>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</si>
  <si>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</si>
  <si>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</si>
  <si>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</si>
  <si>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</si>
  <si>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</si>
  <si>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</si>
  <si>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</si>
  <si>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</si>
  <si>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</si>
  <si>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</si>
  <si>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</si>
  <si>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</si>
  <si>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</si>
  <si>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</si>
  <si>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</si>
  <si>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</si>
  <si>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</si>
  <si>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</si>
  <si>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</si>
  <si>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</si>
  <si>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</si>
  <si>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</si>
  <si>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</si>
  <si>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</si>
  <si>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</si>
  <si>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</si>
  <si>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</si>
  <si>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</si>
  <si>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</si>
  <si>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</si>
  <si>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</si>
  <si>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</si>
  <si>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</si>
  <si>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</si>
  <si>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</si>
  <si>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</si>
  <si>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</si>
  <si>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</si>
  <si>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</si>
  <si>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</si>
  <si>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</si>
  <si>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</si>
  <si>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</si>
  <si>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</si>
  <si>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</si>
  <si>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</si>
  <si>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</si>
  <si>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</si>
  <si>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</si>
  <si>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</si>
  <si>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</si>
  <si>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</si>
  <si>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</si>
  <si>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</si>
  <si>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</si>
  <si>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</si>
  <si>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</si>
  <si>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</si>
  <si>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</si>
  <si>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</si>
  <si>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</si>
  <si>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</si>
  <si>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</si>
  <si>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</si>
  <si>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</si>
  <si>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</si>
  <si>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</si>
  <si>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</si>
  <si>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</si>
  <si>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</si>
  <si>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</si>
  <si>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</si>
  <si>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</si>
  <si>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</si>
  <si>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</si>
  <si>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</si>
  <si>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</si>
  <si>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</si>
  <si>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</si>
  <si>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</si>
  <si>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</si>
  <si>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</si>
  <si>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</si>
  <si>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</si>
  <si>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</si>
  <si>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</si>
  <si>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</si>
  <si>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</si>
  <si>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</si>
  <si>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</si>
  <si>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</si>
  <si>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</si>
  <si>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</si>
  <si>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</si>
  <si>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</si>
  <si>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</si>
  <si>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</si>
  <si>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</si>
  <si>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</si>
  <si>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</si>
  <si>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</si>
  <si>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</si>
  <si>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</si>
  <si>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</si>
  <si>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</si>
  <si>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</si>
  <si>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</si>
  <si>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</si>
  <si>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</si>
  <si>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</si>
  <si>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</si>
  <si>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</si>
  <si>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</si>
  <si>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</si>
  <si>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</si>
  <si>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</si>
  <si>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</si>
  <si>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</si>
  <si>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</si>
  <si>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</si>
  <si>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</si>
  <si>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</si>
  <si>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</si>
  <si>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</si>
  <si>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</si>
  <si>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</si>
  <si>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</si>
  <si>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</si>
  <si>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</si>
  <si>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</si>
  <si>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</si>
  <si>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</si>
  <si>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</si>
  <si>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</si>
  <si>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</si>
  <si>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</si>
  <si>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</si>
  <si>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</si>
  <si>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</si>
  <si>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</si>
  <si>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</si>
  <si>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</si>
  <si>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</si>
  <si>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</si>
  <si>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</si>
  <si>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</si>
  <si>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</si>
  <si>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</si>
  <si>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</si>
  <si>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</si>
  <si>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</si>
  <si>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</si>
  <si>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</si>
  <si>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</si>
  <si>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</si>
  <si>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</si>
  <si>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</si>
  <si>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</si>
  <si>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</si>
  <si>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</si>
  <si>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</si>
  <si>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</si>
  <si>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</si>
  <si>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</si>
  <si>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</si>
  <si>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</si>
  <si>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</si>
  <si>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</si>
  <si>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</si>
  <si>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</si>
  <si>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</si>
  <si>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</si>
  <si>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</si>
  <si>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</si>
  <si>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</si>
  <si>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</si>
  <si>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</si>
  <si>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</si>
  <si>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</si>
  <si>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</si>
  <si>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</si>
  <si>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</si>
  <si>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</si>
  <si>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</si>
  <si>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</si>
  <si>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</si>
  <si>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</si>
  <si>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</si>
  <si>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</si>
  <si>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</si>
  <si>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</si>
  <si>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</si>
  <si>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</si>
  <si>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</si>
  <si>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</si>
  <si>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</si>
  <si>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</si>
  <si>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</si>
  <si>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</si>
  <si>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</si>
  <si>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</si>
  <si>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</si>
  <si>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</si>
  <si>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</si>
  <si>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</si>
  <si>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(2) Corresponde al costo financiero, y equivale a 1,5% mensual simple. Tasa de interés promedio de las empresas distribuidoras de insumos.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</si>
  <si>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</si>
  <si>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</si>
  <si>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</si>
  <si>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</si>
  <si>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</si>
  <si>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</si>
  <si>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</si>
  <si>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Otros costos </t>
    </r>
    <r>
      <rPr>
        <b/>
        <vertAlign val="superscript"/>
        <sz val="10"/>
        <rFont val="Arial"/>
        <family val="2"/>
      </rPr>
      <t>2</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</si>
  <si>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</si>
  <si>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</si>
  <si>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</si>
  <si>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</si>
  <si>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</si>
  <si>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</si>
  <si>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</si>
  <si>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</si>
  <si>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</si>
  <si>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</si>
  <si>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</si>
  <si>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</si>
  <si>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</si>
  <si>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</si>
  <si>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</si>
  <si>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</si>
  <si>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</si>
  <si>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</si>
  <si>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</si>
  <si>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</si>
  <si>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</si>
  <si>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Promedio simple en a la fecha**</t>
  </si>
  <si>
    <t>La Serena</t>
  </si>
  <si>
    <t>La Calera</t>
  </si>
  <si>
    <t>Mapocho</t>
  </si>
  <si>
    <t>Talca</t>
  </si>
  <si>
    <t>Chillán</t>
  </si>
  <si>
    <t>Concepción</t>
  </si>
  <si>
    <t>Puerto Montt</t>
  </si>
  <si>
    <t>Temuco</t>
  </si>
  <si>
    <t>Septiembre 2016</t>
  </si>
  <si>
    <r>
      <t>Información de mercado nacional y comercio exterior hasta agosto</t>
    </r>
    <r>
      <rPr>
        <sz val="11"/>
        <color indexed="8"/>
        <rFont val="Arial"/>
        <family val="2"/>
      </rPr>
      <t xml:space="preserve"> de 2016</t>
    </r>
  </si>
  <si>
    <t>2016/17*</t>
  </si>
  <si>
    <t>*: la superficie corresponde la estimación de siembra nacional a junio para la temporada. El rendimiento se estima igual a la temporada anterior.</t>
  </si>
  <si>
    <r>
      <t xml:space="preserve">(3) El precio de la papa utilizado corresponde al precio promedio mayorista regional durante </t>
    </r>
    <r>
      <rPr>
        <sz val="10"/>
        <color indexed="10"/>
        <rFont val="Arial"/>
        <family val="2"/>
      </rPr>
      <t>agosto</t>
    </r>
    <r>
      <rPr>
        <sz val="10"/>
        <color indexed="8"/>
        <rFont val="Arial"/>
        <family val="2"/>
      </rPr>
      <t xml:space="preserve"> de 2016.</t>
    </r>
  </si>
  <si>
    <t>Holanda</t>
  </si>
  <si>
    <t xml:space="preserve"> --</t>
  </si>
  <si>
    <t>ene-ago 2015</t>
  </si>
  <si>
    <t>ene-ago 2016</t>
  </si>
  <si>
    <r>
      <t xml:space="preserve">4. </t>
    </r>
    <r>
      <rPr>
        <u val="single"/>
        <sz val="10"/>
        <rFont val="Arial"/>
        <family val="2"/>
      </rPr>
      <t>Ficha de Costos</t>
    </r>
    <r>
      <rPr>
        <sz val="10"/>
        <rFont val="Arial"/>
        <family val="2"/>
      </rPr>
      <t xml:space="preserve">: Márgenes positivos
Odepa lleva un registro de fichas de costos de varios rubros, lo que permite analizar el peso promedio de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Biobio, cercano a los $346 mil pesos el escenario más desfavorable en rendimiento y precio. Los costos de Maule y Biobío corresponden al año 2013, los de la Región Metropolitana corresponden a 2015. Los valores son referenciales. Para mayor información y detalle del cálculo, revisar www.odepa.cl/rubro/papas-y-tuberculos </t>
    </r>
  </si>
  <si>
    <r>
      <t xml:space="preserve">1. </t>
    </r>
    <r>
      <rPr>
        <u val="single"/>
        <sz val="10"/>
        <rFont val="Arial"/>
        <family val="2"/>
      </rPr>
      <t>Precios de la papa en mercados mayoristas</t>
    </r>
    <r>
      <rPr>
        <sz val="10"/>
        <rFont val="Arial"/>
        <family val="2"/>
      </rPr>
      <t>: precios levemente al alza 
El precio promedio mensual de la papa en los mercados mayoristas durante agosto de 2016 fue de $266,8 por kilo, valor 8,8% superior al del mes anterior y 28,7% inferior al del mismo mes en el año 2015 (cuadro 1 y gráfico 1). Esta leve alza del mes es común en años anteriores. El precio de agosto es, al igual que en julio, mayor al promedio del año 2016, que es de $213,3 por kilo. 
El precio promedio diario en los mercados mayoristas se comporta de forma errática entre un día y otro. Entre mediados de marzo y mediados de mayo de 2016 el precio promedio nacional se mantuvo entre $8.000 y $10.000 pesos el saco de 50 kilos. Luego, entre el 20 de mayo y el 30 de agosto, el precio promedio se sitúa entre los $$11.000 y $14.000 pesos el saco de 50 kilos, siempre con una leve tendencia al alza. El alza de mayo fue provocada por el aumento de la demanda de papa como consecuencia de las lluvias en la zona central que afectaron a la papa cuaresmera que se siembra en enero-febrero y se cosecha en mayo-junio (gráfico 2 y cuadro 2). A eso se suma que los precios en agosto tienden a subir, por el aumento de la demanda de este producto en el periodo primaveral. La variedad con precio promedio por saco de 50 kilos más alto en agosto 2016 fue Cardinal (en promedio $16.474, un 24,9% más que el precio promedio nacional). Pukará en cambio presentó el precio más bajo (en promedio $10.505, un 20,3% menos que el precio promedio nacional). 
Los precios mayoristas de todos los mercados se presentan con precios estables durante julio y agosto de este año. Arica destaca una vez más por ser el mercado que muestra los precios más altos comparado con todos los otros mercados nacionales donde Odepa registra precios. La Serena es el segundo mercado con precios altos, en algunos días con precios similares a Arica. En agosto Arica registra un precio promedio de $19.321 por saco de 50 Kg, valor 47% más caro que el promedio nacional. Por otro lado, mercados que registran los precios más bajos, comparado con el promedio nacional, son Puerto Montt ($10.581) y Concepción ($10.967), 20% y 17% más baratos respectivamente, comparado con el promedio nacional para este mes (cuadro 3 y gráfico 3).</t>
    </r>
  </si>
  <si>
    <r>
      <t>2.</t>
    </r>
    <r>
      <rPr>
        <u val="single"/>
        <sz val="10"/>
        <rFont val="Arial"/>
        <family val="2"/>
      </rPr>
      <t xml:space="preserve"> Precio de la papa en mercados minoristas</t>
    </r>
    <r>
      <rPr>
        <sz val="10"/>
        <rFont val="Arial"/>
        <family val="2"/>
      </rPr>
      <t xml:space="preserve">: precios no muestran grandes variaciones
En el monitoreo de precios al consumidor que realiza Odepa en la ciudad de Santiago, se observó que el precio promedio mensual de agosto 2016 en supermercados disminuyó 2,2% con relación al mes anterior y 4,7% con respecto al mismo mes de 2015. En ferias se registró un aumento en comparación con el mes anterior, de 2,9%, y una disminución de 17,5% en relación al mismo mes del año anterior. Como siempre, los precios son más altos en supermercados que en ferias. Para agosto de 2016, en Santiago, el precio promedio de supermercados alcanzó $1.043 por kilo, y en ferias, $537 por kilo, es decir, el precio en supermercados casi duplica el precio en ferias.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abril y agosto 2016, entre ferias y supermercados, por región, se observa que la menor diferencia de precios en los últimos cinco meses se presentó en la Región de Arica, donde el promedio de precios en supermercados ($1.057) fue 84% más caro que en ferias ($575). Por otra parte, la mayor diferencia de precios entre supermercados y ferias libres se registró en la Región de La Araucanía, donde el promedio de precios en supermercado ($1.079) fue 193% más caro que en ferias libres ($368). El promedio de precios más alto en supermercado se registró en Coquimbo ($1.137 pesos por kilo), y el más bajo en Maule ($1.039 pesos por kilo). En Ferias Libres, el promedio de precios más alto se registró en Arica ($575 pesos por kilo), y el más bajo en La Araucanía ($368 pesos por kilo). Destaca en las ferias libres un alza de precios en mayo, la que es más pronunciada en las regiones de Valparaíso y Metropolitana. Esto producto del ataque de tizón que afectó a la papa en esas regiones en ese mes. </t>
    </r>
  </si>
  <si>
    <r>
      <t xml:space="preserve">5. </t>
    </r>
    <r>
      <rPr>
        <u val="single"/>
        <sz val="10"/>
        <rFont val="Arial"/>
        <family val="2"/>
      </rPr>
      <t>Comercio exterior papa fresca y procesada</t>
    </r>
    <r>
      <rPr>
        <sz val="10"/>
        <rFont val="Arial"/>
        <family val="2"/>
      </rPr>
      <t xml:space="preserve">: disminuyen las compras de papas procesadas desde Estados Unidos
La balanza comercial para el período enero-agosto 2016 de los productos derivados de papa sigue siendo negativa, con importaciones muy superiores a las ventas al exterior (cuadros 10 y 11).
Durante agosto de 2016 las exportaciones sumaron USD 5,2 millones, cifra 61,8% superior a la registrada en el mismo período del año anterior. En volumen, se exportaron 4 mil toneladas, 200% más que en el mismo período del año 2015. Destaca el alza en valor de las exportaciones de papa preparada sin congelar hacia Argentina, con ventas que sumaron USD 2,6 millones y 421 toneladas. 
Las importaciones sumaron USD 62,7 millones y 69 mil toneladas en agosto 2016, lo que representa un alza en valor de 26% en comparación con igual período del año anterior, y 22% más en volumen. Las papas preparadas congeladas son la principal categoría comprada por Chile, representando un 78% del total de las compras de papas. En esa categoría destacan Bélgica, Países Bajos y Alemania como principales proveedores de papa preparada congelada a nuestro país. Argentina ha crecido fuerte como importador de este tipo de papas en Chile.  Estados Unidos registra bajas en el valor de varios de los productos de papa enviados a Chile, en comparación con 2015, destacando la principal en la categoría puré de papas preparado, de 79,6% menos en valor comparado con el mismo período del año anterior. 
</t>
    </r>
  </si>
  <si>
    <r>
      <t xml:space="preserve">3. </t>
    </r>
    <r>
      <rPr>
        <u val="single"/>
        <sz val="10"/>
        <rFont val="Arial"/>
        <family val="2"/>
      </rPr>
      <t>Superficie, producción y rendimiento</t>
    </r>
    <r>
      <rPr>
        <sz val="10"/>
        <rFont val="Arial"/>
        <family val="2"/>
      </rPr>
      <t xml:space="preserve">: se recuperan favorablemente los rendimientos y la superficie
La encuesta del INE sobre estimación de siembra de cultivos anuales para la temporada 2016/17 indica que en Chile se habrían plantado 55.009 hectáreas de papas, lo que representa un aumento de 2,8% en la superficie nacional para la papa en comparación con la temporada 2015/16. Si estimamos un rendimiento similar al de la temporada 2015/16, de 21,8 ton/ha, la producción alcanzaría 1,2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</si>
</sst>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0_ ;\-#,##0\ "/>
    <numFmt numFmtId="186" formatCode="#,##0.0_ ;\-#,##0.0\ "/>
    <numFmt numFmtId="187" formatCode="dd/mm"/>
  </numFmts>
  <fonts count="13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b/>
      <sz val="12"/>
      <color indexed="8"/>
      <name val="Arial"/>
      <family val="2"/>
    </font>
    <font>
      <b/>
      <sz val="10"/>
      <color indexed="10"/>
      <name val="Arial"/>
      <family val="2"/>
    </font>
    <font>
      <sz val="9"/>
      <color indexed="10"/>
      <name val="Arial"/>
      <family val="2"/>
    </font>
    <font>
      <sz val="10"/>
      <color indexed="10"/>
      <name val="Calibri"/>
      <family val="2"/>
    </font>
    <font>
      <sz val="8"/>
      <color indexed="63"/>
      <name val="Verdana"/>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
      <b/>
      <sz val="10"/>
      <color rgb="FFFF0000"/>
      <name val="Arial"/>
      <family val="2"/>
    </font>
    <font>
      <sz val="9"/>
      <color rgb="FFFF0000"/>
      <name val="Arial"/>
      <family val="2"/>
    </font>
    <font>
      <sz val="10"/>
      <color rgb="FFFF0000"/>
      <name val="Calibri"/>
      <family val="2"/>
    </font>
    <font>
      <sz val="8"/>
      <color rgb="FF494949"/>
      <name val="Verdana"/>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1" fillId="0" borderId="7"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3" fillId="0" borderId="0" applyNumberFormat="0" applyFill="0" applyBorder="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cellStyleXfs>
  <cellXfs count="399">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lignment/>
      <protection/>
    </xf>
    <xf numFmtId="0" fontId="22" fillId="55" borderId="21"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6"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6" fillId="55" borderId="0" xfId="372" applyFont="1" applyFill="1" applyBorder="1" applyAlignment="1" applyProtection="1">
      <alignment horizontal="center"/>
      <protection/>
    </xf>
    <xf numFmtId="0" fontId="106"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7"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2" xfId="372" applyFont="1" applyFill="1" applyBorder="1" applyAlignment="1" applyProtection="1">
      <alignment horizontal="center" vertical="center"/>
      <protection/>
    </xf>
    <xf numFmtId="0" fontId="22" fillId="55" borderId="22" xfId="372" applyFont="1" applyFill="1" applyBorder="1" applyAlignment="1" applyProtection="1">
      <alignment horizontal="left" vertical="center"/>
      <protection/>
    </xf>
    <xf numFmtId="0" fontId="22" fillId="55" borderId="22"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24" fillId="55" borderId="0" xfId="362" applyFont="1" applyFill="1" applyBorder="1" applyAlignment="1">
      <alignment/>
      <protection/>
    </xf>
    <xf numFmtId="0" fontId="95" fillId="55" borderId="0" xfId="286" applyFont="1" applyFill="1" applyAlignment="1" applyProtection="1">
      <alignment/>
      <protection/>
    </xf>
    <xf numFmtId="0" fontId="95" fillId="55" borderId="0" xfId="286" applyFont="1" applyFill="1" applyBorder="1" applyAlignment="1" applyProtection="1">
      <alignment horizontal="right"/>
      <protection/>
    </xf>
    <xf numFmtId="0" fontId="95"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8" fillId="56" borderId="22" xfId="0" applyFont="1" applyFill="1" applyBorder="1" applyAlignment="1">
      <alignment vertical="center"/>
    </xf>
    <xf numFmtId="0" fontId="108" fillId="56" borderId="22" xfId="0" applyFont="1" applyFill="1" applyBorder="1" applyAlignment="1">
      <alignment horizontal="center" vertical="center" wrapText="1"/>
    </xf>
    <xf numFmtId="3" fontId="109" fillId="55" borderId="23"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22" fillId="55" borderId="0" xfId="362" applyFont="1" applyFill="1" applyBorder="1" applyAlignment="1">
      <alignment horizontal="center"/>
      <protection/>
    </xf>
    <xf numFmtId="0" fontId="109" fillId="55" borderId="0" xfId="0" applyFont="1" applyFill="1" applyAlignment="1">
      <alignment/>
    </xf>
    <xf numFmtId="3" fontId="108" fillId="55" borderId="24" xfId="0" applyNumberFormat="1" applyFont="1" applyFill="1" applyBorder="1" applyAlignment="1" quotePrefix="1">
      <alignment horizontal="center" vertical="center" wrapText="1"/>
    </xf>
    <xf numFmtId="3" fontId="108" fillId="55" borderId="25" xfId="0" applyNumberFormat="1" applyFont="1" applyFill="1" applyBorder="1" applyAlignment="1" quotePrefix="1">
      <alignment horizontal="center" vertical="center" wrapText="1"/>
    </xf>
    <xf numFmtId="175" fontId="108" fillId="55" borderId="25" xfId="0" applyNumberFormat="1" applyFont="1" applyFill="1" applyBorder="1" applyAlignment="1">
      <alignment horizontal="center" vertical="center" wrapText="1"/>
    </xf>
    <xf numFmtId="3" fontId="108" fillId="55" borderId="25" xfId="0" applyNumberFormat="1" applyFont="1" applyFill="1" applyBorder="1" applyAlignment="1">
      <alignment horizontal="center" vertical="center" wrapText="1"/>
    </xf>
    <xf numFmtId="175" fontId="108" fillId="55" borderId="26" xfId="0" applyNumberFormat="1" applyFont="1" applyFill="1" applyBorder="1" applyAlignment="1">
      <alignment horizontal="center" vertical="center" wrapText="1"/>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5" fontId="109" fillId="55" borderId="26" xfId="0" applyNumberFormat="1" applyFont="1" applyFill="1" applyBorder="1" applyAlignment="1">
      <alignment horizontal="right"/>
    </xf>
    <xf numFmtId="3" fontId="109" fillId="55" borderId="0" xfId="0" applyNumberFormat="1" applyFont="1" applyFill="1" applyAlignment="1">
      <alignmen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5" fontId="109" fillId="55" borderId="28" xfId="0" applyNumberFormat="1" applyFont="1" applyFill="1" applyBorder="1" applyAlignment="1">
      <alignment horizontal="right"/>
    </xf>
    <xf numFmtId="0" fontId="95" fillId="55" borderId="0" xfId="286" applyFont="1" applyFill="1" applyAlignment="1">
      <alignment/>
    </xf>
    <xf numFmtId="175"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0" fontId="25"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9" fontId="2" fillId="55" borderId="0" xfId="362" applyNumberFormat="1" applyFont="1" applyFill="1">
      <alignment/>
      <protection/>
    </xf>
    <xf numFmtId="178" fontId="2" fillId="55" borderId="0" xfId="362" applyNumberFormat="1" applyFont="1" applyFill="1">
      <alignment/>
      <protection/>
    </xf>
    <xf numFmtId="3" fontId="110" fillId="0" borderId="0" xfId="0" applyNumberFormat="1" applyFont="1" applyAlignment="1">
      <alignment/>
    </xf>
    <xf numFmtId="0" fontId="111" fillId="55" borderId="0" xfId="0" applyFont="1" applyFill="1" applyAlignment="1">
      <alignment/>
    </xf>
    <xf numFmtId="14" fontId="109" fillId="55" borderId="23" xfId="0" applyNumberFormat="1" applyFont="1" applyFill="1" applyBorder="1" applyAlignment="1">
      <alignment horizontal="left"/>
    </xf>
    <xf numFmtId="0" fontId="109" fillId="55" borderId="0" xfId="0" applyFont="1" applyFill="1" applyAlignment="1">
      <alignment horizontal="center"/>
    </xf>
    <xf numFmtId="0" fontId="108" fillId="55" borderId="22" xfId="0" applyFont="1" applyFill="1" applyBorder="1" applyAlignment="1">
      <alignment vertical="center"/>
    </xf>
    <xf numFmtId="0" fontId="108" fillId="55" borderId="22" xfId="0" applyFont="1" applyFill="1" applyBorder="1" applyAlignment="1">
      <alignment horizontal="center" vertical="center"/>
    </xf>
    <xf numFmtId="0" fontId="112" fillId="55" borderId="0" xfId="0" applyFont="1" applyFill="1" applyAlignment="1">
      <alignment horizontal="center" vertical="center" readingOrder="1"/>
    </xf>
    <xf numFmtId="0" fontId="2" fillId="55" borderId="27" xfId="362" applyFont="1" applyFill="1" applyBorder="1">
      <alignment/>
      <protection/>
    </xf>
    <xf numFmtId="3" fontId="108" fillId="55" borderId="29" xfId="0" applyNumberFormat="1" applyFont="1" applyFill="1" applyBorder="1" applyAlignment="1">
      <alignment/>
    </xf>
    <xf numFmtId="3" fontId="108" fillId="55" borderId="22" xfId="0" applyNumberFormat="1" applyFont="1" applyFill="1" applyBorder="1" applyAlignment="1">
      <alignment/>
    </xf>
    <xf numFmtId="175" fontId="108" fillId="55" borderId="30"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175" fontId="108" fillId="55" borderId="26" xfId="0" applyNumberFormat="1" applyFont="1" applyFill="1" applyBorder="1" applyAlignment="1">
      <alignment horizontal="right"/>
    </xf>
    <xf numFmtId="0" fontId="109" fillId="55" borderId="25" xfId="0" applyFont="1" applyFill="1" applyBorder="1" applyAlignment="1">
      <alignment/>
    </xf>
    <xf numFmtId="0" fontId="109" fillId="55" borderId="0" xfId="0" applyFont="1" applyFill="1" applyBorder="1" applyAlignment="1">
      <alignment/>
    </xf>
    <xf numFmtId="0" fontId="113" fillId="55" borderId="0" xfId="286" applyFont="1" applyFill="1" applyAlignment="1">
      <alignment/>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3" fontId="2" fillId="55" borderId="23" xfId="362" applyNumberFormat="1" applyFont="1" applyFill="1" applyBorder="1" applyAlignment="1">
      <alignment horizontal="center"/>
      <protection/>
    </xf>
    <xf numFmtId="0" fontId="0" fillId="55" borderId="0" xfId="0" applyFill="1" applyAlignment="1">
      <alignment/>
    </xf>
    <xf numFmtId="0" fontId="114" fillId="55" borderId="0" xfId="0" applyFont="1" applyFill="1" applyAlignment="1">
      <alignment/>
    </xf>
    <xf numFmtId="0" fontId="114" fillId="55" borderId="0" xfId="358" applyFont="1" applyFill="1">
      <alignment/>
      <protection/>
    </xf>
    <xf numFmtId="0" fontId="0" fillId="55" borderId="0" xfId="0" applyFill="1" applyAlignment="1">
      <alignment horizontal="center" vertical="center"/>
    </xf>
    <xf numFmtId="0" fontId="115" fillId="55" borderId="0" xfId="358" applyFont="1" applyFill="1" applyAlignment="1">
      <alignment vertical="top"/>
      <protection/>
    </xf>
    <xf numFmtId="0" fontId="116" fillId="55" borderId="0" xfId="358" applyFont="1" applyFill="1" applyAlignment="1">
      <alignment horizontal="left" vertical="top"/>
      <protection/>
    </xf>
    <xf numFmtId="17" fontId="117" fillId="55" borderId="0" xfId="358" applyNumberFormat="1" applyFont="1" applyFill="1" applyAlignment="1" quotePrefix="1">
      <alignment vertical="center"/>
      <protection/>
    </xf>
    <xf numFmtId="0" fontId="117" fillId="55" borderId="0" xfId="358" applyFont="1" applyFill="1" applyAlignment="1">
      <alignment vertical="center"/>
      <protection/>
    </xf>
    <xf numFmtId="0" fontId="118" fillId="55" borderId="0" xfId="358" applyFont="1" applyFill="1" applyAlignment="1">
      <alignment horizontal="left" vertical="center"/>
      <protection/>
    </xf>
    <xf numFmtId="3" fontId="2" fillId="55" borderId="27" xfId="362" applyNumberFormat="1" applyFont="1" applyFill="1" applyBorder="1" applyAlignment="1">
      <alignment horizontal="center"/>
      <protection/>
    </xf>
    <xf numFmtId="174" fontId="2" fillId="55" borderId="0" xfId="362" applyNumberFormat="1" applyFont="1" applyFill="1" applyBorder="1" applyAlignment="1">
      <alignment horizontal="center"/>
      <protection/>
    </xf>
    <xf numFmtId="174" fontId="2" fillId="55" borderId="28" xfId="362" applyNumberFormat="1" applyFont="1" applyFill="1" applyBorder="1" applyAlignment="1">
      <alignment horizont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20" xfId="305" applyNumberFormat="1" applyFont="1" applyFill="1" applyBorder="1" applyAlignment="1">
      <alignment horizontal="center" vertical="center" wrapText="1"/>
    </xf>
    <xf numFmtId="175" fontId="2" fillId="55" borderId="0" xfId="305" applyNumberFormat="1" applyFont="1" applyFill="1" applyBorder="1" applyAlignment="1">
      <alignment horizontal="center" vertical="center" wrapText="1"/>
    </xf>
    <xf numFmtId="175" fontId="2" fillId="55" borderId="0" xfId="362" applyNumberFormat="1" applyFont="1" applyFill="1" applyBorder="1" applyAlignment="1">
      <alignment horizontal="center"/>
      <protection/>
    </xf>
    <xf numFmtId="0" fontId="2" fillId="55" borderId="0" xfId="350" applyFont="1" applyFill="1" applyBorder="1">
      <alignment/>
      <protection/>
    </xf>
    <xf numFmtId="0" fontId="108" fillId="55" borderId="22" xfId="0" applyFont="1" applyFill="1" applyBorder="1" applyAlignment="1">
      <alignment horizontal="center" vertical="center" wrapText="1"/>
    </xf>
    <xf numFmtId="175" fontId="2" fillId="55" borderId="0" xfId="305" applyNumberFormat="1" applyFont="1" applyFill="1" applyBorder="1" applyAlignment="1">
      <alignment horizontal="center" vertical="center"/>
    </xf>
    <xf numFmtId="180" fontId="109" fillId="55" borderId="0" xfId="0" applyNumberFormat="1" applyFont="1" applyFill="1" applyAlignment="1">
      <alignment horizontal="left"/>
    </xf>
    <xf numFmtId="3" fontId="108" fillId="0" borderId="25" xfId="0" applyNumberFormat="1" applyFont="1" applyFill="1" applyBorder="1" applyAlignment="1">
      <alignment/>
    </xf>
    <xf numFmtId="14" fontId="109" fillId="55" borderId="31" xfId="0" applyNumberFormat="1" applyFont="1" applyFill="1" applyBorder="1" applyAlignment="1">
      <alignment horizontal="left"/>
    </xf>
    <xf numFmtId="3" fontId="109" fillId="55" borderId="31" xfId="0" applyNumberFormat="1" applyFont="1" applyFill="1" applyBorder="1" applyAlignment="1">
      <alignment horizontal="center"/>
    </xf>
    <xf numFmtId="14" fontId="109" fillId="55" borderId="32" xfId="0" applyNumberFormat="1" applyFont="1" applyFill="1" applyBorder="1" applyAlignment="1">
      <alignment horizontal="left"/>
    </xf>
    <xf numFmtId="3" fontId="109" fillId="55" borderId="32" xfId="0" applyNumberFormat="1" applyFont="1" applyFill="1" applyBorder="1" applyAlignment="1">
      <alignment horizontal="center"/>
    </xf>
    <xf numFmtId="180" fontId="109" fillId="55" borderId="33" xfId="0" applyNumberFormat="1" applyFont="1" applyFill="1" applyBorder="1" applyAlignment="1">
      <alignment horizontal="left"/>
    </xf>
    <xf numFmtId="180" fontId="109"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2" fillId="55" borderId="23" xfId="362" applyFont="1" applyFill="1" applyBorder="1" applyAlignment="1">
      <alignment horizontal="center"/>
      <protection/>
    </xf>
    <xf numFmtId="0" fontId="108"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 fontId="119" fillId="55" borderId="0" xfId="358" applyNumberFormat="1" applyFont="1" applyFill="1" applyAlignment="1">
      <alignment vertical="center"/>
      <protection/>
    </xf>
    <xf numFmtId="0" fontId="0" fillId="55" borderId="0" xfId="0" applyFont="1" applyFill="1" applyAlignment="1">
      <alignment/>
    </xf>
    <xf numFmtId="0" fontId="120" fillId="55" borderId="0" xfId="358" applyFont="1" applyFill="1" applyAlignment="1">
      <alignment horizontal="center"/>
      <protection/>
    </xf>
    <xf numFmtId="0" fontId="114" fillId="55" borderId="0" xfId="358" applyFont="1" applyFill="1" applyAlignment="1">
      <alignment horizontal="center"/>
      <protection/>
    </xf>
    <xf numFmtId="0" fontId="120" fillId="55" borderId="0" xfId="358" applyFont="1" applyFill="1" applyAlignment="1">
      <alignment/>
      <protection/>
    </xf>
    <xf numFmtId="0" fontId="114" fillId="55" borderId="0" xfId="358"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20" fillId="55" borderId="0" xfId="358" applyFont="1" applyFill="1" applyAlignment="1">
      <alignment vertical="center"/>
      <protection/>
    </xf>
    <xf numFmtId="0" fontId="108" fillId="55" borderId="0" xfId="0" applyFont="1" applyFill="1" applyBorder="1" applyAlignment="1">
      <alignment horizontal="center"/>
    </xf>
    <xf numFmtId="175" fontId="108" fillId="55" borderId="0" xfId="0" applyNumberFormat="1" applyFont="1" applyFill="1" applyBorder="1" applyAlignment="1">
      <alignment horizontal="center" vertical="center" wrapText="1"/>
    </xf>
    <xf numFmtId="175" fontId="109" fillId="55" borderId="0" xfId="0" applyNumberFormat="1" applyFont="1" applyFill="1" applyBorder="1" applyAlignment="1">
      <alignment horizontal="right"/>
    </xf>
    <xf numFmtId="175" fontId="108" fillId="55" borderId="0" xfId="0" applyNumberFormat="1" applyFont="1" applyFill="1" applyBorder="1" applyAlignment="1">
      <alignment horizontal="right"/>
    </xf>
    <xf numFmtId="0" fontId="111" fillId="55" borderId="0" xfId="0" applyFont="1" applyFill="1" applyBorder="1" applyAlignment="1">
      <alignment horizontal="left"/>
    </xf>
    <xf numFmtId="0" fontId="24" fillId="55" borderId="0" xfId="0" applyFont="1" applyFill="1" applyBorder="1" applyAlignment="1">
      <alignment horizontal="left" vertical="center" wrapText="1"/>
    </xf>
    <xf numFmtId="0" fontId="108" fillId="56" borderId="0" xfId="0" applyFont="1" applyFill="1" applyBorder="1" applyAlignment="1">
      <alignment horizontal="center" vertical="center" wrapText="1"/>
    </xf>
    <xf numFmtId="3" fontId="109" fillId="55" borderId="0" xfId="0" applyNumberFormat="1" applyFont="1" applyFill="1" applyBorder="1" applyAlignment="1">
      <alignment horizontal="center"/>
    </xf>
    <xf numFmtId="0" fontId="28" fillId="55" borderId="0" xfId="362" applyFont="1" applyFill="1" applyBorder="1" applyAlignment="1">
      <alignment horizontal="center" vertical="center" wrapText="1"/>
      <protection/>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20" xfId="362" applyFont="1" applyFill="1" applyBorder="1" applyAlignment="1">
      <alignment horizontal="center" wrapText="1"/>
      <protection/>
    </xf>
    <xf numFmtId="3" fontId="2" fillId="55" borderId="2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2" fillId="55" borderId="23" xfId="362" applyFont="1" applyFill="1" applyBorder="1" applyAlignment="1">
      <alignment horizontal="center" wrapText="1"/>
      <protection/>
    </xf>
    <xf numFmtId="3" fontId="2" fillId="55" borderId="23" xfId="362" applyNumberFormat="1" applyFont="1" applyFill="1" applyBorder="1" applyAlignment="1">
      <alignment horizontal="center" wrapText="1"/>
      <protection/>
    </xf>
    <xf numFmtId="0" fontId="120" fillId="55" borderId="0" xfId="358" applyFont="1" applyFill="1" applyAlignment="1">
      <alignment horizontal="center"/>
      <protection/>
    </xf>
    <xf numFmtId="0" fontId="108" fillId="55" borderId="29" xfId="0" applyFont="1" applyFill="1" applyBorder="1" applyAlignment="1">
      <alignment/>
    </xf>
    <xf numFmtId="0" fontId="108" fillId="55" borderId="30" xfId="0" applyFont="1" applyFill="1" applyBorder="1" applyAlignment="1">
      <alignment/>
    </xf>
    <xf numFmtId="0" fontId="108" fillId="55" borderId="29" xfId="0" applyFont="1" applyFill="1" applyBorder="1" applyAlignment="1">
      <alignment horizontal="left" vertical="center"/>
    </xf>
    <xf numFmtId="0" fontId="108" fillId="55" borderId="30" xfId="0" applyFont="1" applyFill="1" applyBorder="1" applyAlignment="1">
      <alignment horizontal="left" vertical="center"/>
    </xf>
    <xf numFmtId="0" fontId="2" fillId="0" borderId="0" xfId="362" applyFont="1" applyFill="1">
      <alignment/>
      <protection/>
    </xf>
    <xf numFmtId="3" fontId="2" fillId="0" borderId="0" xfId="362" applyNumberFormat="1" applyFont="1" applyFill="1">
      <alignment/>
      <protection/>
    </xf>
    <xf numFmtId="17" fontId="2" fillId="0" borderId="0" xfId="362" applyNumberFormat="1" applyFont="1" applyFill="1">
      <alignment/>
      <protection/>
    </xf>
    <xf numFmtId="181" fontId="2" fillId="55" borderId="0" xfId="382" applyNumberFormat="1" applyFont="1" applyFill="1" applyAlignment="1">
      <alignment/>
    </xf>
    <xf numFmtId="0" fontId="24" fillId="55" borderId="0" xfId="362" applyNumberFormat="1" applyFont="1" applyFill="1" applyBorder="1" applyAlignment="1">
      <alignment/>
      <protection/>
    </xf>
    <xf numFmtId="0" fontId="114" fillId="55" borderId="0" xfId="358" applyFont="1" applyFill="1" applyAlignment="1">
      <alignment wrapText="1"/>
      <protection/>
    </xf>
    <xf numFmtId="17" fontId="114" fillId="55" borderId="0" xfId="358" applyNumberFormat="1" applyFont="1" applyFill="1" applyAlignment="1" quotePrefix="1">
      <alignment horizontal="center"/>
      <protection/>
    </xf>
    <xf numFmtId="175" fontId="2" fillId="55" borderId="23" xfId="362" applyNumberFormat="1" applyFont="1" applyFill="1" applyBorder="1" applyAlignment="1">
      <alignment horizontal="center"/>
      <protection/>
    </xf>
    <xf numFmtId="0" fontId="22" fillId="55" borderId="24" xfId="362" applyFont="1" applyFill="1" applyBorder="1">
      <alignment/>
      <protection/>
    </xf>
    <xf numFmtId="0" fontId="22" fillId="55" borderId="35" xfId="362" applyFont="1" applyFill="1" applyBorder="1">
      <alignment/>
      <protection/>
    </xf>
    <xf numFmtId="3" fontId="22" fillId="55" borderId="24" xfId="362" applyNumberFormat="1" applyFont="1" applyFill="1" applyBorder="1" applyAlignment="1">
      <alignment horizontal="center"/>
      <protection/>
    </xf>
    <xf numFmtId="3" fontId="22" fillId="55" borderId="25" xfId="362" applyNumberFormat="1" applyFont="1" applyFill="1" applyBorder="1" applyAlignment="1">
      <alignment horizontal="center"/>
      <protection/>
    </xf>
    <xf numFmtId="177" fontId="22" fillId="55" borderId="25" xfId="362" applyNumberFormat="1" applyFont="1" applyFill="1" applyBorder="1" applyAlignment="1">
      <alignment horizontal="center"/>
      <protection/>
    </xf>
    <xf numFmtId="174" fontId="22" fillId="55" borderId="26" xfId="362" applyNumberFormat="1" applyFont="1" applyFill="1" applyBorder="1" applyAlignment="1">
      <alignment horizontal="center"/>
      <protection/>
    </xf>
    <xf numFmtId="174" fontId="22" fillId="55" borderId="25" xfId="362" applyNumberFormat="1" applyFont="1" applyFill="1" applyBorder="1" applyAlignment="1">
      <alignment horizontal="center"/>
      <protection/>
    </xf>
    <xf numFmtId="3" fontId="22" fillId="55" borderId="35" xfId="362" applyNumberFormat="1" applyFont="1" applyFill="1" applyBorder="1" applyAlignment="1">
      <alignment horizontal="center"/>
      <protection/>
    </xf>
    <xf numFmtId="3" fontId="22" fillId="55" borderId="23" xfId="362" applyNumberFormat="1" applyFont="1" applyFill="1" applyBorder="1" applyAlignment="1">
      <alignment horizontal="center"/>
      <protection/>
    </xf>
    <xf numFmtId="177" fontId="22" fillId="55" borderId="23" xfId="362" applyNumberFormat="1" applyFont="1" applyFill="1" applyBorder="1" applyAlignment="1">
      <alignment horizontal="center"/>
      <protection/>
    </xf>
    <xf numFmtId="174" fontId="22" fillId="55" borderId="36" xfId="362" applyNumberFormat="1" applyFont="1" applyFill="1" applyBorder="1" applyAlignment="1">
      <alignment horizontal="center"/>
      <protection/>
    </xf>
    <xf numFmtId="174" fontId="22" fillId="55" borderId="23" xfId="362" applyNumberFormat="1" applyFont="1" applyFill="1" applyBorder="1" applyAlignment="1">
      <alignment horizontal="center"/>
      <protection/>
    </xf>
    <xf numFmtId="0" fontId="22" fillId="55" borderId="0" xfId="362" applyFont="1" applyFill="1" applyBorder="1" applyAlignment="1">
      <alignment horizontal="center" vertical="center"/>
      <protection/>
    </xf>
    <xf numFmtId="0" fontId="109" fillId="55" borderId="26" xfId="0" applyFont="1" applyFill="1" applyBorder="1" applyAlignment="1">
      <alignment/>
    </xf>
    <xf numFmtId="0" fontId="109" fillId="55" borderId="28" xfId="0" applyFont="1" applyFill="1" applyBorder="1" applyAlignment="1">
      <alignment/>
    </xf>
    <xf numFmtId="0" fontId="22" fillId="55" borderId="0" xfId="362" applyFont="1" applyFill="1" applyBorder="1" applyAlignment="1">
      <alignment/>
      <protection/>
    </xf>
    <xf numFmtId="182" fontId="2" fillId="55" borderId="0" xfId="362" applyNumberFormat="1" applyFont="1" applyFill="1">
      <alignment/>
      <protection/>
    </xf>
    <xf numFmtId="0" fontId="24" fillId="55" borderId="0" xfId="366" applyFont="1" applyFill="1" applyBorder="1" applyAlignment="1">
      <alignment vertical="center" wrapText="1"/>
      <protection/>
    </xf>
    <xf numFmtId="0" fontId="121" fillId="55" borderId="0" xfId="0" applyFont="1" applyFill="1" applyAlignment="1" quotePrefix="1">
      <alignment horizontal="center"/>
    </xf>
    <xf numFmtId="183" fontId="2" fillId="55" borderId="0" xfId="362" applyNumberFormat="1" applyFont="1" applyFill="1">
      <alignment/>
      <protection/>
    </xf>
    <xf numFmtId="0" fontId="22" fillId="55" borderId="0" xfId="362" applyFont="1" applyFill="1" applyBorder="1" applyAlignment="1">
      <alignment horizontal="center"/>
      <protection/>
    </xf>
    <xf numFmtId="9" fontId="2" fillId="55" borderId="0" xfId="382" applyFont="1" applyFill="1" applyAlignment="1">
      <alignment/>
    </xf>
    <xf numFmtId="0" fontId="122" fillId="55" borderId="0" xfId="362" applyFont="1" applyFill="1">
      <alignment/>
      <protection/>
    </xf>
    <xf numFmtId="3" fontId="123" fillId="55" borderId="0" xfId="362" applyNumberFormat="1" applyFont="1" applyFill="1">
      <alignment/>
      <protection/>
    </xf>
    <xf numFmtId="0" fontId="24" fillId="55" borderId="25" xfId="366" applyFont="1" applyFill="1" applyBorder="1" applyAlignment="1">
      <alignment horizontal="left" vertical="center" wrapText="1"/>
      <protection/>
    </xf>
    <xf numFmtId="0" fontId="24" fillId="55" borderId="25" xfId="362" applyFont="1" applyFill="1" applyBorder="1">
      <alignment/>
      <protection/>
    </xf>
    <xf numFmtId="3" fontId="109" fillId="55" borderId="33" xfId="0" applyNumberFormat="1" applyFont="1" applyFill="1" applyBorder="1" applyAlignment="1">
      <alignment horizontal="center"/>
    </xf>
    <xf numFmtId="3" fontId="109" fillId="55" borderId="0" xfId="0" applyNumberFormat="1" applyFont="1" applyFill="1" applyAlignment="1">
      <alignment horizontal="center"/>
    </xf>
    <xf numFmtId="0" fontId="124" fillId="55" borderId="0" xfId="0" applyFont="1" applyFill="1" applyAlignment="1">
      <alignment/>
    </xf>
    <xf numFmtId="181" fontId="124" fillId="55" borderId="0" xfId="382" applyNumberFormat="1" applyFont="1" applyFill="1" applyAlignment="1">
      <alignment/>
    </xf>
    <xf numFmtId="0" fontId="125" fillId="55" borderId="0" xfId="286" applyFont="1" applyFill="1" applyAlignment="1">
      <alignment/>
    </xf>
    <xf numFmtId="0" fontId="124" fillId="55" borderId="0" xfId="362" applyFont="1" applyFill="1">
      <alignment/>
      <protection/>
    </xf>
    <xf numFmtId="9" fontId="124" fillId="55" borderId="0" xfId="382" applyFont="1" applyFill="1" applyAlignment="1">
      <alignment/>
    </xf>
    <xf numFmtId="178" fontId="124" fillId="55" borderId="0" xfId="362" applyNumberFormat="1" applyFont="1" applyFill="1">
      <alignment/>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109" fillId="55" borderId="37" xfId="0" applyFont="1" applyFill="1" applyBorder="1" applyAlignment="1">
      <alignment horizontal="left" vertical="center" wrapText="1"/>
    </xf>
    <xf numFmtId="184" fontId="2" fillId="55" borderId="0" xfId="300" applyNumberFormat="1" applyFont="1" applyFill="1" applyAlignment="1">
      <alignment/>
    </xf>
    <xf numFmtId="175" fontId="2" fillId="55" borderId="34" xfId="351" applyNumberFormat="1" applyFont="1" applyFill="1" applyBorder="1" applyAlignment="1">
      <alignment horizontal="center" vertical="center" wrapText="1"/>
      <protection/>
    </xf>
    <xf numFmtId="175" fontId="2" fillId="55" borderId="32" xfId="351" applyNumberFormat="1" applyFont="1" applyFill="1" applyBorder="1" applyAlignment="1">
      <alignment horizontal="center" vertical="center" wrapText="1"/>
      <protection/>
    </xf>
    <xf numFmtId="175" fontId="2" fillId="0" borderId="32" xfId="351" applyNumberFormat="1" applyFont="1" applyFill="1" applyBorder="1" applyAlignment="1">
      <alignment horizontal="center" vertical="center" wrapText="1"/>
      <protection/>
    </xf>
    <xf numFmtId="175" fontId="2" fillId="55" borderId="0" xfId="351" applyNumberFormat="1" applyFont="1" applyFill="1" applyBorder="1" applyAlignment="1">
      <alignment horizontal="center" vertical="center" wrapText="1"/>
      <protection/>
    </xf>
    <xf numFmtId="175" fontId="22" fillId="55" borderId="21" xfId="351" applyNumberFormat="1" applyFont="1" applyFill="1" applyBorder="1" applyAlignment="1">
      <alignment horizontal="center" vertical="center" wrapText="1"/>
      <protection/>
    </xf>
    <xf numFmtId="175" fontId="22" fillId="0" borderId="21" xfId="351" applyNumberFormat="1" applyFont="1" applyFill="1" applyBorder="1" applyAlignment="1">
      <alignment horizontal="center" vertical="center" wrapText="1"/>
      <protection/>
    </xf>
    <xf numFmtId="175"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9" fillId="55" borderId="37" xfId="0" applyFont="1" applyFill="1" applyBorder="1" applyAlignment="1">
      <alignment horizontal="left" vertical="center"/>
    </xf>
    <xf numFmtId="3" fontId="109" fillId="55" borderId="0" xfId="0" applyNumberFormat="1" applyFont="1" applyFill="1" applyBorder="1" applyAlignment="1">
      <alignment horizontal="right" vertical="center"/>
    </xf>
    <xf numFmtId="175" fontId="109" fillId="55" borderId="28" xfId="0" applyNumberFormat="1" applyFont="1" applyFill="1" applyBorder="1" applyAlignment="1">
      <alignment horizontal="right" vertical="center"/>
    </xf>
    <xf numFmtId="181" fontId="109" fillId="55" borderId="0" xfId="382" applyNumberFormat="1" applyFont="1" applyFill="1" applyAlignment="1">
      <alignment/>
    </xf>
    <xf numFmtId="175" fontId="124"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24" fillId="55" borderId="0" xfId="0" applyNumberFormat="1" applyFont="1" applyFill="1" applyAlignment="1">
      <alignment/>
    </xf>
    <xf numFmtId="0" fontId="2" fillId="55" borderId="0" xfId="0" applyFont="1" applyFill="1" applyAlignment="1">
      <alignment/>
    </xf>
    <xf numFmtId="3" fontId="122" fillId="55" borderId="0" xfId="0" applyNumberFormat="1" applyFont="1" applyFill="1" applyAlignment="1">
      <alignment horizontal="center"/>
    </xf>
    <xf numFmtId="0" fontId="126" fillId="55" borderId="0" xfId="0" applyFont="1" applyFill="1" applyAlignment="1">
      <alignment horizontal="center" vertical="center" wrapText="1"/>
    </xf>
    <xf numFmtId="171" fontId="122" fillId="55" borderId="0" xfId="300" applyFont="1" applyFill="1" applyAlignment="1">
      <alignment/>
    </xf>
    <xf numFmtId="181" fontId="122" fillId="55" borderId="0" xfId="382" applyNumberFormat="1" applyFont="1" applyFill="1" applyAlignment="1">
      <alignment/>
    </xf>
    <xf numFmtId="0" fontId="25" fillId="55" borderId="0" xfId="362" applyFont="1" applyFill="1" applyAlignment="1">
      <alignment/>
      <protection/>
    </xf>
    <xf numFmtId="0" fontId="24" fillId="55" borderId="0" xfId="362" applyFont="1" applyFill="1" applyAlignment="1">
      <alignment/>
      <protection/>
    </xf>
    <xf numFmtId="0" fontId="2" fillId="55" borderId="28" xfId="362" applyFont="1" applyFill="1" applyBorder="1">
      <alignment/>
      <protection/>
    </xf>
    <xf numFmtId="0" fontId="108" fillId="56" borderId="0" xfId="0" applyFont="1" applyFill="1" applyBorder="1" applyAlignment="1">
      <alignment horizontal="center"/>
    </xf>
    <xf numFmtId="0" fontId="108" fillId="56" borderId="38" xfId="0" applyFont="1" applyFill="1" applyBorder="1" applyAlignment="1">
      <alignment vertical="center"/>
    </xf>
    <xf numFmtId="0" fontId="108" fillId="56" borderId="35" xfId="0" applyFont="1" applyFill="1" applyBorder="1" applyAlignment="1">
      <alignment horizontal="center" vertical="center" wrapText="1"/>
    </xf>
    <xf numFmtId="0" fontId="108" fillId="56" borderId="23" xfId="0" applyFont="1" applyFill="1" applyBorder="1" applyAlignment="1">
      <alignment horizontal="center" vertical="center" wrapText="1"/>
    </xf>
    <xf numFmtId="0" fontId="108" fillId="56" borderId="36" xfId="0" applyFont="1" applyFill="1" applyBorder="1" applyAlignment="1">
      <alignment horizontal="center" vertical="center" wrapText="1"/>
    </xf>
    <xf numFmtId="180" fontId="109" fillId="55" borderId="39" xfId="0" applyNumberFormat="1" applyFont="1" applyFill="1" applyBorder="1" applyAlignment="1">
      <alignment horizontal="left"/>
    </xf>
    <xf numFmtId="3" fontId="109" fillId="55" borderId="40" xfId="0" applyNumberFormat="1" applyFont="1" applyFill="1" applyBorder="1" applyAlignment="1">
      <alignment horizontal="center"/>
    </xf>
    <xf numFmtId="3" fontId="109" fillId="55" borderId="41" xfId="0" applyNumberFormat="1" applyFont="1" applyFill="1" applyBorder="1" applyAlignment="1">
      <alignment horizontal="center"/>
    </xf>
    <xf numFmtId="180" fontId="109" fillId="55" borderId="42" xfId="0" applyNumberFormat="1" applyFont="1" applyFill="1" applyBorder="1" applyAlignment="1">
      <alignment horizontal="left"/>
    </xf>
    <xf numFmtId="3" fontId="109" fillId="55" borderId="35" xfId="0" applyNumberFormat="1" applyFont="1" applyFill="1" applyBorder="1" applyAlignment="1">
      <alignment horizontal="center"/>
    </xf>
    <xf numFmtId="3" fontId="109" fillId="55" borderId="36" xfId="0" applyNumberFormat="1" applyFont="1" applyFill="1" applyBorder="1" applyAlignment="1">
      <alignment horizontal="center"/>
    </xf>
    <xf numFmtId="3" fontId="2" fillId="55" borderId="0" xfId="0" applyNumberFormat="1" applyFont="1" applyFill="1" applyAlignment="1">
      <alignment/>
    </xf>
    <xf numFmtId="0" fontId="94"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6" fontId="2" fillId="55" borderId="38" xfId="301" applyNumberFormat="1" applyFont="1" applyFill="1" applyBorder="1" applyAlignment="1">
      <alignment horizontal="center" vertical="center" wrapText="1"/>
    </xf>
    <xf numFmtId="5" fontId="2" fillId="55" borderId="38" xfId="336" applyNumberFormat="1" applyFont="1" applyFill="1" applyBorder="1" applyAlignment="1">
      <alignment horizontal="center" vertical="center" wrapText="1"/>
    </xf>
    <xf numFmtId="0" fontId="22" fillId="55" borderId="38" xfId="0" applyFont="1" applyFill="1" applyBorder="1" applyAlignment="1">
      <alignment vertical="center"/>
    </xf>
    <xf numFmtId="0" fontId="34" fillId="55" borderId="38" xfId="0" applyFont="1" applyFill="1" applyBorder="1" applyAlignment="1">
      <alignment horizontal="right" vertical="center" wrapText="1"/>
    </xf>
    <xf numFmtId="5" fontId="35" fillId="55" borderId="38" xfId="336" applyNumberFormat="1" applyFont="1" applyFill="1" applyBorder="1" applyAlignment="1">
      <alignment horizontal="right" vertical="center" wrapText="1"/>
    </xf>
    <xf numFmtId="0" fontId="34" fillId="55" borderId="38" xfId="0" applyFont="1" applyFill="1" applyBorder="1" applyAlignment="1">
      <alignment horizontal="right"/>
    </xf>
    <xf numFmtId="5" fontId="34" fillId="55" borderId="38" xfId="336" applyNumberFormat="1" applyFont="1" applyFill="1" applyBorder="1" applyAlignment="1">
      <alignment horizontal="right" vertical="center" wrapText="1"/>
    </xf>
    <xf numFmtId="0" fontId="22" fillId="55" borderId="0" xfId="0" applyFont="1" applyFill="1" applyBorder="1" applyAlignment="1">
      <alignment/>
    </xf>
    <xf numFmtId="5" fontId="35" fillId="55" borderId="0" xfId="336" applyNumberFormat="1" applyFont="1" applyFill="1" applyBorder="1" applyAlignment="1">
      <alignment vertical="center" wrapText="1"/>
    </xf>
    <xf numFmtId="3" fontId="22" fillId="55" borderId="38" xfId="0" applyNumberFormat="1" applyFont="1" applyFill="1" applyBorder="1" applyAlignment="1">
      <alignment horizontal="center"/>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9" fillId="55" borderId="0" xfId="0" applyFont="1" applyFill="1" applyBorder="1" applyAlignment="1">
      <alignment/>
    </xf>
    <xf numFmtId="3" fontId="22" fillId="55" borderId="0" xfId="300" applyNumberFormat="1" applyFont="1" applyFill="1" applyBorder="1" applyAlignment="1">
      <alignment horizontal="center" vertical="center"/>
    </xf>
    <xf numFmtId="5" fontId="2" fillId="55" borderId="0" xfId="336" applyNumberFormat="1" applyFont="1" applyFill="1" applyBorder="1" applyAlignment="1">
      <alignment horizontal="center" vertical="center" wrapText="1"/>
    </xf>
    <xf numFmtId="3" fontId="2" fillId="55" borderId="38" xfId="300" applyNumberFormat="1" applyFont="1" applyFill="1" applyBorder="1" applyAlignment="1">
      <alignment horizontal="center" vertical="center"/>
    </xf>
    <xf numFmtId="5" fontId="35" fillId="55" borderId="38" xfId="336" applyNumberFormat="1" applyFont="1" applyFill="1" applyBorder="1" applyAlignment="1">
      <alignment horizontal="center" vertical="center" wrapText="1"/>
    </xf>
    <xf numFmtId="0" fontId="22" fillId="55" borderId="38" xfId="0" applyFont="1" applyFill="1" applyBorder="1" applyAlignment="1">
      <alignment horizontal="left"/>
    </xf>
    <xf numFmtId="0" fontId="127" fillId="55" borderId="0" xfId="358" applyFont="1" applyFill="1" applyAlignment="1">
      <alignment horizontal="center"/>
      <protection/>
    </xf>
    <xf numFmtId="0" fontId="108" fillId="55" borderId="0" xfId="358" applyFont="1" applyFill="1" applyAlignment="1">
      <alignment horizontal="center" vertical="center"/>
      <protection/>
    </xf>
    <xf numFmtId="0" fontId="38" fillId="55" borderId="0" xfId="362" applyFont="1" applyFill="1" applyBorder="1" applyAlignment="1">
      <alignment horizontal="center" vertical="center"/>
      <protection/>
    </xf>
    <xf numFmtId="0" fontId="39" fillId="55" borderId="0" xfId="362" applyFont="1" applyFill="1">
      <alignment/>
      <protection/>
    </xf>
    <xf numFmtId="0" fontId="39" fillId="55" borderId="0" xfId="362" applyFont="1" applyFill="1" applyBorder="1">
      <alignment/>
      <protection/>
    </xf>
    <xf numFmtId="0" fontId="39" fillId="55" borderId="0" xfId="362" applyFont="1" applyFill="1" applyBorder="1" applyAlignment="1">
      <alignment horizontal="left" vertical="top" wrapText="1"/>
      <protection/>
    </xf>
    <xf numFmtId="16" fontId="109" fillId="55" borderId="0" xfId="0" applyNumberFormat="1" applyFont="1" applyFill="1" applyAlignment="1">
      <alignment/>
    </xf>
    <xf numFmtId="0" fontId="2" fillId="55" borderId="0" xfId="362" applyNumberFormat="1" applyFont="1" applyFill="1">
      <alignment/>
      <protection/>
    </xf>
    <xf numFmtId="5" fontId="128" fillId="55" borderId="38" xfId="336" applyNumberFormat="1" applyFont="1" applyFill="1" applyBorder="1" applyAlignment="1">
      <alignment horizontal="center" vertical="center" wrapText="1"/>
    </xf>
    <xf numFmtId="0" fontId="124" fillId="55" borderId="0" xfId="362" applyNumberFormat="1" applyFont="1" applyFill="1">
      <alignment/>
      <protection/>
    </xf>
    <xf numFmtId="0" fontId="109" fillId="55" borderId="37" xfId="0" applyFont="1" applyFill="1" applyBorder="1" applyAlignment="1">
      <alignment horizontal="left" vertical="center" wrapText="1"/>
    </xf>
    <xf numFmtId="3" fontId="108" fillId="55" borderId="29" xfId="0" applyNumberFormat="1" applyFont="1" applyFill="1" applyBorder="1" applyAlignment="1" quotePrefix="1">
      <alignment horizontal="center" vertical="center" wrapText="1"/>
    </xf>
    <xf numFmtId="3" fontId="108" fillId="55" borderId="22" xfId="0" applyNumberFormat="1" applyFont="1" applyFill="1" applyBorder="1" applyAlignment="1" quotePrefix="1">
      <alignment horizontal="center" vertical="center" wrapText="1"/>
    </xf>
    <xf numFmtId="175" fontId="108" fillId="55" borderId="22" xfId="0" applyNumberFormat="1" applyFont="1" applyFill="1" applyBorder="1" applyAlignment="1">
      <alignment horizontal="center" vertical="center" wrapText="1"/>
    </xf>
    <xf numFmtId="3" fontId="108" fillId="55" borderId="22" xfId="0" applyNumberFormat="1" applyFont="1" applyFill="1" applyBorder="1" applyAlignment="1">
      <alignment horizontal="center" vertical="center" wrapText="1"/>
    </xf>
    <xf numFmtId="175" fontId="108" fillId="55" borderId="30" xfId="0" applyNumberFormat="1" applyFont="1" applyFill="1" applyBorder="1" applyAlignment="1">
      <alignment horizontal="center" vertical="center" wrapText="1"/>
    </xf>
    <xf numFmtId="0" fontId="108" fillId="55" borderId="0" xfId="0" applyFont="1" applyFill="1" applyBorder="1" applyAlignment="1">
      <alignment/>
    </xf>
    <xf numFmtId="3" fontId="108" fillId="55" borderId="0" xfId="0" applyNumberFormat="1" applyFont="1" applyFill="1" applyBorder="1" applyAlignment="1">
      <alignment/>
    </xf>
    <xf numFmtId="0" fontId="129" fillId="55" borderId="0" xfId="362" applyFont="1" applyFill="1" applyBorder="1" applyAlignment="1">
      <alignment horizontal="center"/>
      <protection/>
    </xf>
    <xf numFmtId="0" fontId="130" fillId="55" borderId="0" xfId="0" applyFont="1" applyFill="1" applyBorder="1" applyAlignment="1">
      <alignment horizontal="left" vertical="center" wrapText="1"/>
    </xf>
    <xf numFmtId="0" fontId="131" fillId="55" borderId="0" xfId="0" applyFont="1" applyFill="1" applyAlignment="1">
      <alignment/>
    </xf>
    <xf numFmtId="9" fontId="126" fillId="55" borderId="0" xfId="0" applyNumberFormat="1" applyFont="1" applyFill="1" applyAlignment="1">
      <alignment horizontal="center"/>
    </xf>
    <xf numFmtId="0" fontId="126" fillId="56" borderId="0" xfId="0" applyFont="1" applyFill="1" applyBorder="1" applyAlignment="1">
      <alignment horizontal="center" vertical="center"/>
    </xf>
    <xf numFmtId="3" fontId="126" fillId="55" borderId="0" xfId="0" applyNumberFormat="1" applyFont="1" applyFill="1" applyAlignment="1">
      <alignment horizontal="right"/>
    </xf>
    <xf numFmtId="0" fontId="126" fillId="55" borderId="0" xfId="0" applyFont="1" applyFill="1" applyAlignment="1">
      <alignment horizontal="right"/>
    </xf>
    <xf numFmtId="0" fontId="122" fillId="55" borderId="0" xfId="362" applyFont="1" applyFill="1" applyAlignment="1">
      <alignment horizontal="center"/>
      <protection/>
    </xf>
    <xf numFmtId="3" fontId="122" fillId="55" borderId="0" xfId="362" applyNumberFormat="1" applyFont="1" applyFill="1">
      <alignment/>
      <protection/>
    </xf>
    <xf numFmtId="0" fontId="126" fillId="55" borderId="0" xfId="362" applyFont="1" applyFill="1" applyBorder="1" applyAlignment="1">
      <alignment horizontal="center"/>
      <protection/>
    </xf>
    <xf numFmtId="0" fontId="122" fillId="55" borderId="0" xfId="362" applyFont="1" applyFill="1" applyBorder="1">
      <alignment/>
      <protection/>
    </xf>
    <xf numFmtId="0" fontId="126" fillId="55" borderId="0" xfId="362" applyFont="1" applyFill="1" applyBorder="1" applyAlignment="1">
      <alignment horizontal="center" vertical="center" wrapText="1"/>
      <protection/>
    </xf>
    <xf numFmtId="0" fontId="126" fillId="55" borderId="0" xfId="0" applyFont="1" applyFill="1" applyAlignment="1">
      <alignment horizontal="center" wrapText="1"/>
    </xf>
    <xf numFmtId="4" fontId="122" fillId="55" borderId="0" xfId="0" applyNumberFormat="1" applyFont="1" applyFill="1" applyAlignment="1">
      <alignment horizontal="center"/>
    </xf>
    <xf numFmtId="0" fontId="86" fillId="55" borderId="0" xfId="0" applyFont="1" applyFill="1" applyAlignment="1">
      <alignment/>
    </xf>
    <xf numFmtId="1" fontId="86" fillId="55" borderId="0" xfId="0" applyNumberFormat="1" applyFont="1" applyFill="1" applyAlignment="1">
      <alignment/>
    </xf>
    <xf numFmtId="9" fontId="86" fillId="55" borderId="0" xfId="382" applyFont="1" applyFill="1" applyAlignment="1">
      <alignment horizontal="center"/>
    </xf>
    <xf numFmtId="17" fontId="132" fillId="0" borderId="0" xfId="0" applyNumberFormat="1" applyFont="1" applyAlignment="1">
      <alignment horizontal="center" vertical="center"/>
    </xf>
    <xf numFmtId="185" fontId="122" fillId="55" borderId="0" xfId="300" applyNumberFormat="1" applyFont="1" applyFill="1" applyAlignment="1">
      <alignment horizontal="center"/>
    </xf>
    <xf numFmtId="0" fontId="133" fillId="55" borderId="0" xfId="286" applyFont="1" applyFill="1" applyAlignment="1">
      <alignment/>
    </xf>
    <xf numFmtId="0" fontId="122" fillId="55" borderId="0" xfId="0" applyFont="1" applyFill="1" applyAlignment="1">
      <alignment horizontal="right"/>
    </xf>
    <xf numFmtId="181" fontId="122" fillId="55" borderId="0" xfId="382" applyNumberFormat="1" applyFont="1" applyFill="1" applyAlignment="1">
      <alignment horizontal="center"/>
    </xf>
    <xf numFmtId="175" fontId="35" fillId="55" borderId="0" xfId="305" applyNumberFormat="1" applyFont="1" applyFill="1" applyBorder="1" applyAlignment="1">
      <alignment horizontal="center" vertical="center"/>
    </xf>
    <xf numFmtId="3" fontId="35"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9" fillId="55" borderId="0" xfId="0" applyFont="1" applyFill="1" applyAlignment="1">
      <alignment/>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5" fontId="109" fillId="55" borderId="26" xfId="0" applyNumberFormat="1" applyFont="1" applyFill="1" applyBorder="1" applyAlignment="1">
      <alignment horizontal="righ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5" fontId="109" fillId="55" borderId="28"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0" fontId="109" fillId="55" borderId="25" xfId="0" applyFont="1" applyFill="1" applyBorder="1" applyAlignment="1">
      <alignment/>
    </xf>
    <xf numFmtId="0" fontId="109" fillId="55" borderId="0" xfId="0" applyFont="1" applyFill="1" applyBorder="1" applyAlignment="1">
      <alignment/>
    </xf>
    <xf numFmtId="175" fontId="109" fillId="55" borderId="0" xfId="0" applyNumberFormat="1" applyFont="1" applyFill="1" applyBorder="1" applyAlignment="1">
      <alignment horizontal="right"/>
    </xf>
    <xf numFmtId="0" fontId="108" fillId="55" borderId="29" xfId="0" applyFont="1" applyFill="1" applyBorder="1" applyAlignment="1">
      <alignment/>
    </xf>
    <xf numFmtId="0" fontId="108" fillId="55" borderId="30" xfId="0" applyFont="1" applyFill="1" applyBorder="1" applyAlignment="1">
      <alignment/>
    </xf>
    <xf numFmtId="0" fontId="109" fillId="55" borderId="28" xfId="0" applyFont="1" applyFill="1" applyBorder="1" applyAlignment="1">
      <alignment/>
    </xf>
    <xf numFmtId="9" fontId="122" fillId="55" borderId="0" xfId="382" applyFont="1" applyFill="1" applyAlignment="1">
      <alignment/>
    </xf>
    <xf numFmtId="0" fontId="24" fillId="55" borderId="0" xfId="366" applyFont="1" applyFill="1" applyBorder="1" applyAlignment="1">
      <alignment vertical="center" wrapText="1"/>
      <protection/>
    </xf>
    <xf numFmtId="0" fontId="126" fillId="55" borderId="0" xfId="0" applyFont="1" applyFill="1" applyAlignment="1">
      <alignment horizontal="center" vertical="center"/>
    </xf>
    <xf numFmtId="9" fontId="122" fillId="55" borderId="0" xfId="382" applyFont="1" applyFill="1" applyAlignment="1">
      <alignment horizontal="center"/>
    </xf>
    <xf numFmtId="0" fontId="122" fillId="55" borderId="0" xfId="0" applyFont="1" applyFill="1" applyAlignment="1">
      <alignment horizontal="center"/>
    </xf>
    <xf numFmtId="0" fontId="122" fillId="55" borderId="0" xfId="0" applyFont="1" applyFill="1" applyAlignment="1">
      <alignment/>
    </xf>
    <xf numFmtId="181" fontId="122" fillId="55" borderId="0" xfId="382" applyNumberFormat="1" applyFont="1" applyFill="1" applyAlignment="1">
      <alignment/>
    </xf>
    <xf numFmtId="0" fontId="86" fillId="0" borderId="0" xfId="0" applyFont="1" applyAlignment="1">
      <alignment/>
    </xf>
    <xf numFmtId="0" fontId="126" fillId="55" borderId="0" xfId="0" applyFont="1" applyFill="1" applyBorder="1" applyAlignment="1">
      <alignment horizontal="center" vertical="center" wrapText="1"/>
    </xf>
    <xf numFmtId="181" fontId="126" fillId="55" borderId="0" xfId="0" applyNumberFormat="1" applyFont="1" applyFill="1" applyAlignment="1">
      <alignment horizontal="center"/>
    </xf>
    <xf numFmtId="3" fontId="122" fillId="55" borderId="0" xfId="0" applyNumberFormat="1" applyFont="1" applyFill="1" applyAlignment="1">
      <alignment/>
    </xf>
    <xf numFmtId="0" fontId="109" fillId="55" borderId="37" xfId="0" applyFont="1" applyFill="1" applyBorder="1" applyAlignment="1">
      <alignment horizontal="left" vertical="center" wrapText="1"/>
    </xf>
    <xf numFmtId="17" fontId="127" fillId="55" borderId="0" xfId="0" applyNumberFormat="1" applyFont="1" applyFill="1" applyAlignment="1" quotePrefix="1">
      <alignment horizontal="center"/>
    </xf>
    <xf numFmtId="0" fontId="127" fillId="55" borderId="0" xfId="0" applyFont="1" applyFill="1" applyAlignment="1">
      <alignment horizontal="center"/>
    </xf>
    <xf numFmtId="0" fontId="39" fillId="55" borderId="0" xfId="362" applyFont="1" applyFill="1" applyBorder="1" applyAlignment="1">
      <alignment horizontal="left" vertical="top" wrapText="1" indent="3"/>
      <protection/>
    </xf>
    <xf numFmtId="0" fontId="38" fillId="55" borderId="0" xfId="362" applyFont="1" applyFill="1" applyBorder="1" applyAlignment="1">
      <alignment horizontal="center" vertical="center"/>
      <protection/>
    </xf>
    <xf numFmtId="0" fontId="39"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6" xfId="362" applyFont="1" applyFill="1" applyBorder="1" applyAlignment="1">
      <alignment horizontal="center" vertical="center"/>
      <protection/>
    </xf>
    <xf numFmtId="0" fontId="2" fillId="55" borderId="27"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8" xfId="366"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8" xfId="362" applyFont="1" applyFill="1" applyBorder="1" applyAlignment="1">
      <alignment horizontal="left" vertical="top" wrapText="1"/>
      <protection/>
    </xf>
    <xf numFmtId="0" fontId="2" fillId="55" borderId="35" xfId="362" applyFont="1" applyFill="1" applyBorder="1" applyAlignment="1">
      <alignment horizontal="left" vertical="top" wrapText="1"/>
      <protection/>
    </xf>
    <xf numFmtId="0" fontId="2" fillId="55" borderId="23" xfId="362" applyFont="1" applyFill="1" applyBorder="1" applyAlignment="1">
      <alignment horizontal="left" vertical="top" wrapText="1"/>
      <protection/>
    </xf>
    <xf numFmtId="0" fontId="2" fillId="55" borderId="36" xfId="362" applyFont="1" applyFill="1" applyBorder="1" applyAlignment="1">
      <alignment horizontal="left" vertical="top" wrapText="1"/>
      <protection/>
    </xf>
    <xf numFmtId="0" fontId="24" fillId="55" borderId="20" xfId="362" applyFont="1" applyFill="1" applyBorder="1" applyAlignment="1">
      <alignment horizontal="left" vertical="center" wrapText="1"/>
      <protection/>
    </xf>
    <xf numFmtId="0" fontId="22" fillId="55" borderId="21" xfId="362" applyFont="1" applyFill="1" applyBorder="1" applyAlignment="1">
      <alignment horizontal="center"/>
      <protection/>
    </xf>
    <xf numFmtId="0" fontId="22" fillId="55" borderId="2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7" xfId="362" applyFont="1" applyFill="1" applyBorder="1" applyAlignment="1">
      <alignment horizontal="center" vertical="center"/>
      <protection/>
    </xf>
    <xf numFmtId="0" fontId="22" fillId="55" borderId="43"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0" fontId="108" fillId="56" borderId="38"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2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2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2" fillId="55" borderId="0" xfId="0" applyFont="1" applyFill="1" applyBorder="1" applyAlignment="1">
      <alignment horizontal="center" vertical="center" wrapText="1"/>
    </xf>
    <xf numFmtId="0" fontId="108" fillId="55" borderId="0" xfId="0" applyFont="1" applyFill="1" applyBorder="1" applyAlignment="1">
      <alignment horizontal="center" vertical="center"/>
    </xf>
    <xf numFmtId="0" fontId="126" fillId="57" borderId="38" xfId="0" applyFont="1" applyFill="1" applyBorder="1" applyAlignment="1">
      <alignment horizontal="center" wrapText="1"/>
    </xf>
    <xf numFmtId="177" fontId="22" fillId="55" borderId="37" xfId="300" applyNumberFormat="1" applyFont="1" applyFill="1" applyBorder="1" applyAlignment="1">
      <alignment horizontal="center" vertical="center"/>
    </xf>
    <xf numFmtId="177" fontId="22" fillId="55" borderId="42" xfId="300" applyNumberFormat="1" applyFont="1" applyFill="1" applyBorder="1" applyAlignment="1">
      <alignment horizontal="center" vertical="center"/>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9" fillId="55" borderId="0" xfId="0" applyFont="1" applyFill="1" applyBorder="1" applyAlignment="1">
      <alignment horizontal="left"/>
    </xf>
    <xf numFmtId="0" fontId="109" fillId="55" borderId="37" xfId="0" applyFont="1" applyFill="1" applyBorder="1" applyAlignment="1">
      <alignment horizontal="left" vertical="center" wrapText="1"/>
    </xf>
    <xf numFmtId="0" fontId="109" fillId="55" borderId="43" xfId="0" applyFont="1" applyFill="1" applyBorder="1" applyAlignment="1">
      <alignment horizontal="left" vertical="center" wrapText="1"/>
    </xf>
    <xf numFmtId="0" fontId="109" fillId="55" borderId="42" xfId="0" applyFont="1" applyFill="1" applyBorder="1" applyAlignment="1">
      <alignment horizontal="left" vertical="center" wrapText="1"/>
    </xf>
    <xf numFmtId="0" fontId="108" fillId="55" borderId="0" xfId="0" applyFont="1" applyFill="1" applyBorder="1" applyAlignment="1">
      <alignment horizontal="center"/>
    </xf>
    <xf numFmtId="0" fontId="108" fillId="55" borderId="29" xfId="0" applyFont="1" applyFill="1" applyBorder="1" applyAlignment="1">
      <alignment horizontal="center"/>
    </xf>
    <xf numFmtId="0" fontId="108" fillId="55" borderId="22" xfId="0" applyFont="1" applyFill="1" applyBorder="1" applyAlignment="1">
      <alignment horizontal="center"/>
    </xf>
    <xf numFmtId="0" fontId="108" fillId="55" borderId="30" xfId="0" applyFont="1" applyFill="1" applyBorder="1" applyAlignment="1">
      <alignment horizontal="center"/>
    </xf>
    <xf numFmtId="0" fontId="108" fillId="55" borderId="37" xfId="0" applyFont="1" applyFill="1" applyBorder="1" applyAlignment="1">
      <alignment horizontal="left" vertical="center"/>
    </xf>
    <xf numFmtId="0" fontId="108" fillId="55" borderId="42" xfId="0" applyFont="1" applyFill="1" applyBorder="1" applyAlignment="1">
      <alignment horizontal="left" vertical="center"/>
    </xf>
    <xf numFmtId="0" fontId="108" fillId="55" borderId="26" xfId="0" applyFont="1" applyFill="1" applyBorder="1" applyAlignment="1">
      <alignment horizontal="left" vertical="center"/>
    </xf>
    <xf numFmtId="0" fontId="108" fillId="55" borderId="36" xfId="0" applyFont="1" applyFill="1" applyBorder="1" applyAlignment="1">
      <alignment horizontal="left" vertical="center"/>
    </xf>
    <xf numFmtId="0" fontId="111" fillId="55" borderId="0" xfId="0" applyFont="1" applyFill="1" applyBorder="1" applyAlignment="1">
      <alignment horizontal="left"/>
    </xf>
    <xf numFmtId="0" fontId="109" fillId="55" borderId="38" xfId="0" applyFont="1" applyFill="1" applyBorder="1" applyAlignment="1">
      <alignment horizontal="left" vertical="center" wrapText="1"/>
    </xf>
    <xf numFmtId="0" fontId="108" fillId="55" borderId="37" xfId="0" applyFont="1" applyFill="1" applyBorder="1" applyAlignment="1">
      <alignment horizontal="center" vertical="center"/>
    </xf>
    <xf numFmtId="0" fontId="108" fillId="55" borderId="43"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7"/>
          <c:w val="0.88825"/>
          <c:h val="0.884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31195467"/>
        <c:axId val="52182876"/>
      </c:lineChart>
      <c:catAx>
        <c:axId val="3119546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2182876"/>
        <c:crosses val="autoZero"/>
        <c:auto val="1"/>
        <c:lblOffset val="100"/>
        <c:tickLblSkip val="1"/>
        <c:noMultiLvlLbl val="0"/>
      </c:catAx>
      <c:valAx>
        <c:axId val="52182876"/>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1195467"/>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2374719"/>
        <c:axId val="49252368"/>
      </c:barChart>
      <c:catAx>
        <c:axId val="23747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9252368"/>
        <c:crosses val="autoZero"/>
        <c:auto val="1"/>
        <c:lblOffset val="100"/>
        <c:tickLblSkip val="1"/>
        <c:noMultiLvlLbl val="0"/>
      </c:catAx>
      <c:valAx>
        <c:axId val="49252368"/>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2374719"/>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marzo al 31 de agosto de 2016 
</a:t>
            </a:r>
            <a:r>
              <a:rPr lang="en-US" cap="none" sz="1000" b="1" i="0" u="none" baseline="0">
                <a:solidFill>
                  <a:srgbClr val="000000"/>
                </a:solidFill>
              </a:rPr>
              <a:t>(en $/50 kilos sin IVA)</a:t>
            </a:r>
          </a:p>
        </c:rich>
      </c:tx>
      <c:layout>
        <c:manualLayout>
          <c:xMode val="factor"/>
          <c:yMode val="factor"/>
          <c:x val="-0.00225"/>
          <c:y val="-0.01225"/>
        </c:manualLayout>
      </c:layout>
      <c:spPr>
        <a:noFill/>
        <a:ln>
          <a:noFill/>
        </a:ln>
      </c:spPr>
    </c:title>
    <c:plotArea>
      <c:layout>
        <c:manualLayout>
          <c:xMode val="edge"/>
          <c:yMode val="edge"/>
          <c:x val="0.03725"/>
          <c:y val="0.1285"/>
          <c:w val="0.959"/>
          <c:h val="0.822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poly"/>
            <c:order val="5"/>
            <c:dispEq val="0"/>
            <c:dispRSqr val="0"/>
          </c:trendline>
          <c:cat>
            <c:numRef>
              <c:f>'[2]serie de precios'!$A$1040:$A$1176</c:f>
              <c:numCache>
                <c:ptCount val="137"/>
                <c:pt idx="0">
                  <c:v>42430</c:v>
                </c:pt>
                <c:pt idx="1">
                  <c:v>42431</c:v>
                </c:pt>
                <c:pt idx="2">
                  <c:v>42432</c:v>
                </c:pt>
                <c:pt idx="3">
                  <c:v>42433</c:v>
                </c:pt>
                <c:pt idx="4">
                  <c:v>42436</c:v>
                </c:pt>
                <c:pt idx="5">
                  <c:v>42437</c:v>
                </c:pt>
                <c:pt idx="6">
                  <c:v>42438</c:v>
                </c:pt>
                <c:pt idx="7">
                  <c:v>42439</c:v>
                </c:pt>
                <c:pt idx="8">
                  <c:v>42440</c:v>
                </c:pt>
                <c:pt idx="9">
                  <c:v>42443</c:v>
                </c:pt>
                <c:pt idx="10">
                  <c:v>42444</c:v>
                </c:pt>
                <c:pt idx="11">
                  <c:v>42445</c:v>
                </c:pt>
                <c:pt idx="12">
                  <c:v>42446</c:v>
                </c:pt>
                <c:pt idx="13">
                  <c:v>42447</c:v>
                </c:pt>
                <c:pt idx="14">
                  <c:v>42450</c:v>
                </c:pt>
                <c:pt idx="15">
                  <c:v>42451</c:v>
                </c:pt>
                <c:pt idx="16">
                  <c:v>42452</c:v>
                </c:pt>
                <c:pt idx="17">
                  <c:v>42453</c:v>
                </c:pt>
                <c:pt idx="18">
                  <c:v>42457</c:v>
                </c:pt>
                <c:pt idx="19">
                  <c:v>42458</c:v>
                </c:pt>
                <c:pt idx="20">
                  <c:v>42459</c:v>
                </c:pt>
                <c:pt idx="21">
                  <c:v>42460</c:v>
                </c:pt>
                <c:pt idx="22">
                  <c:v>42461</c:v>
                </c:pt>
                <c:pt idx="23">
                  <c:v>42464</c:v>
                </c:pt>
                <c:pt idx="24">
                  <c:v>42465</c:v>
                </c:pt>
                <c:pt idx="25">
                  <c:v>42466</c:v>
                </c:pt>
                <c:pt idx="26">
                  <c:v>42467</c:v>
                </c:pt>
                <c:pt idx="27">
                  <c:v>42468</c:v>
                </c:pt>
                <c:pt idx="28">
                  <c:v>42471</c:v>
                </c:pt>
                <c:pt idx="29">
                  <c:v>42472</c:v>
                </c:pt>
                <c:pt idx="30">
                  <c:v>42473</c:v>
                </c:pt>
                <c:pt idx="31">
                  <c:v>42474</c:v>
                </c:pt>
                <c:pt idx="32">
                  <c:v>42475</c:v>
                </c:pt>
                <c:pt idx="33">
                  <c:v>42478</c:v>
                </c:pt>
                <c:pt idx="34">
                  <c:v>42479</c:v>
                </c:pt>
                <c:pt idx="35">
                  <c:v>42480</c:v>
                </c:pt>
                <c:pt idx="36">
                  <c:v>42481</c:v>
                </c:pt>
                <c:pt idx="37">
                  <c:v>42482</c:v>
                </c:pt>
                <c:pt idx="38">
                  <c:v>42485</c:v>
                </c:pt>
                <c:pt idx="39">
                  <c:v>42486</c:v>
                </c:pt>
                <c:pt idx="40">
                  <c:v>42487</c:v>
                </c:pt>
                <c:pt idx="41">
                  <c:v>42488</c:v>
                </c:pt>
                <c:pt idx="42">
                  <c:v>42489</c:v>
                </c:pt>
                <c:pt idx="43">
                  <c:v>42492</c:v>
                </c:pt>
                <c:pt idx="44">
                  <c:v>42493</c:v>
                </c:pt>
                <c:pt idx="45">
                  <c:v>42494</c:v>
                </c:pt>
                <c:pt idx="46">
                  <c:v>42495</c:v>
                </c:pt>
                <c:pt idx="47">
                  <c:v>42496</c:v>
                </c:pt>
                <c:pt idx="48">
                  <c:v>42499</c:v>
                </c:pt>
                <c:pt idx="49">
                  <c:v>42500</c:v>
                </c:pt>
                <c:pt idx="50">
                  <c:v>42501</c:v>
                </c:pt>
                <c:pt idx="51">
                  <c:v>42502</c:v>
                </c:pt>
                <c:pt idx="52">
                  <c:v>42503</c:v>
                </c:pt>
                <c:pt idx="53">
                  <c:v>42506</c:v>
                </c:pt>
                <c:pt idx="54">
                  <c:v>42507</c:v>
                </c:pt>
                <c:pt idx="55">
                  <c:v>42508</c:v>
                </c:pt>
                <c:pt idx="56">
                  <c:v>42509</c:v>
                </c:pt>
                <c:pt idx="57">
                  <c:v>42510</c:v>
                </c:pt>
                <c:pt idx="58">
                  <c:v>42513</c:v>
                </c:pt>
                <c:pt idx="59">
                  <c:v>42514</c:v>
                </c:pt>
                <c:pt idx="60">
                  <c:v>42515</c:v>
                </c:pt>
                <c:pt idx="61">
                  <c:v>42516</c:v>
                </c:pt>
                <c:pt idx="62">
                  <c:v>42517</c:v>
                </c:pt>
                <c:pt idx="63">
                  <c:v>42520</c:v>
                </c:pt>
                <c:pt idx="64">
                  <c:v>42521</c:v>
                </c:pt>
                <c:pt idx="65">
                  <c:v>42522</c:v>
                </c:pt>
                <c:pt idx="66">
                  <c:v>42523</c:v>
                </c:pt>
                <c:pt idx="67">
                  <c:v>42524</c:v>
                </c:pt>
                <c:pt idx="68">
                  <c:v>42527</c:v>
                </c:pt>
                <c:pt idx="69">
                  <c:v>42528</c:v>
                </c:pt>
                <c:pt idx="70">
                  <c:v>42529</c:v>
                </c:pt>
                <c:pt idx="71">
                  <c:v>42530</c:v>
                </c:pt>
                <c:pt idx="72">
                  <c:v>42531</c:v>
                </c:pt>
                <c:pt idx="73">
                  <c:v>42534</c:v>
                </c:pt>
                <c:pt idx="74">
                  <c:v>42535</c:v>
                </c:pt>
                <c:pt idx="75">
                  <c:v>42536</c:v>
                </c:pt>
                <c:pt idx="76">
                  <c:v>42537</c:v>
                </c:pt>
                <c:pt idx="77">
                  <c:v>42538</c:v>
                </c:pt>
                <c:pt idx="78">
                  <c:v>42541</c:v>
                </c:pt>
                <c:pt idx="79">
                  <c:v>42542</c:v>
                </c:pt>
                <c:pt idx="80">
                  <c:v>42543</c:v>
                </c:pt>
                <c:pt idx="81">
                  <c:v>42544</c:v>
                </c:pt>
                <c:pt idx="82">
                  <c:v>42545</c:v>
                </c:pt>
                <c:pt idx="83">
                  <c:v>42549</c:v>
                </c:pt>
                <c:pt idx="84">
                  <c:v>42550</c:v>
                </c:pt>
                <c:pt idx="85">
                  <c:v>42551</c:v>
                </c:pt>
                <c:pt idx="86">
                  <c:v>42552</c:v>
                </c:pt>
                <c:pt idx="87">
                  <c:v>42555</c:v>
                </c:pt>
                <c:pt idx="88">
                  <c:v>42556</c:v>
                </c:pt>
                <c:pt idx="89">
                  <c:v>42557</c:v>
                </c:pt>
                <c:pt idx="90">
                  <c:v>42558</c:v>
                </c:pt>
                <c:pt idx="91">
                  <c:v>42559</c:v>
                </c:pt>
                <c:pt idx="92">
                  <c:v>42562</c:v>
                </c:pt>
                <c:pt idx="93">
                  <c:v>42563</c:v>
                </c:pt>
                <c:pt idx="94">
                  <c:v>42564</c:v>
                </c:pt>
                <c:pt idx="95">
                  <c:v>42565</c:v>
                </c:pt>
                <c:pt idx="96">
                  <c:v>42566</c:v>
                </c:pt>
                <c:pt idx="97">
                  <c:v>42569</c:v>
                </c:pt>
                <c:pt idx="98">
                  <c:v>42570</c:v>
                </c:pt>
                <c:pt idx="99">
                  <c:v>42571</c:v>
                </c:pt>
                <c:pt idx="100">
                  <c:v>42572</c:v>
                </c:pt>
                <c:pt idx="101">
                  <c:v>42573</c:v>
                </c:pt>
                <c:pt idx="102">
                  <c:v>42576</c:v>
                </c:pt>
                <c:pt idx="103">
                  <c:v>42577</c:v>
                </c:pt>
                <c:pt idx="104">
                  <c:v>42578</c:v>
                </c:pt>
                <c:pt idx="105">
                  <c:v>42579</c:v>
                </c:pt>
                <c:pt idx="106">
                  <c:v>42580</c:v>
                </c:pt>
                <c:pt idx="107">
                  <c:v>42571</c:v>
                </c:pt>
                <c:pt idx="108">
                  <c:v>42572</c:v>
                </c:pt>
                <c:pt idx="109">
                  <c:v>42573</c:v>
                </c:pt>
                <c:pt idx="110">
                  <c:v>42576</c:v>
                </c:pt>
                <c:pt idx="111">
                  <c:v>42577</c:v>
                </c:pt>
                <c:pt idx="112">
                  <c:v>42578</c:v>
                </c:pt>
                <c:pt idx="113">
                  <c:v>42579</c:v>
                </c:pt>
                <c:pt idx="114">
                  <c:v>42580</c:v>
                </c:pt>
                <c:pt idx="115">
                  <c:v>42583</c:v>
                </c:pt>
                <c:pt idx="116">
                  <c:v>42584</c:v>
                </c:pt>
                <c:pt idx="117">
                  <c:v>42585</c:v>
                </c:pt>
                <c:pt idx="118">
                  <c:v>42586</c:v>
                </c:pt>
                <c:pt idx="119">
                  <c:v>42587</c:v>
                </c:pt>
                <c:pt idx="120">
                  <c:v>42590</c:v>
                </c:pt>
                <c:pt idx="121">
                  <c:v>42591</c:v>
                </c:pt>
                <c:pt idx="122">
                  <c:v>42592</c:v>
                </c:pt>
                <c:pt idx="123">
                  <c:v>42593</c:v>
                </c:pt>
                <c:pt idx="124">
                  <c:v>42594</c:v>
                </c:pt>
                <c:pt idx="125">
                  <c:v>42598</c:v>
                </c:pt>
                <c:pt idx="126">
                  <c:v>42599</c:v>
                </c:pt>
                <c:pt idx="127">
                  <c:v>42600</c:v>
                </c:pt>
                <c:pt idx="128">
                  <c:v>42601</c:v>
                </c:pt>
                <c:pt idx="129">
                  <c:v>42604</c:v>
                </c:pt>
                <c:pt idx="130">
                  <c:v>42605</c:v>
                </c:pt>
                <c:pt idx="131">
                  <c:v>42606</c:v>
                </c:pt>
                <c:pt idx="132">
                  <c:v>42607</c:v>
                </c:pt>
                <c:pt idx="133">
                  <c:v>42608</c:v>
                </c:pt>
                <c:pt idx="134">
                  <c:v>42611</c:v>
                </c:pt>
                <c:pt idx="135">
                  <c:v>42612</c:v>
                </c:pt>
                <c:pt idx="136">
                  <c:v>42613</c:v>
                </c:pt>
              </c:numCache>
            </c:numRef>
          </c:cat>
          <c:val>
            <c:numRef>
              <c:f>'[2]serie de precios'!$N$1040:$N$1176</c:f>
              <c:numCache>
                <c:ptCount val="137"/>
                <c:pt idx="0">
                  <c:v>9269.893157894738</c:v>
                </c:pt>
                <c:pt idx="1">
                  <c:v>8454.470833333333</c:v>
                </c:pt>
                <c:pt idx="2">
                  <c:v>9719.987222222224</c:v>
                </c:pt>
                <c:pt idx="3">
                  <c:v>9318.6055</c:v>
                </c:pt>
                <c:pt idx="4">
                  <c:v>9066.910588235292</c:v>
                </c:pt>
                <c:pt idx="5">
                  <c:v>9402.8325</c:v>
                </c:pt>
                <c:pt idx="6">
                  <c:v>9008.069375</c:v>
                </c:pt>
                <c:pt idx="7">
                  <c:v>9002.69095238095</c:v>
                </c:pt>
                <c:pt idx="8">
                  <c:v>9124.971304347826</c:v>
                </c:pt>
                <c:pt idx="9">
                  <c:v>9722.250714285716</c:v>
                </c:pt>
                <c:pt idx="10">
                  <c:v>9411.235499999999</c:v>
                </c:pt>
                <c:pt idx="11">
                  <c:v>9758.918823529411</c:v>
                </c:pt>
                <c:pt idx="12">
                  <c:v>9090.559444444445</c:v>
                </c:pt>
                <c:pt idx="13">
                  <c:v>8596.26105263158</c:v>
                </c:pt>
                <c:pt idx="14">
                  <c:v>8808.82375</c:v>
                </c:pt>
                <c:pt idx="15">
                  <c:v>8448.876842105265</c:v>
                </c:pt>
                <c:pt idx="16">
                  <c:v>9031.187222222223</c:v>
                </c:pt>
                <c:pt idx="17">
                  <c:v>8641.191875</c:v>
                </c:pt>
                <c:pt idx="18">
                  <c:v>9760.25529411765</c:v>
                </c:pt>
                <c:pt idx="19">
                  <c:v>8720.71357142857</c:v>
                </c:pt>
                <c:pt idx="20">
                  <c:v>9053.317857142858</c:v>
                </c:pt>
                <c:pt idx="21">
                  <c:v>8600.51</c:v>
                </c:pt>
                <c:pt idx="22">
                  <c:v>8008.1431250000005</c:v>
                </c:pt>
                <c:pt idx="23">
                  <c:v>8498.52875</c:v>
                </c:pt>
                <c:pt idx="24">
                  <c:v>8387.544285714286</c:v>
                </c:pt>
                <c:pt idx="25">
                  <c:v>9106.6805</c:v>
                </c:pt>
                <c:pt idx="26">
                  <c:v>8440.13875</c:v>
                </c:pt>
                <c:pt idx="27">
                  <c:v>8573.282222222224</c:v>
                </c:pt>
                <c:pt idx="28">
                  <c:v>7895.500588235294</c:v>
                </c:pt>
                <c:pt idx="29">
                  <c:v>8806.655909090907</c:v>
                </c:pt>
                <c:pt idx="30">
                  <c:v>7950.10294117647</c:v>
                </c:pt>
                <c:pt idx="31">
                  <c:v>8704.224999999997</c:v>
                </c:pt>
                <c:pt idx="32">
                  <c:v>8169.5526315789475</c:v>
                </c:pt>
                <c:pt idx="33">
                  <c:v>8650.62625</c:v>
                </c:pt>
                <c:pt idx="34">
                  <c:v>8908.4128</c:v>
                </c:pt>
                <c:pt idx="35">
                  <c:v>8577.784375</c:v>
                </c:pt>
                <c:pt idx="36">
                  <c:v>9172.741578947369</c:v>
                </c:pt>
                <c:pt idx="37">
                  <c:v>8720.734</c:v>
                </c:pt>
                <c:pt idx="38">
                  <c:v>8747.585000000001</c:v>
                </c:pt>
                <c:pt idx="39">
                  <c:v>9182.859166666667</c:v>
                </c:pt>
                <c:pt idx="40">
                  <c:v>9240.321</c:v>
                </c:pt>
                <c:pt idx="41">
                  <c:v>8333.133157894737</c:v>
                </c:pt>
                <c:pt idx="42">
                  <c:v>9156.873636363634</c:v>
                </c:pt>
                <c:pt idx="43">
                  <c:v>8375.322142857143</c:v>
                </c:pt>
                <c:pt idx="44">
                  <c:v>9234.40705882353</c:v>
                </c:pt>
                <c:pt idx="45">
                  <c:v>8913.811176470588</c:v>
                </c:pt>
                <c:pt idx="46">
                  <c:v>9153.472777777779</c:v>
                </c:pt>
                <c:pt idx="47">
                  <c:v>8892.242352941175</c:v>
                </c:pt>
                <c:pt idx="48">
                  <c:v>9023.330500000002</c:v>
                </c:pt>
                <c:pt idx="49">
                  <c:v>8461.586666666666</c:v>
                </c:pt>
                <c:pt idx="50">
                  <c:v>8229.902142857141</c:v>
                </c:pt>
                <c:pt idx="51">
                  <c:v>8887.550714285715</c:v>
                </c:pt>
                <c:pt idx="52">
                  <c:v>8786.133529411765</c:v>
                </c:pt>
                <c:pt idx="53">
                  <c:v>9925.452857142855</c:v>
                </c:pt>
                <c:pt idx="54">
                  <c:v>11149.863913043479</c:v>
                </c:pt>
                <c:pt idx="55">
                  <c:v>11335.153750000003</c:v>
                </c:pt>
                <c:pt idx="56">
                  <c:v>12832.023125000002</c:v>
                </c:pt>
                <c:pt idx="57">
                  <c:v>12553.536666666669</c:v>
                </c:pt>
                <c:pt idx="58">
                  <c:v>13142.822631578947</c:v>
                </c:pt>
                <c:pt idx="59">
                  <c:v>13160.455652173918</c:v>
                </c:pt>
                <c:pt idx="60">
                  <c:v>13307.286315789474</c:v>
                </c:pt>
                <c:pt idx="61">
                  <c:v>12752.621764705884</c:v>
                </c:pt>
                <c:pt idx="62">
                  <c:v>12770.828800000001</c:v>
                </c:pt>
                <c:pt idx="63">
                  <c:v>12582.234444444444</c:v>
                </c:pt>
                <c:pt idx="64">
                  <c:v>12682.959166666666</c:v>
                </c:pt>
                <c:pt idx="65">
                  <c:v>12696.96</c:v>
                </c:pt>
                <c:pt idx="66">
                  <c:v>12868.89888888889</c:v>
                </c:pt>
                <c:pt idx="67">
                  <c:v>12471.907857142856</c:v>
                </c:pt>
                <c:pt idx="68">
                  <c:v>13092.762222222222</c:v>
                </c:pt>
                <c:pt idx="69">
                  <c:v>12872.757368421053</c:v>
                </c:pt>
                <c:pt idx="70">
                  <c:v>12718.774736842106</c:v>
                </c:pt>
                <c:pt idx="71">
                  <c:v>13251.71380952381</c:v>
                </c:pt>
                <c:pt idx="72">
                  <c:v>12980.956000000002</c:v>
                </c:pt>
                <c:pt idx="73">
                  <c:v>12295.758823529415</c:v>
                </c:pt>
                <c:pt idx="74">
                  <c:v>13032.257142857141</c:v>
                </c:pt>
                <c:pt idx="75">
                  <c:v>11828.070555555554</c:v>
                </c:pt>
                <c:pt idx="76">
                  <c:v>12048.889545454544</c:v>
                </c:pt>
                <c:pt idx="77">
                  <c:v>11762.372</c:v>
                </c:pt>
                <c:pt idx="78">
                  <c:v>11962.815555555551</c:v>
                </c:pt>
                <c:pt idx="79">
                  <c:v>11839.23</c:v>
                </c:pt>
                <c:pt idx="80">
                  <c:v>11507.037999999999</c:v>
                </c:pt>
                <c:pt idx="81">
                  <c:v>11894.513684210526</c:v>
                </c:pt>
                <c:pt idx="82">
                  <c:v>12657.863888888889</c:v>
                </c:pt>
                <c:pt idx="83">
                  <c:v>13269.22</c:v>
                </c:pt>
                <c:pt idx="84">
                  <c:v>11305.195714285714</c:v>
                </c:pt>
                <c:pt idx="85">
                  <c:v>11408.442777777775</c:v>
                </c:pt>
                <c:pt idx="86">
                  <c:v>12603.914736842104</c:v>
                </c:pt>
                <c:pt idx="87">
                  <c:v>11629.16125</c:v>
                </c:pt>
                <c:pt idx="88">
                  <c:v>11384.399473684209</c:v>
                </c:pt>
                <c:pt idx="89">
                  <c:v>11955.32117647059</c:v>
                </c:pt>
                <c:pt idx="90">
                  <c:v>11599.922941176472</c:v>
                </c:pt>
                <c:pt idx="91">
                  <c:v>11508.85294117647</c:v>
                </c:pt>
                <c:pt idx="92">
                  <c:v>12326.644705882352</c:v>
                </c:pt>
                <c:pt idx="93">
                  <c:v>11441.592777777776</c:v>
                </c:pt>
                <c:pt idx="94">
                  <c:v>11187.738666666666</c:v>
                </c:pt>
                <c:pt idx="95">
                  <c:v>12522.747500000001</c:v>
                </c:pt>
                <c:pt idx="96">
                  <c:v>12211.28294117647</c:v>
                </c:pt>
                <c:pt idx="97">
                  <c:v>11745.666666666666</c:v>
                </c:pt>
                <c:pt idx="98">
                  <c:v>12815.539444444445</c:v>
                </c:pt>
                <c:pt idx="99">
                  <c:v>13016.91714285714</c:v>
                </c:pt>
                <c:pt idx="100">
                  <c:v>12612.756470588234</c:v>
                </c:pt>
                <c:pt idx="101">
                  <c:v>11732.395384615384</c:v>
                </c:pt>
                <c:pt idx="102">
                  <c:v>12719.812857142857</c:v>
                </c:pt>
                <c:pt idx="103">
                  <c:v>12259.151875000001</c:v>
                </c:pt>
                <c:pt idx="104">
                  <c:v>12664.446923076923</c:v>
                </c:pt>
                <c:pt idx="105">
                  <c:v>13954.436842105262</c:v>
                </c:pt>
                <c:pt idx="106">
                  <c:v>12277.783157894737</c:v>
                </c:pt>
                <c:pt idx="107">
                  <c:v>13016.91714285714</c:v>
                </c:pt>
                <c:pt idx="108">
                  <c:v>12612.756470588234</c:v>
                </c:pt>
                <c:pt idx="109">
                  <c:v>11732.395384615384</c:v>
                </c:pt>
                <c:pt idx="110">
                  <c:v>12719.812857142857</c:v>
                </c:pt>
                <c:pt idx="111">
                  <c:v>12259.151875000001</c:v>
                </c:pt>
                <c:pt idx="112">
                  <c:v>12664.446923076923</c:v>
                </c:pt>
                <c:pt idx="113">
                  <c:v>13954.436842105262</c:v>
                </c:pt>
                <c:pt idx="114">
                  <c:v>12277.783157894737</c:v>
                </c:pt>
                <c:pt idx="115">
                  <c:v>13322.054000000002</c:v>
                </c:pt>
                <c:pt idx="116">
                  <c:v>13175.628571428571</c:v>
                </c:pt>
                <c:pt idx="117">
                  <c:v>12843.014285714287</c:v>
                </c:pt>
                <c:pt idx="118">
                  <c:v>13533.377500000002</c:v>
                </c:pt>
                <c:pt idx="119">
                  <c:v>12605.044999999998</c:v>
                </c:pt>
                <c:pt idx="120">
                  <c:v>13073.872352941178</c:v>
                </c:pt>
                <c:pt idx="121">
                  <c:v>13322.956666666665</c:v>
                </c:pt>
                <c:pt idx="122">
                  <c:v>13805.365714285717</c:v>
                </c:pt>
                <c:pt idx="123">
                  <c:v>13037.696666666667</c:v>
                </c:pt>
                <c:pt idx="124">
                  <c:v>13180.218000000003</c:v>
                </c:pt>
                <c:pt idx="125">
                  <c:v>13776.420400000003</c:v>
                </c:pt>
                <c:pt idx="126">
                  <c:v>13079.028333333334</c:v>
                </c:pt>
                <c:pt idx="127">
                  <c:v>13347.648181818182</c:v>
                </c:pt>
                <c:pt idx="128">
                  <c:v>12585.710869565219</c:v>
                </c:pt>
                <c:pt idx="129">
                  <c:v>13668.706666666669</c:v>
                </c:pt>
                <c:pt idx="130">
                  <c:v>13153.682608695655</c:v>
                </c:pt>
                <c:pt idx="131">
                  <c:v>13068.702352941176</c:v>
                </c:pt>
                <c:pt idx="132">
                  <c:v>14193.095500000001</c:v>
                </c:pt>
                <c:pt idx="133">
                  <c:v>12712.490909090906</c:v>
                </c:pt>
                <c:pt idx="134">
                  <c:v>13119.215625000003</c:v>
                </c:pt>
                <c:pt idx="135">
                  <c:v>13144.108181818185</c:v>
                </c:pt>
                <c:pt idx="136">
                  <c:v>12394.188125</c:v>
                </c:pt>
              </c:numCache>
            </c:numRef>
          </c:val>
          <c:smooth val="0"/>
        </c:ser>
        <c:marker val="1"/>
        <c:axId val="6824093"/>
        <c:axId val="65945102"/>
      </c:lineChart>
      <c:catAx>
        <c:axId val="6824093"/>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65945102"/>
        <c:crosses val="autoZero"/>
        <c:auto val="0"/>
        <c:lblOffset val="100"/>
        <c:tickLblSkip val="3"/>
        <c:noMultiLvlLbl val="0"/>
      </c:catAx>
      <c:valAx>
        <c:axId val="65945102"/>
        <c:scaling>
          <c:orientation val="minMax"/>
          <c:max val="14500"/>
          <c:min val="7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682409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julio al 31 de gosto de 2016 
</a:t>
            </a:r>
            <a:r>
              <a:rPr lang="en-US" cap="none" sz="1000" b="1" i="0" u="none" baseline="0">
                <a:solidFill>
                  <a:srgbClr val="000000"/>
                </a:solidFill>
              </a:rPr>
              <a:t>(en $ por saco de 50 kilos, sin IVA)</a:t>
            </a:r>
          </a:p>
        </c:rich>
      </c:tx>
      <c:layout>
        <c:manualLayout>
          <c:xMode val="factor"/>
          <c:yMode val="factor"/>
          <c:x val="-0.0465"/>
          <c:y val="-0.01275"/>
        </c:manualLayout>
      </c:layout>
      <c:spPr>
        <a:noFill/>
        <a:ln w="3175">
          <a:noFill/>
        </a:ln>
      </c:spPr>
    </c:title>
    <c:plotArea>
      <c:layout>
        <c:manualLayout>
          <c:xMode val="edge"/>
          <c:yMode val="edge"/>
          <c:x val="0.016"/>
          <c:y val="0.1065"/>
          <c:w val="0.8125"/>
          <c:h val="0.807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0084527"/>
        <c:axId val="24379776"/>
      </c:lineChart>
      <c:dateAx>
        <c:axId val="10084527"/>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24379776"/>
        <c:crosses val="autoZero"/>
        <c:auto val="0"/>
        <c:baseTimeUnit val="days"/>
        <c:majorUnit val="2"/>
        <c:majorTimeUnit val="days"/>
        <c:minorUnit val="1"/>
        <c:minorTimeUnit val="days"/>
        <c:noMultiLvlLbl val="0"/>
      </c:dateAx>
      <c:valAx>
        <c:axId val="24379776"/>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0084527"/>
        <c:crossesAt val="1"/>
        <c:crossBetween val="between"/>
        <c:dispUnits/>
      </c:valAx>
      <c:spPr>
        <a:noFill/>
        <a:ln>
          <a:noFill/>
        </a:ln>
      </c:spPr>
    </c:plotArea>
    <c:legend>
      <c:legendPos val="r"/>
      <c:layout>
        <c:manualLayout>
          <c:xMode val="edge"/>
          <c:yMode val="edge"/>
          <c:x val="0.8395"/>
          <c:y val="0.0642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5"/>
          <c:y val="0.07125"/>
          <c:w val="0.98475"/>
          <c:h val="0.8177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53758337"/>
        <c:axId val="16912818"/>
      </c:lineChart>
      <c:dateAx>
        <c:axId val="53758337"/>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6912818"/>
        <c:crosses val="autoZero"/>
        <c:auto val="0"/>
        <c:baseTimeUnit val="months"/>
        <c:majorUnit val="2"/>
        <c:majorTimeUnit val="months"/>
        <c:minorUnit val="1"/>
        <c:minorTimeUnit val="months"/>
        <c:noMultiLvlLbl val="0"/>
      </c:dateAx>
      <c:valAx>
        <c:axId val="16912818"/>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3758337"/>
        <c:crossesAt val="1"/>
        <c:crossBetween val="between"/>
        <c:dispUnits/>
      </c:valAx>
      <c:spPr>
        <a:noFill/>
        <a:ln>
          <a:noFill/>
        </a:ln>
      </c:spPr>
    </c:plotArea>
    <c:legend>
      <c:legendPos val="r"/>
      <c:layout>
        <c:manualLayout>
          <c:xMode val="edge"/>
          <c:yMode val="edge"/>
          <c:x val="0.31425"/>
          <c:y val="0.8855"/>
          <c:w val="0.372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275"/>
          <c:y val="-0.01425"/>
        </c:manualLayout>
      </c:layout>
      <c:spPr>
        <a:noFill/>
        <a:ln w="3175">
          <a:noFill/>
        </a:ln>
      </c:spPr>
    </c:title>
    <c:plotArea>
      <c:layout>
        <c:manualLayout>
          <c:xMode val="edge"/>
          <c:yMode val="edge"/>
          <c:x val="0.057"/>
          <c:y val="0.0955"/>
          <c:w val="0.94875"/>
          <c:h val="0.782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23421715"/>
        <c:axId val="6813348"/>
      </c:lineChart>
      <c:dateAx>
        <c:axId val="23421715"/>
        <c:scaling>
          <c:orientation val="minMax"/>
        </c:scaling>
        <c:axPos val="b"/>
        <c:delete val="0"/>
        <c:numFmt formatCode="dd/mm" sourceLinked="0"/>
        <c:majorTickMark val="out"/>
        <c:minorTickMark val="none"/>
        <c:tickLblPos val="nextTo"/>
        <c:spPr>
          <a:ln w="3175">
            <a:solidFill>
              <a:srgbClr val="C0C0C0"/>
            </a:solidFill>
          </a:ln>
        </c:spPr>
        <c:crossAx val="6813348"/>
        <c:crosses val="autoZero"/>
        <c:auto val="0"/>
        <c:baseTimeUnit val="days"/>
        <c:majorUnit val="14"/>
        <c:majorTimeUnit val="days"/>
        <c:minorUnit val="1"/>
        <c:minorTimeUnit val="days"/>
        <c:noMultiLvlLbl val="0"/>
      </c:dateAx>
      <c:valAx>
        <c:axId val="6813348"/>
        <c:scaling>
          <c:orientation val="minMax"/>
          <c:min val="7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3421715"/>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125"/>
          <c:y val="-0.01425"/>
        </c:manualLayout>
      </c:layout>
      <c:spPr>
        <a:noFill/>
        <a:ln w="3175">
          <a:noFill/>
        </a:ln>
      </c:spPr>
    </c:title>
    <c:plotArea>
      <c:layout>
        <c:manualLayout>
          <c:xMode val="edge"/>
          <c:yMode val="edge"/>
          <c:x val="0.0495"/>
          <c:y val="0.09225"/>
          <c:w val="0.95625"/>
          <c:h val="0.78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65418597"/>
        <c:axId val="51394646"/>
      </c:lineChart>
      <c:dateAx>
        <c:axId val="65418597"/>
        <c:scaling>
          <c:orientation val="minMax"/>
        </c:scaling>
        <c:axPos val="b"/>
        <c:delete val="0"/>
        <c:numFmt formatCode="dd/mm" sourceLinked="0"/>
        <c:majorTickMark val="out"/>
        <c:minorTickMark val="none"/>
        <c:tickLblPos val="nextTo"/>
        <c:spPr>
          <a:ln w="3175">
            <a:solidFill>
              <a:srgbClr val="C0C0C0"/>
            </a:solidFill>
          </a:ln>
        </c:spPr>
        <c:crossAx val="51394646"/>
        <c:crosses val="autoZero"/>
        <c:auto val="0"/>
        <c:baseTimeUnit val="days"/>
        <c:majorUnit val="14"/>
        <c:majorTimeUnit val="days"/>
        <c:minorUnit val="1"/>
        <c:minorTimeUnit val="days"/>
        <c:noMultiLvlLbl val="0"/>
      </c:dateAx>
      <c:valAx>
        <c:axId val="51394646"/>
        <c:scaling>
          <c:orientation val="minMax"/>
          <c:max val="650"/>
          <c:min val="2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5418597"/>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705"/>
          <c:w val="0.8885"/>
          <c:h val="0.851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35309687"/>
        <c:axId val="52453064"/>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20063305"/>
        <c:axId val="43577850"/>
      </c:lineChart>
      <c:catAx>
        <c:axId val="3530968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52453064"/>
        <c:crosses val="autoZero"/>
        <c:auto val="1"/>
        <c:lblOffset val="100"/>
        <c:tickLblSkip val="1"/>
        <c:noMultiLvlLbl val="0"/>
      </c:catAx>
      <c:valAx>
        <c:axId val="52453064"/>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35309687"/>
        <c:crossesAt val="1"/>
        <c:crossBetween val="between"/>
        <c:dispUnits/>
      </c:valAx>
      <c:catAx>
        <c:axId val="20063305"/>
        <c:scaling>
          <c:orientation val="minMax"/>
        </c:scaling>
        <c:axPos val="b"/>
        <c:delete val="1"/>
        <c:majorTickMark val="out"/>
        <c:minorTickMark val="none"/>
        <c:tickLblPos val="nextTo"/>
        <c:crossAx val="43577850"/>
        <c:crosses val="autoZero"/>
        <c:auto val="1"/>
        <c:lblOffset val="100"/>
        <c:tickLblSkip val="1"/>
        <c:noMultiLvlLbl val="0"/>
      </c:catAx>
      <c:valAx>
        <c:axId val="43577850"/>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7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20063305"/>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125"/>
          <c:y val="0.075"/>
          <c:w val="0.942"/>
          <c:h val="0.848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54939867"/>
        <c:axId val="7698924"/>
      </c:barChart>
      <c:catAx>
        <c:axId val="549398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7698924"/>
        <c:crosses val="autoZero"/>
        <c:auto val="1"/>
        <c:lblOffset val="100"/>
        <c:tickLblSkip val="1"/>
        <c:noMultiLvlLbl val="0"/>
      </c:catAx>
      <c:valAx>
        <c:axId val="7698924"/>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4939867"/>
        <c:crossesAt val="1"/>
        <c:crossBetween val="between"/>
        <c:dispUnits/>
      </c:valAx>
      <c:spPr>
        <a:noFill/>
        <a:ln>
          <a:noFill/>
        </a:ln>
      </c:spPr>
    </c:plotArea>
    <c:legend>
      <c:legendPos val="r"/>
      <c:layout>
        <c:manualLayout>
          <c:xMode val="edge"/>
          <c:yMode val="edge"/>
          <c:x val="0.38025"/>
          <c:y val="0.928"/>
          <c:w val="0.241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2"/>
          <c:w val="0.938"/>
          <c:h val="0.847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41702957"/>
        <c:axId val="30178974"/>
      </c:barChart>
      <c:catAx>
        <c:axId val="417029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0178974"/>
        <c:crosses val="autoZero"/>
        <c:auto val="1"/>
        <c:lblOffset val="100"/>
        <c:tickLblSkip val="1"/>
        <c:noMultiLvlLbl val="0"/>
      </c:catAx>
      <c:valAx>
        <c:axId val="30178974"/>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1702957"/>
        <c:crossesAt val="1"/>
        <c:crossBetween val="between"/>
        <c:dispUnits/>
      </c:valAx>
      <c:spPr>
        <a:noFill/>
        <a:ln>
          <a:noFill/>
        </a:ln>
      </c:spPr>
    </c:plotArea>
    <c:legend>
      <c:legendPos val="r"/>
      <c:layout>
        <c:manualLayout>
          <c:xMode val="edge"/>
          <c:yMode val="edge"/>
          <c:x val="0.37725"/>
          <c:y val="0.932"/>
          <c:w val="0.2452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9525</xdr:rowOff>
    </xdr:from>
    <xdr:to>
      <xdr:col>11</xdr:col>
      <xdr:colOff>676275</xdr:colOff>
      <xdr:row>45</xdr:row>
      <xdr:rowOff>0</xdr:rowOff>
    </xdr:to>
    <xdr:graphicFrame>
      <xdr:nvGraphicFramePr>
        <xdr:cNvPr id="1" name="Gráfico 1"/>
        <xdr:cNvGraphicFramePr/>
      </xdr:nvGraphicFramePr>
      <xdr:xfrm>
        <a:off x="142875" y="3648075"/>
        <a:ext cx="8724900"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40100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962525"/>
        <a:ext cx="6286500"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38100</xdr:colOff>
      <xdr:row>35</xdr:row>
      <xdr:rowOff>866775</xdr:rowOff>
    </xdr:from>
    <xdr:to>
      <xdr:col>12</xdr:col>
      <xdr:colOff>95250</xdr:colOff>
      <xdr:row>55</xdr:row>
      <xdr:rowOff>0</xdr:rowOff>
    </xdr:to>
    <xdr:graphicFrame>
      <xdr:nvGraphicFramePr>
        <xdr:cNvPr id="2" name="Gráfico 3"/>
        <xdr:cNvGraphicFramePr/>
      </xdr:nvGraphicFramePr>
      <xdr:xfrm>
        <a:off x="38100" y="6638925"/>
        <a:ext cx="8305800" cy="3505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0.94475</cdr:y>
    </cdr:from>
    <cdr:to>
      <cdr:x>0.246</cdr:x>
      <cdr:y>1</cdr:y>
    </cdr:to>
    <cdr:sp>
      <cdr:nvSpPr>
        <cdr:cNvPr id="1" name="1 CuadroTexto"/>
        <cdr:cNvSpPr txBox="1">
          <a:spLocks noChangeArrowheads="1"/>
        </cdr:cNvSpPr>
      </cdr:nvSpPr>
      <cdr:spPr>
        <a:xfrm>
          <a:off x="0" y="3533775"/>
          <a:ext cx="20288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57150</xdr:rowOff>
    </xdr:from>
    <xdr:to>
      <xdr:col>9</xdr:col>
      <xdr:colOff>647700</xdr:colOff>
      <xdr:row>45</xdr:row>
      <xdr:rowOff>76200</xdr:rowOff>
    </xdr:to>
    <xdr:graphicFrame>
      <xdr:nvGraphicFramePr>
        <xdr:cNvPr id="1" name="Gráfico 1"/>
        <xdr:cNvGraphicFramePr/>
      </xdr:nvGraphicFramePr>
      <xdr:xfrm>
        <a:off x="123825" y="3695700"/>
        <a:ext cx="82391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mayorist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1040">
          <cell r="A1040">
            <v>42430</v>
          </cell>
          <cell r="N1040">
            <v>9269.893157894738</v>
          </cell>
        </row>
        <row r="1041">
          <cell r="A1041">
            <v>42431</v>
          </cell>
          <cell r="N1041">
            <v>8454.470833333333</v>
          </cell>
        </row>
        <row r="1042">
          <cell r="A1042">
            <v>42432</v>
          </cell>
          <cell r="N1042">
            <v>9719.987222222224</v>
          </cell>
        </row>
        <row r="1043">
          <cell r="A1043">
            <v>42433</v>
          </cell>
          <cell r="N1043">
            <v>9318.6055</v>
          </cell>
        </row>
        <row r="1044">
          <cell r="A1044">
            <v>42436</v>
          </cell>
          <cell r="N1044">
            <v>9066.910588235292</v>
          </cell>
        </row>
        <row r="1045">
          <cell r="A1045">
            <v>42437</v>
          </cell>
          <cell r="N1045">
            <v>9402.8325</v>
          </cell>
        </row>
        <row r="1046">
          <cell r="A1046">
            <v>42438</v>
          </cell>
          <cell r="N1046">
            <v>9008.069375</v>
          </cell>
        </row>
        <row r="1047">
          <cell r="A1047">
            <v>42439</v>
          </cell>
          <cell r="N1047">
            <v>9002.69095238095</v>
          </cell>
        </row>
        <row r="1048">
          <cell r="A1048">
            <v>42440</v>
          </cell>
          <cell r="N1048">
            <v>9124.971304347826</v>
          </cell>
        </row>
        <row r="1049">
          <cell r="A1049">
            <v>42443</v>
          </cell>
          <cell r="N1049">
            <v>9722.250714285716</v>
          </cell>
        </row>
        <row r="1050">
          <cell r="A1050">
            <v>42444</v>
          </cell>
          <cell r="N1050">
            <v>9411.235499999999</v>
          </cell>
        </row>
        <row r="1051">
          <cell r="A1051">
            <v>42445</v>
          </cell>
          <cell r="N1051">
            <v>9758.918823529411</v>
          </cell>
        </row>
        <row r="1052">
          <cell r="A1052">
            <v>42446</v>
          </cell>
          <cell r="N1052">
            <v>9090.559444444445</v>
          </cell>
        </row>
        <row r="1053">
          <cell r="A1053">
            <v>42447</v>
          </cell>
          <cell r="N1053">
            <v>8596.26105263158</v>
          </cell>
        </row>
        <row r="1054">
          <cell r="A1054">
            <v>42450</v>
          </cell>
          <cell r="N1054">
            <v>8808.82375</v>
          </cell>
        </row>
        <row r="1055">
          <cell r="A1055">
            <v>42451</v>
          </cell>
          <cell r="N1055">
            <v>8448.876842105265</v>
          </cell>
        </row>
        <row r="1056">
          <cell r="A1056">
            <v>42452</v>
          </cell>
          <cell r="N1056">
            <v>9031.187222222223</v>
          </cell>
        </row>
        <row r="1057">
          <cell r="A1057">
            <v>42453</v>
          </cell>
          <cell r="N1057">
            <v>8641.191875</v>
          </cell>
        </row>
        <row r="1058">
          <cell r="A1058">
            <v>42457</v>
          </cell>
          <cell r="N1058">
            <v>9760.25529411765</v>
          </cell>
        </row>
        <row r="1059">
          <cell r="A1059">
            <v>42458</v>
          </cell>
          <cell r="N1059">
            <v>8720.71357142857</v>
          </cell>
        </row>
        <row r="1060">
          <cell r="A1060">
            <v>42459</v>
          </cell>
          <cell r="N1060">
            <v>9053.317857142858</v>
          </cell>
        </row>
        <row r="1061">
          <cell r="A1061">
            <v>42460</v>
          </cell>
          <cell r="N1061">
            <v>8600.51</v>
          </cell>
        </row>
        <row r="1062">
          <cell r="A1062">
            <v>42461</v>
          </cell>
          <cell r="N1062">
            <v>8008.1431250000005</v>
          </cell>
        </row>
        <row r="1063">
          <cell r="A1063">
            <v>42464</v>
          </cell>
          <cell r="N1063">
            <v>8498.52875</v>
          </cell>
        </row>
        <row r="1064">
          <cell r="A1064">
            <v>42465</v>
          </cell>
          <cell r="N1064">
            <v>8387.544285714286</v>
          </cell>
        </row>
        <row r="1065">
          <cell r="A1065">
            <v>42466</v>
          </cell>
          <cell r="N1065">
            <v>9106.6805</v>
          </cell>
        </row>
        <row r="1066">
          <cell r="A1066">
            <v>42467</v>
          </cell>
          <cell r="N1066">
            <v>8440.13875</v>
          </cell>
        </row>
        <row r="1067">
          <cell r="A1067">
            <v>42468</v>
          </cell>
          <cell r="N1067">
            <v>8573.282222222224</v>
          </cell>
        </row>
        <row r="1068">
          <cell r="A1068">
            <v>42471</v>
          </cell>
          <cell r="N1068">
            <v>7895.500588235294</v>
          </cell>
        </row>
        <row r="1069">
          <cell r="A1069">
            <v>42472</v>
          </cell>
          <cell r="N1069">
            <v>8806.655909090907</v>
          </cell>
        </row>
        <row r="1070">
          <cell r="A1070">
            <v>42473</v>
          </cell>
          <cell r="N1070">
            <v>7950.10294117647</v>
          </cell>
        </row>
        <row r="1071">
          <cell r="A1071">
            <v>42474</v>
          </cell>
          <cell r="N1071">
            <v>8704.224999999997</v>
          </cell>
        </row>
        <row r="1072">
          <cell r="A1072">
            <v>42475</v>
          </cell>
          <cell r="N1072">
            <v>8169.5526315789475</v>
          </cell>
        </row>
        <row r="1073">
          <cell r="A1073">
            <v>42478</v>
          </cell>
          <cell r="N1073">
            <v>8650.62625</v>
          </cell>
        </row>
        <row r="1074">
          <cell r="A1074">
            <v>42479</v>
          </cell>
          <cell r="N1074">
            <v>8908.4128</v>
          </cell>
        </row>
        <row r="1075">
          <cell r="A1075">
            <v>42480</v>
          </cell>
          <cell r="N1075">
            <v>8577.784375</v>
          </cell>
        </row>
        <row r="1076">
          <cell r="A1076">
            <v>42481</v>
          </cell>
          <cell r="N1076">
            <v>9172.741578947369</v>
          </cell>
        </row>
        <row r="1077">
          <cell r="A1077">
            <v>42482</v>
          </cell>
          <cell r="N1077">
            <v>8720.734</v>
          </cell>
        </row>
        <row r="1078">
          <cell r="A1078">
            <v>42485</v>
          </cell>
          <cell r="N1078">
            <v>8747.585000000001</v>
          </cell>
        </row>
        <row r="1079">
          <cell r="A1079">
            <v>42486</v>
          </cell>
          <cell r="N1079">
            <v>9182.859166666667</v>
          </cell>
        </row>
        <row r="1080">
          <cell r="A1080">
            <v>42487</v>
          </cell>
          <cell r="N1080">
            <v>9240.321</v>
          </cell>
        </row>
        <row r="1081">
          <cell r="A1081">
            <v>42488</v>
          </cell>
          <cell r="N1081">
            <v>8333.133157894737</v>
          </cell>
        </row>
        <row r="1082">
          <cell r="A1082">
            <v>42489</v>
          </cell>
          <cell r="N1082">
            <v>9156.873636363634</v>
          </cell>
        </row>
        <row r="1083">
          <cell r="A1083">
            <v>42492</v>
          </cell>
          <cell r="N1083">
            <v>8375.322142857143</v>
          </cell>
        </row>
        <row r="1084">
          <cell r="A1084">
            <v>42493</v>
          </cell>
          <cell r="N1084">
            <v>9234.40705882353</v>
          </cell>
        </row>
        <row r="1085">
          <cell r="A1085">
            <v>42494</v>
          </cell>
          <cell r="N1085">
            <v>8913.811176470588</v>
          </cell>
        </row>
        <row r="1086">
          <cell r="A1086">
            <v>42495</v>
          </cell>
          <cell r="N1086">
            <v>9153.472777777779</v>
          </cell>
        </row>
        <row r="1087">
          <cell r="A1087">
            <v>42496</v>
          </cell>
          <cell r="N1087">
            <v>8892.242352941175</v>
          </cell>
        </row>
        <row r="1088">
          <cell r="A1088">
            <v>42499</v>
          </cell>
          <cell r="N1088">
            <v>9023.330500000002</v>
          </cell>
        </row>
        <row r="1089">
          <cell r="A1089">
            <v>42500</v>
          </cell>
          <cell r="N1089">
            <v>8461.586666666666</v>
          </cell>
        </row>
        <row r="1090">
          <cell r="A1090">
            <v>42501</v>
          </cell>
          <cell r="N1090">
            <v>8229.902142857141</v>
          </cell>
        </row>
        <row r="1091">
          <cell r="A1091">
            <v>42502</v>
          </cell>
          <cell r="N1091">
            <v>8887.550714285715</v>
          </cell>
        </row>
        <row r="1092">
          <cell r="A1092">
            <v>42503</v>
          </cell>
          <cell r="N1092">
            <v>8786.133529411765</v>
          </cell>
        </row>
        <row r="1093">
          <cell r="A1093">
            <v>42506</v>
          </cell>
          <cell r="N1093">
            <v>9925.452857142855</v>
          </cell>
        </row>
        <row r="1094">
          <cell r="A1094">
            <v>42507</v>
          </cell>
          <cell r="N1094">
            <v>11149.863913043479</v>
          </cell>
        </row>
        <row r="1095">
          <cell r="A1095">
            <v>42508</v>
          </cell>
          <cell r="N1095">
            <v>11335.153750000003</v>
          </cell>
        </row>
        <row r="1096">
          <cell r="A1096">
            <v>42509</v>
          </cell>
          <cell r="N1096">
            <v>12832.023125000002</v>
          </cell>
        </row>
        <row r="1097">
          <cell r="A1097">
            <v>42510</v>
          </cell>
          <cell r="N1097">
            <v>12553.536666666669</v>
          </cell>
        </row>
        <row r="1098">
          <cell r="A1098">
            <v>42513</v>
          </cell>
          <cell r="N1098">
            <v>13142.822631578947</v>
          </cell>
        </row>
        <row r="1099">
          <cell r="A1099">
            <v>42514</v>
          </cell>
          <cell r="N1099">
            <v>13160.455652173918</v>
          </cell>
        </row>
        <row r="1100">
          <cell r="A1100">
            <v>42515</v>
          </cell>
          <cell r="N1100">
            <v>13307.286315789474</v>
          </cell>
        </row>
        <row r="1101">
          <cell r="A1101">
            <v>42516</v>
          </cell>
          <cell r="N1101">
            <v>12752.621764705884</v>
          </cell>
        </row>
        <row r="1102">
          <cell r="A1102">
            <v>42517</v>
          </cell>
          <cell r="N1102">
            <v>12770.828800000001</v>
          </cell>
        </row>
        <row r="1103">
          <cell r="A1103">
            <v>42520</v>
          </cell>
          <cell r="N1103">
            <v>12582.234444444444</v>
          </cell>
        </row>
        <row r="1104">
          <cell r="A1104">
            <v>42521</v>
          </cell>
          <cell r="N1104">
            <v>12682.959166666666</v>
          </cell>
        </row>
        <row r="1105">
          <cell r="A1105">
            <v>42522</v>
          </cell>
          <cell r="N1105">
            <v>12696.96</v>
          </cell>
        </row>
        <row r="1106">
          <cell r="A1106">
            <v>42523</v>
          </cell>
          <cell r="N1106">
            <v>12868.89888888889</v>
          </cell>
        </row>
        <row r="1107">
          <cell r="A1107">
            <v>42524</v>
          </cell>
          <cell r="N1107">
            <v>12471.907857142856</v>
          </cell>
        </row>
        <row r="1108">
          <cell r="A1108">
            <v>42527</v>
          </cell>
          <cell r="N1108">
            <v>13092.762222222222</v>
          </cell>
        </row>
        <row r="1109">
          <cell r="A1109">
            <v>42528</v>
          </cell>
          <cell r="N1109">
            <v>12872.757368421053</v>
          </cell>
        </row>
        <row r="1110">
          <cell r="A1110">
            <v>42529</v>
          </cell>
          <cell r="N1110">
            <v>12718.774736842106</v>
          </cell>
        </row>
        <row r="1111">
          <cell r="A1111">
            <v>42530</v>
          </cell>
          <cell r="N1111">
            <v>13251.71380952381</v>
          </cell>
        </row>
        <row r="1112">
          <cell r="A1112">
            <v>42531</v>
          </cell>
          <cell r="N1112">
            <v>12980.956000000002</v>
          </cell>
        </row>
        <row r="1113">
          <cell r="A1113">
            <v>42534</v>
          </cell>
          <cell r="N1113">
            <v>12295.758823529415</v>
          </cell>
        </row>
        <row r="1114">
          <cell r="A1114">
            <v>42535</v>
          </cell>
          <cell r="N1114">
            <v>13032.257142857141</v>
          </cell>
        </row>
        <row r="1115">
          <cell r="A1115">
            <v>42536</v>
          </cell>
          <cell r="N1115">
            <v>11828.070555555554</v>
          </cell>
        </row>
        <row r="1116">
          <cell r="A1116">
            <v>42537</v>
          </cell>
          <cell r="N1116">
            <v>12048.889545454544</v>
          </cell>
        </row>
        <row r="1117">
          <cell r="A1117">
            <v>42538</v>
          </cell>
          <cell r="N1117">
            <v>11762.372</v>
          </cell>
        </row>
        <row r="1118">
          <cell r="A1118">
            <v>42541</v>
          </cell>
          <cell r="N1118">
            <v>11962.815555555551</v>
          </cell>
        </row>
        <row r="1119">
          <cell r="A1119">
            <v>42542</v>
          </cell>
          <cell r="N1119">
            <v>11839.23</v>
          </cell>
        </row>
        <row r="1120">
          <cell r="A1120">
            <v>42543</v>
          </cell>
          <cell r="N1120">
            <v>11507.037999999999</v>
          </cell>
        </row>
        <row r="1121">
          <cell r="A1121">
            <v>42544</v>
          </cell>
          <cell r="N1121">
            <v>11894.513684210526</v>
          </cell>
        </row>
        <row r="1122">
          <cell r="A1122">
            <v>42545</v>
          </cell>
          <cell r="N1122">
            <v>12657.863888888889</v>
          </cell>
        </row>
        <row r="1123">
          <cell r="A1123">
            <v>42549</v>
          </cell>
          <cell r="N1123">
            <v>13269.22</v>
          </cell>
        </row>
        <row r="1124">
          <cell r="A1124">
            <v>42550</v>
          </cell>
          <cell r="N1124">
            <v>11305.195714285714</v>
          </cell>
        </row>
        <row r="1125">
          <cell r="A1125">
            <v>42551</v>
          </cell>
          <cell r="N1125">
            <v>11408.442777777775</v>
          </cell>
        </row>
        <row r="1126">
          <cell r="A1126">
            <v>42552</v>
          </cell>
          <cell r="N1126">
            <v>12603.914736842104</v>
          </cell>
        </row>
        <row r="1127">
          <cell r="A1127">
            <v>42555</v>
          </cell>
          <cell r="N1127">
            <v>11629.16125</v>
          </cell>
        </row>
        <row r="1128">
          <cell r="A1128">
            <v>42556</v>
          </cell>
          <cell r="N1128">
            <v>11384.399473684209</v>
          </cell>
        </row>
        <row r="1129">
          <cell r="A1129">
            <v>42557</v>
          </cell>
          <cell r="N1129">
            <v>11955.32117647059</v>
          </cell>
        </row>
        <row r="1130">
          <cell r="A1130">
            <v>42558</v>
          </cell>
          <cell r="N1130">
            <v>11599.922941176472</v>
          </cell>
        </row>
        <row r="1131">
          <cell r="A1131">
            <v>42559</v>
          </cell>
          <cell r="N1131">
            <v>11508.85294117647</v>
          </cell>
        </row>
        <row r="1132">
          <cell r="A1132">
            <v>42562</v>
          </cell>
          <cell r="N1132">
            <v>12326.644705882352</v>
          </cell>
        </row>
        <row r="1133">
          <cell r="A1133">
            <v>42563</v>
          </cell>
          <cell r="N1133">
            <v>11441.592777777776</v>
          </cell>
        </row>
        <row r="1134">
          <cell r="A1134">
            <v>42564</v>
          </cell>
          <cell r="N1134">
            <v>11187.738666666666</v>
          </cell>
        </row>
        <row r="1135">
          <cell r="A1135">
            <v>42565</v>
          </cell>
          <cell r="N1135">
            <v>12522.747500000001</v>
          </cell>
        </row>
        <row r="1136">
          <cell r="A1136">
            <v>42566</v>
          </cell>
          <cell r="N1136">
            <v>12211.28294117647</v>
          </cell>
        </row>
        <row r="1137">
          <cell r="A1137">
            <v>42569</v>
          </cell>
          <cell r="N1137">
            <v>11745.666666666666</v>
          </cell>
        </row>
        <row r="1138">
          <cell r="A1138">
            <v>42570</v>
          </cell>
          <cell r="N1138">
            <v>12815.539444444445</v>
          </cell>
        </row>
        <row r="1139">
          <cell r="A1139">
            <v>42571</v>
          </cell>
          <cell r="N1139">
            <v>13016.91714285714</v>
          </cell>
        </row>
        <row r="1140">
          <cell r="A1140">
            <v>42572</v>
          </cell>
          <cell r="N1140">
            <v>12612.756470588234</v>
          </cell>
        </row>
        <row r="1141">
          <cell r="A1141">
            <v>42573</v>
          </cell>
          <cell r="N1141">
            <v>11732.395384615384</v>
          </cell>
        </row>
        <row r="1142">
          <cell r="A1142">
            <v>42576</v>
          </cell>
          <cell r="N1142">
            <v>12719.812857142857</v>
          </cell>
        </row>
        <row r="1143">
          <cell r="A1143">
            <v>42577</v>
          </cell>
          <cell r="N1143">
            <v>12259.151875000001</v>
          </cell>
        </row>
        <row r="1144">
          <cell r="A1144">
            <v>42578</v>
          </cell>
          <cell r="N1144">
            <v>12664.446923076923</v>
          </cell>
        </row>
        <row r="1145">
          <cell r="A1145">
            <v>42579</v>
          </cell>
          <cell r="N1145">
            <v>13954.436842105262</v>
          </cell>
        </row>
        <row r="1146">
          <cell r="A1146">
            <v>42580</v>
          </cell>
          <cell r="N1146">
            <v>12277.783157894737</v>
          </cell>
        </row>
        <row r="1147">
          <cell r="A1147">
            <v>42571</v>
          </cell>
          <cell r="N1147">
            <v>13016.91714285714</v>
          </cell>
        </row>
        <row r="1148">
          <cell r="A1148">
            <v>42572</v>
          </cell>
          <cell r="N1148">
            <v>12612.756470588234</v>
          </cell>
        </row>
        <row r="1149">
          <cell r="A1149">
            <v>42573</v>
          </cell>
          <cell r="N1149">
            <v>11732.395384615384</v>
          </cell>
        </row>
        <row r="1150">
          <cell r="A1150">
            <v>42576</v>
          </cell>
          <cell r="N1150">
            <v>12719.812857142857</v>
          </cell>
        </row>
        <row r="1151">
          <cell r="A1151">
            <v>42577</v>
          </cell>
          <cell r="N1151">
            <v>12259.151875000001</v>
          </cell>
        </row>
        <row r="1152">
          <cell r="A1152">
            <v>42578</v>
          </cell>
          <cell r="N1152">
            <v>12664.446923076923</v>
          </cell>
        </row>
        <row r="1153">
          <cell r="A1153">
            <v>42579</v>
          </cell>
          <cell r="N1153">
            <v>13954.436842105262</v>
          </cell>
        </row>
        <row r="1154">
          <cell r="A1154">
            <v>42580</v>
          </cell>
          <cell r="N1154">
            <v>12277.783157894737</v>
          </cell>
        </row>
        <row r="1155">
          <cell r="A1155">
            <v>42583</v>
          </cell>
          <cell r="N1155">
            <v>13322.054000000002</v>
          </cell>
        </row>
        <row r="1156">
          <cell r="A1156">
            <v>42584</v>
          </cell>
          <cell r="N1156">
            <v>13175.628571428571</v>
          </cell>
        </row>
        <row r="1157">
          <cell r="A1157">
            <v>42585</v>
          </cell>
          <cell r="N1157">
            <v>12843.014285714287</v>
          </cell>
        </row>
        <row r="1158">
          <cell r="A1158">
            <v>42586</v>
          </cell>
          <cell r="N1158">
            <v>13533.377500000002</v>
          </cell>
        </row>
        <row r="1159">
          <cell r="A1159">
            <v>42587</v>
          </cell>
          <cell r="N1159">
            <v>12605.044999999998</v>
          </cell>
        </row>
        <row r="1160">
          <cell r="A1160">
            <v>42590</v>
          </cell>
          <cell r="N1160">
            <v>13073.872352941178</v>
          </cell>
        </row>
        <row r="1161">
          <cell r="A1161">
            <v>42591</v>
          </cell>
          <cell r="N1161">
            <v>13322.956666666665</v>
          </cell>
        </row>
        <row r="1162">
          <cell r="A1162">
            <v>42592</v>
          </cell>
          <cell r="N1162">
            <v>13805.365714285717</v>
          </cell>
        </row>
        <row r="1163">
          <cell r="A1163">
            <v>42593</v>
          </cell>
          <cell r="N1163">
            <v>13037.696666666667</v>
          </cell>
        </row>
        <row r="1164">
          <cell r="A1164">
            <v>42594</v>
          </cell>
          <cell r="N1164">
            <v>13180.218000000003</v>
          </cell>
        </row>
        <row r="1165">
          <cell r="A1165">
            <v>42598</v>
          </cell>
          <cell r="N1165">
            <v>13776.420400000003</v>
          </cell>
        </row>
        <row r="1166">
          <cell r="A1166">
            <v>42599</v>
          </cell>
          <cell r="N1166">
            <v>13079.028333333334</v>
          </cell>
        </row>
        <row r="1167">
          <cell r="A1167">
            <v>42600</v>
          </cell>
          <cell r="N1167">
            <v>13347.648181818182</v>
          </cell>
        </row>
        <row r="1168">
          <cell r="A1168">
            <v>42601</v>
          </cell>
          <cell r="N1168">
            <v>12585.710869565219</v>
          </cell>
        </row>
        <row r="1169">
          <cell r="A1169">
            <v>42604</v>
          </cell>
          <cell r="N1169">
            <v>13668.706666666669</v>
          </cell>
        </row>
        <row r="1170">
          <cell r="A1170">
            <v>42605</v>
          </cell>
          <cell r="N1170">
            <v>13153.682608695655</v>
          </cell>
        </row>
        <row r="1171">
          <cell r="A1171">
            <v>42606</v>
          </cell>
          <cell r="N1171">
            <v>13068.702352941176</v>
          </cell>
        </row>
        <row r="1172">
          <cell r="A1172">
            <v>42607</v>
          </cell>
          <cell r="N1172">
            <v>14193.095500000001</v>
          </cell>
        </row>
        <row r="1173">
          <cell r="A1173">
            <v>42608</v>
          </cell>
          <cell r="N1173">
            <v>12712.490909090906</v>
          </cell>
        </row>
        <row r="1174">
          <cell r="A1174">
            <v>42611</v>
          </cell>
          <cell r="N1174">
            <v>13119.215625000003</v>
          </cell>
        </row>
        <row r="1175">
          <cell r="A1175">
            <v>42612</v>
          </cell>
          <cell r="N1175">
            <v>13144.108181818185</v>
          </cell>
        </row>
        <row r="1176">
          <cell r="A1176">
            <v>42613</v>
          </cell>
          <cell r="N1176">
            <v>12394.188125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4" customWidth="1"/>
    <col min="28" max="16384" width="10.8515625" style="84" customWidth="1"/>
  </cols>
  <sheetData>
    <row r="1" ht="15">
      <c r="A1" s="87"/>
    </row>
    <row r="13" spans="6:10" ht="25.5">
      <c r="F13" s="88"/>
      <c r="G13" s="88"/>
      <c r="H13" s="89"/>
      <c r="I13" s="89"/>
      <c r="J13" s="89"/>
    </row>
    <row r="14" spans="5:7" ht="15">
      <c r="E14" s="85"/>
      <c r="F14" s="85"/>
      <c r="G14" s="85"/>
    </row>
    <row r="15" spans="5:10" ht="15.75">
      <c r="E15" s="90"/>
      <c r="F15" s="91"/>
      <c r="G15" s="91"/>
      <c r="H15" s="92"/>
      <c r="I15" s="92"/>
      <c r="J15" s="92"/>
    </row>
    <row r="20" ht="25.5">
      <c r="D20" s="88" t="s">
        <v>111</v>
      </c>
    </row>
    <row r="39" spans="4:6" ht="15.75">
      <c r="D39" s="329"/>
      <c r="E39" s="330"/>
      <c r="F39" s="330"/>
    </row>
    <row r="42" ht="15.75">
      <c r="E42" s="181" t="s">
        <v>262</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D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1" customWidth="1"/>
    <col min="22" max="22" width="10.8515625" style="322" hidden="1" customWidth="1"/>
    <col min="23" max="23" width="9.28125" style="322" hidden="1" customWidth="1"/>
    <col min="24" max="24" width="13.00390625" style="322" hidden="1" customWidth="1"/>
    <col min="25" max="25" width="13.140625" style="322" hidden="1" customWidth="1"/>
    <col min="26" max="26" width="7.140625" style="322" hidden="1" customWidth="1"/>
    <col min="27" max="27" width="8.140625" style="322" hidden="1" customWidth="1"/>
    <col min="28" max="28" width="9.28125" style="322" hidden="1" customWidth="1"/>
    <col min="29" max="29" width="15.7109375" style="322" hidden="1" customWidth="1"/>
    <col min="30" max="30" width="13.140625" style="322" hidden="1" customWidth="1"/>
    <col min="31" max="31" width="10.8515625" style="191" customWidth="1"/>
    <col min="32" max="16384" width="10.8515625" style="39" customWidth="1"/>
  </cols>
  <sheetData>
    <row r="1" ht="8.25" customHeight="1"/>
    <row r="2" spans="2:20" ht="12.75">
      <c r="B2" s="351" t="s">
        <v>60</v>
      </c>
      <c r="C2" s="351"/>
      <c r="D2" s="351"/>
      <c r="E2" s="351"/>
      <c r="F2" s="351"/>
      <c r="G2" s="351"/>
      <c r="H2" s="351"/>
      <c r="I2" s="351"/>
      <c r="J2" s="351"/>
      <c r="K2" s="351"/>
      <c r="L2" s="351"/>
      <c r="M2" s="351"/>
      <c r="N2" s="351"/>
      <c r="O2" s="351"/>
      <c r="P2" s="351"/>
      <c r="Q2" s="351"/>
      <c r="R2" s="351"/>
      <c r="S2" s="216"/>
      <c r="T2" s="52" t="s">
        <v>153</v>
      </c>
    </row>
    <row r="3" spans="2:19" ht="12.75">
      <c r="B3" s="351" t="s">
        <v>149</v>
      </c>
      <c r="C3" s="351"/>
      <c r="D3" s="351"/>
      <c r="E3" s="351"/>
      <c r="F3" s="351"/>
      <c r="G3" s="351"/>
      <c r="H3" s="351"/>
      <c r="I3" s="351"/>
      <c r="J3" s="351"/>
      <c r="K3" s="351"/>
      <c r="L3" s="351"/>
      <c r="M3" s="351"/>
      <c r="N3" s="351"/>
      <c r="O3" s="351"/>
      <c r="P3" s="351"/>
      <c r="Q3" s="351"/>
      <c r="R3" s="351"/>
      <c r="S3" s="216"/>
    </row>
    <row r="4" spans="2:19" ht="12.75">
      <c r="B4" s="351" t="s">
        <v>109</v>
      </c>
      <c r="C4" s="351"/>
      <c r="D4" s="351"/>
      <c r="E4" s="351"/>
      <c r="F4" s="351"/>
      <c r="G4" s="351"/>
      <c r="H4" s="351"/>
      <c r="I4" s="351"/>
      <c r="J4" s="351"/>
      <c r="K4" s="351"/>
      <c r="L4" s="351"/>
      <c r="M4" s="351"/>
      <c r="N4" s="351"/>
      <c r="O4" s="351"/>
      <c r="P4" s="351"/>
      <c r="Q4" s="351"/>
      <c r="R4" s="351"/>
      <c r="S4" s="216"/>
    </row>
    <row r="5" spans="3:20" ht="12.75">
      <c r="C5" s="362" t="s">
        <v>240</v>
      </c>
      <c r="D5" s="362"/>
      <c r="E5" s="362"/>
      <c r="F5" s="362"/>
      <c r="G5" s="362"/>
      <c r="H5" s="362"/>
      <c r="I5" s="362"/>
      <c r="J5" s="362"/>
      <c r="K5" s="362" t="s">
        <v>241</v>
      </c>
      <c r="L5" s="362"/>
      <c r="M5" s="362"/>
      <c r="N5" s="362"/>
      <c r="O5" s="362"/>
      <c r="P5" s="362"/>
      <c r="Q5" s="362"/>
      <c r="R5" s="362"/>
      <c r="S5" s="226"/>
      <c r="T5" s="218"/>
    </row>
    <row r="6" spans="2:30" ht="12.75">
      <c r="B6" s="227" t="s">
        <v>140</v>
      </c>
      <c r="C6" s="228" t="s">
        <v>166</v>
      </c>
      <c r="D6" s="229" t="s">
        <v>23</v>
      </c>
      <c r="E6" s="229" t="s">
        <v>22</v>
      </c>
      <c r="F6" s="229" t="s">
        <v>139</v>
      </c>
      <c r="G6" s="229" t="s">
        <v>19</v>
      </c>
      <c r="H6" s="229" t="s">
        <v>18</v>
      </c>
      <c r="I6" s="229" t="s">
        <v>17</v>
      </c>
      <c r="J6" s="230" t="s">
        <v>15</v>
      </c>
      <c r="K6" s="228" t="s">
        <v>166</v>
      </c>
      <c r="L6" s="229" t="s">
        <v>23</v>
      </c>
      <c r="M6" s="229" t="s">
        <v>22</v>
      </c>
      <c r="N6" s="229" t="s">
        <v>139</v>
      </c>
      <c r="O6" s="229" t="s">
        <v>19</v>
      </c>
      <c r="P6" s="229" t="s">
        <v>18</v>
      </c>
      <c r="Q6" s="229" t="s">
        <v>17</v>
      </c>
      <c r="R6" s="230" t="s">
        <v>15</v>
      </c>
      <c r="S6" s="138"/>
      <c r="T6" s="218"/>
      <c r="W6" s="281" t="s">
        <v>166</v>
      </c>
      <c r="X6" s="281" t="s">
        <v>23</v>
      </c>
      <c r="Y6" s="281" t="s">
        <v>22</v>
      </c>
      <c r="Z6" s="281" t="s">
        <v>139</v>
      </c>
      <c r="AA6" s="281" t="s">
        <v>19</v>
      </c>
      <c r="AB6" s="281" t="s">
        <v>18</v>
      </c>
      <c r="AC6" s="281" t="s">
        <v>17</v>
      </c>
      <c r="AD6" s="281" t="s">
        <v>15</v>
      </c>
    </row>
    <row r="7" spans="2:30" ht="12.75">
      <c r="B7" s="231">
        <v>42471</v>
      </c>
      <c r="C7" s="232">
        <v>728</v>
      </c>
      <c r="D7" s="111">
        <v>1114</v>
      </c>
      <c r="E7" s="111">
        <v>877</v>
      </c>
      <c r="F7" s="111">
        <v>877</v>
      </c>
      <c r="G7" s="111">
        <v>985</v>
      </c>
      <c r="H7" s="111">
        <v>1097</v>
      </c>
      <c r="I7" s="111">
        <v>1024</v>
      </c>
      <c r="J7" s="233">
        <v>1047</v>
      </c>
      <c r="K7" s="232">
        <v>482</v>
      </c>
      <c r="L7" s="111">
        <v>472</v>
      </c>
      <c r="M7" s="111">
        <v>375</v>
      </c>
      <c r="N7" s="111">
        <v>375</v>
      </c>
      <c r="O7" s="111">
        <v>444</v>
      </c>
      <c r="P7" s="111">
        <v>328</v>
      </c>
      <c r="Q7" s="111">
        <v>354</v>
      </c>
      <c r="R7" s="233">
        <v>325</v>
      </c>
      <c r="S7" s="139"/>
      <c r="T7" s="218"/>
      <c r="W7" s="320">
        <f>+IF(K7="","",((C7-K7)/K7))</f>
        <v>0.5103734439834025</v>
      </c>
      <c r="X7" s="320">
        <f aca="true" t="shared" si="0" ref="X7:AD22">+IF(L7="","",((D7-L7)/L7))</f>
        <v>1.3601694915254237</v>
      </c>
      <c r="Y7" s="320">
        <f t="shared" si="0"/>
        <v>1.3386666666666667</v>
      </c>
      <c r="Z7" s="320">
        <f t="shared" si="0"/>
        <v>1.3386666666666667</v>
      </c>
      <c r="AA7" s="320">
        <f t="shared" si="0"/>
        <v>1.2184684684684686</v>
      </c>
      <c r="AB7" s="320">
        <f t="shared" si="0"/>
        <v>2.3445121951219514</v>
      </c>
      <c r="AC7" s="320">
        <f t="shared" si="0"/>
        <v>1.8926553672316384</v>
      </c>
      <c r="AD7" s="320">
        <f t="shared" si="0"/>
        <v>2.2215384615384615</v>
      </c>
    </row>
    <row r="8" spans="2:30" ht="12.75">
      <c r="B8" s="231">
        <v>42478</v>
      </c>
      <c r="C8" s="232">
        <v>1027</v>
      </c>
      <c r="D8" s="111">
        <v>1175</v>
      </c>
      <c r="E8" s="111">
        <v>1049</v>
      </c>
      <c r="F8" s="111">
        <v>1049</v>
      </c>
      <c r="G8" s="111">
        <v>1075</v>
      </c>
      <c r="H8" s="111">
        <v>1039</v>
      </c>
      <c r="I8" s="111">
        <v>1016</v>
      </c>
      <c r="J8" s="233">
        <v>973</v>
      </c>
      <c r="K8" s="232">
        <v>513</v>
      </c>
      <c r="L8" s="111">
        <v>463</v>
      </c>
      <c r="M8" s="111">
        <v>373</v>
      </c>
      <c r="N8" s="111">
        <v>373</v>
      </c>
      <c r="O8" s="111">
        <v>461</v>
      </c>
      <c r="P8" s="111">
        <v>326</v>
      </c>
      <c r="Q8" s="111">
        <v>363</v>
      </c>
      <c r="R8" s="233">
        <v>338</v>
      </c>
      <c r="S8" s="139"/>
      <c r="T8" s="218"/>
      <c r="W8" s="320">
        <f aca="true" t="shared" si="1" ref="W8:W27">+IF(K8="","",((C8-K8)/K8))</f>
        <v>1.0019493177387915</v>
      </c>
      <c r="X8" s="320">
        <f t="shared" si="0"/>
        <v>1.5377969762419006</v>
      </c>
      <c r="Y8" s="320">
        <f t="shared" si="0"/>
        <v>1.8123324396782843</v>
      </c>
      <c r="Z8" s="320">
        <f t="shared" si="0"/>
        <v>1.8123324396782843</v>
      </c>
      <c r="AA8" s="320">
        <f t="shared" si="0"/>
        <v>1.331887201735358</v>
      </c>
      <c r="AB8" s="320">
        <f t="shared" si="0"/>
        <v>2.187116564417178</v>
      </c>
      <c r="AC8" s="320">
        <f t="shared" si="0"/>
        <v>1.7988980716253444</v>
      </c>
      <c r="AD8" s="320">
        <f t="shared" si="0"/>
        <v>1.878698224852071</v>
      </c>
    </row>
    <row r="9" spans="2:30" ht="12.75">
      <c r="B9" s="231">
        <v>42485</v>
      </c>
      <c r="C9" s="232">
        <v>1035</v>
      </c>
      <c r="D9" s="111">
        <v>1100</v>
      </c>
      <c r="E9" s="111">
        <v>1088</v>
      </c>
      <c r="F9" s="111">
        <v>1088</v>
      </c>
      <c r="G9" s="111">
        <v>1015</v>
      </c>
      <c r="H9" s="111">
        <v>1000</v>
      </c>
      <c r="I9" s="111">
        <v>1039</v>
      </c>
      <c r="J9" s="233">
        <v>948</v>
      </c>
      <c r="K9" s="232">
        <v>493</v>
      </c>
      <c r="L9" s="111">
        <v>489</v>
      </c>
      <c r="M9" s="111">
        <v>361</v>
      </c>
      <c r="N9" s="111">
        <v>361</v>
      </c>
      <c r="O9" s="111">
        <v>438</v>
      </c>
      <c r="P9" s="111">
        <v>335</v>
      </c>
      <c r="Q9" s="111">
        <v>316</v>
      </c>
      <c r="R9" s="233">
        <v>375</v>
      </c>
      <c r="S9" s="139"/>
      <c r="T9" s="218"/>
      <c r="W9" s="320">
        <f t="shared" si="1"/>
        <v>1.0993914807302232</v>
      </c>
      <c r="X9" s="320">
        <f t="shared" si="0"/>
        <v>1.2494887525562373</v>
      </c>
      <c r="Y9" s="320">
        <f t="shared" si="0"/>
        <v>2.0138504155124655</v>
      </c>
      <c r="Z9" s="320">
        <f t="shared" si="0"/>
        <v>2.0138504155124655</v>
      </c>
      <c r="AA9" s="320">
        <f t="shared" si="0"/>
        <v>1.317351598173516</v>
      </c>
      <c r="AB9" s="320">
        <f t="shared" si="0"/>
        <v>1.9850746268656716</v>
      </c>
      <c r="AC9" s="320">
        <f t="shared" si="0"/>
        <v>2.287974683544304</v>
      </c>
      <c r="AD9" s="320">
        <f t="shared" si="0"/>
        <v>1.528</v>
      </c>
    </row>
    <row r="10" spans="2:30" ht="12.75">
      <c r="B10" s="231">
        <v>42492</v>
      </c>
      <c r="C10" s="232">
        <v>1023</v>
      </c>
      <c r="D10" s="111">
        <v>1068</v>
      </c>
      <c r="E10" s="111">
        <v>1094</v>
      </c>
      <c r="F10" s="111">
        <v>1094</v>
      </c>
      <c r="G10" s="111">
        <v>968</v>
      </c>
      <c r="H10" s="111">
        <v>983</v>
      </c>
      <c r="I10" s="111">
        <v>1013</v>
      </c>
      <c r="J10" s="233">
        <v>1033</v>
      </c>
      <c r="K10" s="232">
        <v>483</v>
      </c>
      <c r="L10" s="111">
        <v>471</v>
      </c>
      <c r="M10" s="111">
        <v>349</v>
      </c>
      <c r="N10" s="111">
        <v>349</v>
      </c>
      <c r="O10" s="111">
        <v>433</v>
      </c>
      <c r="P10" s="111">
        <v>288</v>
      </c>
      <c r="Q10" s="111">
        <v>294</v>
      </c>
      <c r="R10" s="233">
        <v>325</v>
      </c>
      <c r="S10" s="139"/>
      <c r="T10" s="218"/>
      <c r="W10" s="320">
        <f t="shared" si="1"/>
        <v>1.1180124223602483</v>
      </c>
      <c r="X10" s="320">
        <f t="shared" si="0"/>
        <v>1.267515923566879</v>
      </c>
      <c r="Y10" s="320">
        <f t="shared" si="0"/>
        <v>2.134670487106017</v>
      </c>
      <c r="Z10" s="320">
        <f t="shared" si="0"/>
        <v>2.134670487106017</v>
      </c>
      <c r="AA10" s="320">
        <f t="shared" si="0"/>
        <v>1.2355658198614319</v>
      </c>
      <c r="AB10" s="320">
        <f t="shared" si="0"/>
        <v>2.4131944444444446</v>
      </c>
      <c r="AC10" s="320">
        <f t="shared" si="0"/>
        <v>2.445578231292517</v>
      </c>
      <c r="AD10" s="320">
        <f t="shared" si="0"/>
        <v>2.1784615384615384</v>
      </c>
    </row>
    <row r="11" spans="2:30" ht="12.75">
      <c r="B11" s="231">
        <v>42499</v>
      </c>
      <c r="C11" s="232">
        <v>1064</v>
      </c>
      <c r="D11" s="111">
        <v>1054</v>
      </c>
      <c r="E11" s="111">
        <v>1094</v>
      </c>
      <c r="F11" s="111">
        <v>1094</v>
      </c>
      <c r="G11" s="111">
        <v>971</v>
      </c>
      <c r="H11" s="111">
        <v>1029</v>
      </c>
      <c r="I11" s="111">
        <v>1059</v>
      </c>
      <c r="J11" s="233">
        <v>1031</v>
      </c>
      <c r="K11" s="232">
        <v>483</v>
      </c>
      <c r="L11" s="111">
        <v>451</v>
      </c>
      <c r="M11" s="111">
        <v>338</v>
      </c>
      <c r="N11" s="111">
        <v>338</v>
      </c>
      <c r="O11" s="111">
        <v>438</v>
      </c>
      <c r="P11" s="111">
        <v>310</v>
      </c>
      <c r="Q11" s="111">
        <v>346</v>
      </c>
      <c r="R11" s="233">
        <v>300</v>
      </c>
      <c r="S11" s="139"/>
      <c r="T11" s="218"/>
      <c r="W11" s="320">
        <f t="shared" si="1"/>
        <v>1.2028985507246377</v>
      </c>
      <c r="X11" s="320">
        <f t="shared" si="0"/>
        <v>1.3370288248337028</v>
      </c>
      <c r="Y11" s="320">
        <f t="shared" si="0"/>
        <v>2.2366863905325443</v>
      </c>
      <c r="Z11" s="320">
        <f t="shared" si="0"/>
        <v>2.2366863905325443</v>
      </c>
      <c r="AA11" s="320">
        <f t="shared" si="0"/>
        <v>1.2168949771689497</v>
      </c>
      <c r="AB11" s="320">
        <f t="shared" si="0"/>
        <v>2.3193548387096774</v>
      </c>
      <c r="AC11" s="320">
        <f t="shared" si="0"/>
        <v>2.060693641618497</v>
      </c>
      <c r="AD11" s="320">
        <f t="shared" si="0"/>
        <v>2.4366666666666665</v>
      </c>
    </row>
    <row r="12" spans="2:30" ht="12.75">
      <c r="B12" s="231">
        <v>42506</v>
      </c>
      <c r="C12" s="232">
        <v>940</v>
      </c>
      <c r="D12" s="111">
        <v>1163</v>
      </c>
      <c r="E12" s="111">
        <v>1052</v>
      </c>
      <c r="F12" s="111">
        <v>1065</v>
      </c>
      <c r="G12" s="111">
        <v>941</v>
      </c>
      <c r="H12" s="111">
        <v>909</v>
      </c>
      <c r="I12" s="111">
        <v>1005</v>
      </c>
      <c r="J12" s="233">
        <v>873</v>
      </c>
      <c r="K12" s="232">
        <v>550</v>
      </c>
      <c r="L12" s="111">
        <v>547</v>
      </c>
      <c r="M12" s="111">
        <v>390</v>
      </c>
      <c r="N12" s="111">
        <v>473</v>
      </c>
      <c r="O12" s="111">
        <v>530</v>
      </c>
      <c r="P12" s="111">
        <v>364</v>
      </c>
      <c r="Q12" s="111">
        <v>329</v>
      </c>
      <c r="R12" s="233">
        <v>350</v>
      </c>
      <c r="S12" s="139"/>
      <c r="T12" s="218"/>
      <c r="W12" s="320">
        <f t="shared" si="1"/>
        <v>0.7090909090909091</v>
      </c>
      <c r="X12" s="320">
        <f t="shared" si="0"/>
        <v>1.1261425959780622</v>
      </c>
      <c r="Y12" s="320">
        <f t="shared" si="0"/>
        <v>1.6974358974358974</v>
      </c>
      <c r="Z12" s="320">
        <f t="shared" si="0"/>
        <v>1.251585623678647</v>
      </c>
      <c r="AA12" s="320">
        <f t="shared" si="0"/>
        <v>0.7754716981132076</v>
      </c>
      <c r="AB12" s="320">
        <f t="shared" si="0"/>
        <v>1.4972527472527473</v>
      </c>
      <c r="AC12" s="320">
        <f t="shared" si="0"/>
        <v>2.054711246200608</v>
      </c>
      <c r="AD12" s="320">
        <f t="shared" si="0"/>
        <v>1.4942857142857142</v>
      </c>
    </row>
    <row r="13" spans="2:30" ht="12.75">
      <c r="B13" s="231">
        <v>42513</v>
      </c>
      <c r="C13" s="232">
        <v>988</v>
      </c>
      <c r="D13" s="111">
        <v>994</v>
      </c>
      <c r="E13" s="111">
        <v>1015</v>
      </c>
      <c r="F13" s="111">
        <v>1038</v>
      </c>
      <c r="G13" s="111">
        <v>938</v>
      </c>
      <c r="H13" s="111">
        <v>1002</v>
      </c>
      <c r="I13" s="111">
        <v>953</v>
      </c>
      <c r="J13" s="233">
        <v>961</v>
      </c>
      <c r="K13" s="232">
        <v>546</v>
      </c>
      <c r="L13" s="111">
        <v>552</v>
      </c>
      <c r="M13" s="111">
        <v>494</v>
      </c>
      <c r="N13" s="111">
        <v>514</v>
      </c>
      <c r="O13" s="111">
        <v>521</v>
      </c>
      <c r="P13" s="111">
        <v>369</v>
      </c>
      <c r="Q13" s="111">
        <v>383</v>
      </c>
      <c r="R13" s="233">
        <v>400</v>
      </c>
      <c r="S13" s="139"/>
      <c r="T13" s="218"/>
      <c r="W13" s="320">
        <f t="shared" si="1"/>
        <v>0.8095238095238095</v>
      </c>
      <c r="X13" s="320">
        <f t="shared" si="0"/>
        <v>0.8007246376811594</v>
      </c>
      <c r="Y13" s="320">
        <f t="shared" si="0"/>
        <v>1.0546558704453441</v>
      </c>
      <c r="Z13" s="320">
        <f t="shared" si="0"/>
        <v>1.0194552529182879</v>
      </c>
      <c r="AA13" s="320">
        <f t="shared" si="0"/>
        <v>0.800383877159309</v>
      </c>
      <c r="AB13" s="320">
        <f t="shared" si="0"/>
        <v>1.7154471544715446</v>
      </c>
      <c r="AC13" s="320">
        <f t="shared" si="0"/>
        <v>1.4882506527415145</v>
      </c>
      <c r="AD13" s="320">
        <f t="shared" si="0"/>
        <v>1.4025</v>
      </c>
    </row>
    <row r="14" spans="2:30" ht="12.75">
      <c r="B14" s="231">
        <v>42520</v>
      </c>
      <c r="C14" s="232">
        <v>1020</v>
      </c>
      <c r="D14" s="111">
        <v>1054</v>
      </c>
      <c r="E14" s="111">
        <v>1048</v>
      </c>
      <c r="F14" s="111">
        <v>1081</v>
      </c>
      <c r="G14" s="111">
        <v>956</v>
      </c>
      <c r="H14" s="111">
        <v>1001</v>
      </c>
      <c r="I14" s="111">
        <v>1174</v>
      </c>
      <c r="J14" s="233">
        <v>976</v>
      </c>
      <c r="K14" s="232">
        <v>638</v>
      </c>
      <c r="L14" s="111">
        <v>558</v>
      </c>
      <c r="M14" s="111">
        <v>513</v>
      </c>
      <c r="N14" s="111">
        <v>530</v>
      </c>
      <c r="O14" s="111">
        <v>538</v>
      </c>
      <c r="P14" s="111">
        <v>364</v>
      </c>
      <c r="Q14" s="111">
        <v>375</v>
      </c>
      <c r="R14" s="233">
        <v>400</v>
      </c>
      <c r="S14" s="139"/>
      <c r="T14" s="218"/>
      <c r="W14" s="320">
        <f t="shared" si="1"/>
        <v>0.5987460815047022</v>
      </c>
      <c r="X14" s="320">
        <f t="shared" si="0"/>
        <v>0.8888888888888888</v>
      </c>
      <c r="Y14" s="320">
        <f t="shared" si="0"/>
        <v>1.0428849902534114</v>
      </c>
      <c r="Z14" s="320">
        <f t="shared" si="0"/>
        <v>1.039622641509434</v>
      </c>
      <c r="AA14" s="320">
        <f t="shared" si="0"/>
        <v>0.7769516728624535</v>
      </c>
      <c r="AB14" s="320">
        <f t="shared" si="0"/>
        <v>1.75</v>
      </c>
      <c r="AC14" s="320">
        <f t="shared" si="0"/>
        <v>2.1306666666666665</v>
      </c>
      <c r="AD14" s="320">
        <f t="shared" si="0"/>
        <v>1.44</v>
      </c>
    </row>
    <row r="15" spans="2:30" ht="12.75">
      <c r="B15" s="231">
        <v>42527</v>
      </c>
      <c r="C15" s="232">
        <v>1163</v>
      </c>
      <c r="D15" s="111">
        <v>1154</v>
      </c>
      <c r="E15" s="111">
        <v>1109</v>
      </c>
      <c r="F15" s="111">
        <v>1174</v>
      </c>
      <c r="G15" s="111">
        <v>1075</v>
      </c>
      <c r="H15" s="111">
        <v>1089</v>
      </c>
      <c r="I15" s="111">
        <v>1104</v>
      </c>
      <c r="J15" s="233">
        <v>1089</v>
      </c>
      <c r="K15" s="232">
        <v>620</v>
      </c>
      <c r="L15" s="111">
        <v>556</v>
      </c>
      <c r="M15" s="111">
        <v>513</v>
      </c>
      <c r="N15" s="111">
        <v>529</v>
      </c>
      <c r="O15" s="111">
        <v>517</v>
      </c>
      <c r="P15" s="111">
        <v>404</v>
      </c>
      <c r="Q15" s="111">
        <v>360</v>
      </c>
      <c r="R15" s="233">
        <v>400</v>
      </c>
      <c r="S15" s="139"/>
      <c r="T15" s="218"/>
      <c r="W15" s="320">
        <f t="shared" si="1"/>
        <v>0.8758064516129033</v>
      </c>
      <c r="X15" s="320">
        <f t="shared" si="0"/>
        <v>1.0755395683453237</v>
      </c>
      <c r="Y15" s="320">
        <f t="shared" si="0"/>
        <v>1.161793372319688</v>
      </c>
      <c r="Z15" s="320">
        <f t="shared" si="0"/>
        <v>1.2192816635160681</v>
      </c>
      <c r="AA15" s="320">
        <f t="shared" si="0"/>
        <v>1.079303675048356</v>
      </c>
      <c r="AB15" s="320">
        <f t="shared" si="0"/>
        <v>1.6955445544554455</v>
      </c>
      <c r="AC15" s="320">
        <f t="shared" si="0"/>
        <v>2.066666666666667</v>
      </c>
      <c r="AD15" s="320">
        <f t="shared" si="0"/>
        <v>1.7225</v>
      </c>
    </row>
    <row r="16" spans="2:30" ht="12.75">
      <c r="B16" s="231">
        <v>42534</v>
      </c>
      <c r="C16" s="232">
        <v>1148</v>
      </c>
      <c r="D16" s="111">
        <v>1153</v>
      </c>
      <c r="E16" s="111">
        <v>1135</v>
      </c>
      <c r="F16" s="111">
        <v>1119</v>
      </c>
      <c r="G16" s="111">
        <v>1071</v>
      </c>
      <c r="H16" s="111">
        <v>1117</v>
      </c>
      <c r="I16" s="111">
        <v>1129</v>
      </c>
      <c r="J16" s="233">
        <v>1121</v>
      </c>
      <c r="K16" s="232">
        <v>616</v>
      </c>
      <c r="L16" s="111">
        <v>533</v>
      </c>
      <c r="M16" s="111">
        <v>546</v>
      </c>
      <c r="N16" s="111">
        <v>512</v>
      </c>
      <c r="O16" s="111">
        <v>491</v>
      </c>
      <c r="P16" s="111">
        <v>388</v>
      </c>
      <c r="Q16" s="111">
        <v>350</v>
      </c>
      <c r="R16" s="233">
        <v>375</v>
      </c>
      <c r="S16" s="139"/>
      <c r="T16" s="218"/>
      <c r="W16" s="320">
        <f t="shared" si="1"/>
        <v>0.8636363636363636</v>
      </c>
      <c r="X16" s="320">
        <f t="shared" si="0"/>
        <v>1.1632270168855534</v>
      </c>
      <c r="Y16" s="320">
        <f t="shared" si="0"/>
        <v>1.0787545787545787</v>
      </c>
      <c r="Z16" s="320">
        <f t="shared" si="0"/>
        <v>1.185546875</v>
      </c>
      <c r="AA16" s="320">
        <f t="shared" si="0"/>
        <v>1.1812627291242364</v>
      </c>
      <c r="AB16" s="320">
        <f t="shared" si="0"/>
        <v>1.8788659793814433</v>
      </c>
      <c r="AC16" s="320">
        <f t="shared" si="0"/>
        <v>2.2257142857142855</v>
      </c>
      <c r="AD16" s="320">
        <f t="shared" si="0"/>
        <v>1.9893333333333334</v>
      </c>
    </row>
    <row r="17" spans="2:30" ht="12.75">
      <c r="B17" s="231">
        <v>42541</v>
      </c>
      <c r="C17" s="232">
        <v>1155</v>
      </c>
      <c r="D17" s="111">
        <v>1157</v>
      </c>
      <c r="E17" s="111">
        <v>1123</v>
      </c>
      <c r="F17" s="111">
        <v>1158</v>
      </c>
      <c r="G17" s="111">
        <v>1099</v>
      </c>
      <c r="H17" s="111">
        <v>1132</v>
      </c>
      <c r="I17" s="111">
        <v>1124</v>
      </c>
      <c r="J17" s="233">
        <v>1108</v>
      </c>
      <c r="K17" s="232">
        <v>610</v>
      </c>
      <c r="L17" s="111">
        <v>522</v>
      </c>
      <c r="M17" s="111">
        <v>425</v>
      </c>
      <c r="N17" s="111">
        <v>537</v>
      </c>
      <c r="O17" s="111">
        <v>492</v>
      </c>
      <c r="P17" s="111">
        <v>378</v>
      </c>
      <c r="Q17" s="111">
        <v>375</v>
      </c>
      <c r="R17" s="233">
        <v>375</v>
      </c>
      <c r="S17" s="139"/>
      <c r="T17" s="218"/>
      <c r="W17" s="320">
        <f t="shared" si="1"/>
        <v>0.8934426229508197</v>
      </c>
      <c r="X17" s="320">
        <f t="shared" si="0"/>
        <v>1.2164750957854407</v>
      </c>
      <c r="Y17" s="320">
        <f t="shared" si="0"/>
        <v>1.6423529411764706</v>
      </c>
      <c r="Z17" s="320">
        <f t="shared" si="0"/>
        <v>1.1564245810055866</v>
      </c>
      <c r="AA17" s="320">
        <f t="shared" si="0"/>
        <v>1.233739837398374</v>
      </c>
      <c r="AB17" s="320">
        <f t="shared" si="0"/>
        <v>1.9947089947089947</v>
      </c>
      <c r="AC17" s="320">
        <f t="shared" si="0"/>
        <v>1.9973333333333334</v>
      </c>
      <c r="AD17" s="320">
        <f t="shared" si="0"/>
        <v>1.9546666666666668</v>
      </c>
    </row>
    <row r="18" spans="2:30" ht="12.75">
      <c r="B18" s="231">
        <v>42548</v>
      </c>
      <c r="C18" s="232">
        <v>1149</v>
      </c>
      <c r="D18" s="111">
        <v>1149</v>
      </c>
      <c r="E18" s="111">
        <v>1119</v>
      </c>
      <c r="F18" s="111">
        <v>1149</v>
      </c>
      <c r="G18" s="111">
        <v>1104</v>
      </c>
      <c r="H18" s="111">
        <v>1150</v>
      </c>
      <c r="I18" s="111">
        <v>1127</v>
      </c>
      <c r="J18" s="233">
        <v>1110</v>
      </c>
      <c r="K18" s="232">
        <v>583</v>
      </c>
      <c r="L18" s="111">
        <v>538</v>
      </c>
      <c r="M18" s="111">
        <v>413</v>
      </c>
      <c r="N18" s="111">
        <v>527</v>
      </c>
      <c r="O18" s="111">
        <v>492</v>
      </c>
      <c r="P18" s="111">
        <v>393</v>
      </c>
      <c r="Q18" s="111">
        <v>438</v>
      </c>
      <c r="R18" s="233">
        <v>350</v>
      </c>
      <c r="S18" s="139"/>
      <c r="T18" s="218"/>
      <c r="W18" s="320">
        <f t="shared" si="1"/>
        <v>0.9708404802744426</v>
      </c>
      <c r="X18" s="320">
        <f t="shared" si="0"/>
        <v>1.1356877323420074</v>
      </c>
      <c r="Y18" s="320">
        <f t="shared" si="0"/>
        <v>1.7094430992736078</v>
      </c>
      <c r="Z18" s="320">
        <f t="shared" si="0"/>
        <v>1.1802656546489563</v>
      </c>
      <c r="AA18" s="320">
        <f t="shared" si="0"/>
        <v>1.2439024390243902</v>
      </c>
      <c r="AB18" s="320">
        <f t="shared" si="0"/>
        <v>1.9262086513994912</v>
      </c>
      <c r="AC18" s="320">
        <f t="shared" si="0"/>
        <v>1.5730593607305936</v>
      </c>
      <c r="AD18" s="320">
        <f t="shared" si="0"/>
        <v>2.1714285714285713</v>
      </c>
    </row>
    <row r="19" spans="2:30" ht="12.75">
      <c r="B19" s="231">
        <v>42555</v>
      </c>
      <c r="C19" s="232">
        <v>1122</v>
      </c>
      <c r="D19" s="111">
        <v>1150</v>
      </c>
      <c r="E19" s="111">
        <v>1102</v>
      </c>
      <c r="F19" s="111">
        <v>1109</v>
      </c>
      <c r="G19" s="111">
        <v>1097</v>
      </c>
      <c r="H19" s="111">
        <v>1137</v>
      </c>
      <c r="I19" s="111">
        <v>1084</v>
      </c>
      <c r="J19" s="233">
        <v>1123</v>
      </c>
      <c r="K19" s="232">
        <v>610</v>
      </c>
      <c r="L19" s="111">
        <v>529</v>
      </c>
      <c r="M19" s="111">
        <v>413</v>
      </c>
      <c r="N19" s="111">
        <v>506</v>
      </c>
      <c r="O19" s="111">
        <v>482</v>
      </c>
      <c r="P19" s="111">
        <v>366</v>
      </c>
      <c r="Q19" s="111">
        <v>375</v>
      </c>
      <c r="R19" s="233">
        <v>375</v>
      </c>
      <c r="S19" s="139"/>
      <c r="T19" s="218"/>
      <c r="W19" s="320">
        <f t="shared" si="1"/>
        <v>0.839344262295082</v>
      </c>
      <c r="X19" s="320">
        <f t="shared" si="0"/>
        <v>1.173913043478261</v>
      </c>
      <c r="Y19" s="320">
        <f t="shared" si="0"/>
        <v>1.6682808716707023</v>
      </c>
      <c r="Z19" s="320">
        <f t="shared" si="0"/>
        <v>1.191699604743083</v>
      </c>
      <c r="AA19" s="320">
        <f t="shared" si="0"/>
        <v>1.2759336099585061</v>
      </c>
      <c r="AB19" s="320">
        <f t="shared" si="0"/>
        <v>2.1065573770491803</v>
      </c>
      <c r="AC19" s="320">
        <f t="shared" si="0"/>
        <v>1.8906666666666667</v>
      </c>
      <c r="AD19" s="320">
        <f t="shared" si="0"/>
        <v>1.9946666666666666</v>
      </c>
    </row>
    <row r="20" spans="2:30" ht="12.75">
      <c r="B20" s="231">
        <v>42562</v>
      </c>
      <c r="C20" s="232">
        <v>1136</v>
      </c>
      <c r="D20" s="111">
        <v>1181</v>
      </c>
      <c r="E20" s="111">
        <v>1041</v>
      </c>
      <c r="F20" s="111">
        <v>1068</v>
      </c>
      <c r="G20" s="111">
        <v>1022</v>
      </c>
      <c r="H20" s="111">
        <v>1089</v>
      </c>
      <c r="I20" s="111">
        <v>1206</v>
      </c>
      <c r="J20" s="233">
        <v>1057</v>
      </c>
      <c r="K20" s="232">
        <v>613</v>
      </c>
      <c r="L20" s="111">
        <v>538</v>
      </c>
      <c r="M20" s="111">
        <v>479</v>
      </c>
      <c r="N20" s="111">
        <v>509</v>
      </c>
      <c r="O20" s="111">
        <v>488</v>
      </c>
      <c r="P20" s="111">
        <v>385</v>
      </c>
      <c r="Q20" s="111">
        <v>375</v>
      </c>
      <c r="R20" s="233"/>
      <c r="S20" s="139"/>
      <c r="T20" s="218"/>
      <c r="W20" s="320">
        <f t="shared" si="1"/>
        <v>0.8531810766721044</v>
      </c>
      <c r="X20" s="320">
        <f t="shared" si="0"/>
        <v>1.195167286245353</v>
      </c>
      <c r="Y20" s="320">
        <f t="shared" si="0"/>
        <v>1.173277661795407</v>
      </c>
      <c r="Z20" s="320">
        <f t="shared" si="0"/>
        <v>1.0982318271119842</v>
      </c>
      <c r="AA20" s="320">
        <f t="shared" si="0"/>
        <v>1.0942622950819672</v>
      </c>
      <c r="AB20" s="320">
        <f t="shared" si="0"/>
        <v>1.8285714285714285</v>
      </c>
      <c r="AC20" s="320">
        <f t="shared" si="0"/>
        <v>2.216</v>
      </c>
      <c r="AD20" s="320">
        <f t="shared" si="0"/>
      </c>
    </row>
    <row r="21" spans="2:30" ht="12.75">
      <c r="B21" s="231">
        <v>42569</v>
      </c>
      <c r="C21" s="232">
        <v>882</v>
      </c>
      <c r="D21" s="111">
        <v>1139</v>
      </c>
      <c r="E21" s="111">
        <v>1049</v>
      </c>
      <c r="F21" s="111">
        <v>1003</v>
      </c>
      <c r="G21" s="111">
        <v>1110</v>
      </c>
      <c r="H21" s="111">
        <v>1055</v>
      </c>
      <c r="I21" s="111">
        <v>1005</v>
      </c>
      <c r="J21" s="233">
        <v>1013</v>
      </c>
      <c r="K21" s="232">
        <v>575</v>
      </c>
      <c r="L21" s="111">
        <v>507</v>
      </c>
      <c r="M21" s="111">
        <v>483</v>
      </c>
      <c r="N21" s="111">
        <v>547</v>
      </c>
      <c r="O21" s="111">
        <v>500</v>
      </c>
      <c r="P21" s="111">
        <v>366</v>
      </c>
      <c r="Q21" s="111">
        <v>375</v>
      </c>
      <c r="R21" s="233">
        <v>400</v>
      </c>
      <c r="S21" s="139"/>
      <c r="T21" s="218"/>
      <c r="W21" s="320">
        <f t="shared" si="1"/>
        <v>0.5339130434782609</v>
      </c>
      <c r="X21" s="320">
        <f t="shared" si="0"/>
        <v>1.2465483234714003</v>
      </c>
      <c r="Y21" s="320">
        <f t="shared" si="0"/>
        <v>1.1718426501035197</v>
      </c>
      <c r="Z21" s="320">
        <f t="shared" si="0"/>
        <v>0.8336380255941499</v>
      </c>
      <c r="AA21" s="320">
        <f t="shared" si="0"/>
        <v>1.22</v>
      </c>
      <c r="AB21" s="320">
        <f t="shared" si="0"/>
        <v>1.8825136612021858</v>
      </c>
      <c r="AC21" s="320">
        <f t="shared" si="0"/>
        <v>1.68</v>
      </c>
      <c r="AD21" s="320">
        <f t="shared" si="0"/>
        <v>1.5325</v>
      </c>
    </row>
    <row r="22" spans="2:30" ht="12.75">
      <c r="B22" s="231">
        <v>42576</v>
      </c>
      <c r="C22" s="232">
        <v>1057</v>
      </c>
      <c r="D22" s="111">
        <v>1167</v>
      </c>
      <c r="E22" s="111">
        <v>1093</v>
      </c>
      <c r="F22" s="111">
        <v>1089</v>
      </c>
      <c r="G22" s="111">
        <v>1042</v>
      </c>
      <c r="H22" s="111">
        <v>1002</v>
      </c>
      <c r="I22" s="111">
        <v>1048</v>
      </c>
      <c r="J22" s="233">
        <v>972</v>
      </c>
      <c r="K22" s="232">
        <v>595</v>
      </c>
      <c r="L22" s="111">
        <v>526</v>
      </c>
      <c r="M22" s="111">
        <v>431</v>
      </c>
      <c r="N22" s="111">
        <v>524</v>
      </c>
      <c r="O22" s="111">
        <v>533</v>
      </c>
      <c r="P22" s="111">
        <v>375</v>
      </c>
      <c r="Q22" s="111">
        <v>385</v>
      </c>
      <c r="R22" s="233">
        <v>438</v>
      </c>
      <c r="S22" s="139"/>
      <c r="T22" s="218"/>
      <c r="W22" s="320">
        <f t="shared" si="1"/>
        <v>0.7764705882352941</v>
      </c>
      <c r="X22" s="320">
        <f t="shared" si="0"/>
        <v>1.2186311787072244</v>
      </c>
      <c r="Y22" s="320">
        <f t="shared" si="0"/>
        <v>1.5359628770301623</v>
      </c>
      <c r="Z22" s="320">
        <f t="shared" si="0"/>
        <v>1.0782442748091603</v>
      </c>
      <c r="AA22" s="320">
        <f t="shared" si="0"/>
        <v>0.9549718574108818</v>
      </c>
      <c r="AB22" s="320">
        <f t="shared" si="0"/>
        <v>1.672</v>
      </c>
      <c r="AC22" s="320">
        <f t="shared" si="0"/>
        <v>1.722077922077922</v>
      </c>
      <c r="AD22" s="320">
        <f t="shared" si="0"/>
        <v>1.2191780821917808</v>
      </c>
    </row>
    <row r="23" spans="2:30" ht="12.75">
      <c r="B23" s="231">
        <v>42583</v>
      </c>
      <c r="C23" s="232">
        <v>1099</v>
      </c>
      <c r="D23" s="111">
        <v>1261</v>
      </c>
      <c r="E23" s="111">
        <v>1086</v>
      </c>
      <c r="F23" s="111">
        <v>1028</v>
      </c>
      <c r="G23" s="111">
        <v>1099</v>
      </c>
      <c r="H23" s="111">
        <v>1086</v>
      </c>
      <c r="I23" s="111">
        <v>1094</v>
      </c>
      <c r="J23" s="233">
        <v>1127</v>
      </c>
      <c r="K23" s="232">
        <v>525</v>
      </c>
      <c r="L23" s="111">
        <v>538</v>
      </c>
      <c r="M23" s="111">
        <v>375</v>
      </c>
      <c r="N23" s="111">
        <v>544</v>
      </c>
      <c r="O23" s="111">
        <v>517</v>
      </c>
      <c r="P23" s="111">
        <v>393</v>
      </c>
      <c r="Q23" s="111">
        <v>400</v>
      </c>
      <c r="R23" s="233">
        <v>363</v>
      </c>
      <c r="S23" s="139"/>
      <c r="T23" s="218"/>
      <c r="W23" s="320">
        <f t="shared" si="1"/>
        <v>1.0933333333333333</v>
      </c>
      <c r="X23" s="320">
        <f aca="true" t="shared" si="2" ref="X23:AD27">+IF(L23="","",((D23-L23)/L23))</f>
        <v>1.3438661710037174</v>
      </c>
      <c r="Y23" s="320">
        <f t="shared" si="2"/>
        <v>1.896</v>
      </c>
      <c r="Z23" s="320">
        <f t="shared" si="2"/>
        <v>0.8897058823529411</v>
      </c>
      <c r="AA23" s="320">
        <f t="shared" si="2"/>
        <v>1.125725338491296</v>
      </c>
      <c r="AB23" s="320">
        <f t="shared" si="2"/>
        <v>1.7633587786259541</v>
      </c>
      <c r="AC23" s="320">
        <f t="shared" si="2"/>
        <v>1.735</v>
      </c>
      <c r="AD23" s="320">
        <f t="shared" si="2"/>
        <v>2.1046831955922864</v>
      </c>
    </row>
    <row r="24" spans="2:30" ht="12.75">
      <c r="B24" s="231">
        <v>42590</v>
      </c>
      <c r="C24" s="232">
        <v>1135</v>
      </c>
      <c r="D24" s="111">
        <v>1146</v>
      </c>
      <c r="E24" s="111">
        <v>1076</v>
      </c>
      <c r="F24" s="111">
        <v>1062</v>
      </c>
      <c r="G24" s="111">
        <v>1044</v>
      </c>
      <c r="H24" s="111">
        <v>1110</v>
      </c>
      <c r="I24" s="111">
        <v>1079</v>
      </c>
      <c r="J24" s="233">
        <v>1115</v>
      </c>
      <c r="K24" s="232">
        <v>600</v>
      </c>
      <c r="L24" s="111">
        <v>531</v>
      </c>
      <c r="M24" s="111">
        <v>467</v>
      </c>
      <c r="N24" s="111">
        <v>551</v>
      </c>
      <c r="O24" s="111">
        <v>531</v>
      </c>
      <c r="P24" s="111">
        <v>441</v>
      </c>
      <c r="Q24" s="111">
        <v>360</v>
      </c>
      <c r="R24" s="233">
        <v>400</v>
      </c>
      <c r="S24" s="139"/>
      <c r="T24" s="218"/>
      <c r="W24" s="320">
        <f t="shared" si="1"/>
        <v>0.8916666666666667</v>
      </c>
      <c r="X24" s="320">
        <f t="shared" si="2"/>
        <v>1.1581920903954803</v>
      </c>
      <c r="Y24" s="320">
        <f t="shared" si="2"/>
        <v>1.3040685224839401</v>
      </c>
      <c r="Z24" s="320">
        <f t="shared" si="2"/>
        <v>0.9274047186932849</v>
      </c>
      <c r="AA24" s="320">
        <f t="shared" si="2"/>
        <v>0.9661016949152542</v>
      </c>
      <c r="AB24" s="320">
        <f t="shared" si="2"/>
        <v>1.5170068027210883</v>
      </c>
      <c r="AC24" s="320">
        <f t="shared" si="2"/>
        <v>1.9972222222222222</v>
      </c>
      <c r="AD24" s="320">
        <f t="shared" si="2"/>
        <v>1.7875</v>
      </c>
    </row>
    <row r="25" spans="2:30" ht="12.75">
      <c r="B25" s="231">
        <v>42597</v>
      </c>
      <c r="C25" s="232">
        <v>1193</v>
      </c>
      <c r="D25" s="111">
        <v>1157</v>
      </c>
      <c r="E25" s="111">
        <v>1108</v>
      </c>
      <c r="F25" s="111">
        <v>973</v>
      </c>
      <c r="G25" s="111">
        <v>1095</v>
      </c>
      <c r="H25" s="111">
        <v>1174</v>
      </c>
      <c r="I25" s="111">
        <v>1184</v>
      </c>
      <c r="J25" s="233">
        <v>1125</v>
      </c>
      <c r="K25" s="232">
        <v>652</v>
      </c>
      <c r="L25" s="111">
        <v>581</v>
      </c>
      <c r="M25" s="111">
        <v>519</v>
      </c>
      <c r="N25" s="111">
        <v>533</v>
      </c>
      <c r="O25" s="111">
        <v>513</v>
      </c>
      <c r="P25" s="111">
        <v>428</v>
      </c>
      <c r="Q25" s="111">
        <v>394</v>
      </c>
      <c r="R25" s="233">
        <v>388</v>
      </c>
      <c r="S25" s="139"/>
      <c r="T25" s="218"/>
      <c r="W25" s="320">
        <f t="shared" si="1"/>
        <v>0.8297546012269938</v>
      </c>
      <c r="X25" s="320">
        <f t="shared" si="2"/>
        <v>0.9913941480206541</v>
      </c>
      <c r="Y25" s="320">
        <f t="shared" si="2"/>
        <v>1.1348747591522157</v>
      </c>
      <c r="Z25" s="320">
        <f t="shared" si="2"/>
        <v>0.8255159474671669</v>
      </c>
      <c r="AA25" s="320">
        <f t="shared" si="2"/>
        <v>1.1345029239766082</v>
      </c>
      <c r="AB25" s="320">
        <f t="shared" si="2"/>
        <v>1.7429906542056075</v>
      </c>
      <c r="AC25" s="320">
        <f t="shared" si="2"/>
        <v>2.00507614213198</v>
      </c>
      <c r="AD25" s="320">
        <f t="shared" si="2"/>
        <v>1.8994845360824741</v>
      </c>
    </row>
    <row r="26" spans="2:30" ht="12.75">
      <c r="B26" s="231">
        <v>42604</v>
      </c>
      <c r="C26" s="232">
        <v>1095</v>
      </c>
      <c r="D26" s="111">
        <v>1159</v>
      </c>
      <c r="E26" s="111">
        <v>1070</v>
      </c>
      <c r="F26" s="111">
        <v>1125</v>
      </c>
      <c r="G26" s="111">
        <v>1065</v>
      </c>
      <c r="H26" s="111">
        <v>1087</v>
      </c>
      <c r="I26" s="111">
        <v>1104</v>
      </c>
      <c r="J26" s="233">
        <v>982</v>
      </c>
      <c r="K26" s="232">
        <v>638</v>
      </c>
      <c r="L26" s="111">
        <v>591</v>
      </c>
      <c r="M26" s="111">
        <v>469</v>
      </c>
      <c r="N26" s="111">
        <v>535</v>
      </c>
      <c r="O26" s="111">
        <v>532</v>
      </c>
      <c r="P26" s="111">
        <v>428</v>
      </c>
      <c r="Q26" s="111">
        <v>419</v>
      </c>
      <c r="R26" s="233">
        <v>400</v>
      </c>
      <c r="S26" s="139"/>
      <c r="T26" s="218"/>
      <c r="U26" s="217"/>
      <c r="V26" s="327"/>
      <c r="W26" s="320">
        <f t="shared" si="1"/>
        <v>0.7163009404388715</v>
      </c>
      <c r="X26" s="320">
        <f t="shared" si="2"/>
        <v>0.961082910321489</v>
      </c>
      <c r="Y26" s="320">
        <f t="shared" si="2"/>
        <v>1.2814498933901919</v>
      </c>
      <c r="Z26" s="320">
        <f t="shared" si="2"/>
        <v>1.102803738317757</v>
      </c>
      <c r="AA26" s="320">
        <f t="shared" si="2"/>
        <v>1.0018796992481203</v>
      </c>
      <c r="AB26" s="320">
        <f t="shared" si="2"/>
        <v>1.5397196261682242</v>
      </c>
      <c r="AC26" s="320">
        <f t="shared" si="2"/>
        <v>1.6348448687350836</v>
      </c>
      <c r="AD26" s="320">
        <f t="shared" si="2"/>
        <v>1.455</v>
      </c>
    </row>
    <row r="27" spans="2:30" ht="12.75">
      <c r="B27" s="234">
        <v>42611</v>
      </c>
      <c r="C27" s="235">
        <v>1029</v>
      </c>
      <c r="D27" s="36">
        <v>1177</v>
      </c>
      <c r="E27" s="36">
        <v>1106</v>
      </c>
      <c r="F27" s="36">
        <v>1028</v>
      </c>
      <c r="G27" s="36">
        <v>1043</v>
      </c>
      <c r="H27" s="36">
        <v>1058</v>
      </c>
      <c r="I27" s="36">
        <v>1085</v>
      </c>
      <c r="J27" s="236">
        <v>1071</v>
      </c>
      <c r="K27" s="235">
        <v>652</v>
      </c>
      <c r="L27" s="36">
        <v>566</v>
      </c>
      <c r="M27" s="36">
        <v>413</v>
      </c>
      <c r="N27" s="36">
        <v>522</v>
      </c>
      <c r="O27" s="36">
        <v>517</v>
      </c>
      <c r="P27" s="36">
        <v>429</v>
      </c>
      <c r="Q27" s="36">
        <v>358</v>
      </c>
      <c r="R27" s="236">
        <v>388</v>
      </c>
      <c r="S27" s="139"/>
      <c r="T27" s="237"/>
      <c r="U27" s="217"/>
      <c r="V27" s="327"/>
      <c r="W27" s="320">
        <f t="shared" si="1"/>
        <v>0.5782208588957055</v>
      </c>
      <c r="X27" s="320">
        <f t="shared" si="2"/>
        <v>1.0795053003533568</v>
      </c>
      <c r="Y27" s="320">
        <f t="shared" si="2"/>
        <v>1.6779661016949152</v>
      </c>
      <c r="Z27" s="320">
        <f t="shared" si="2"/>
        <v>0.9693486590038314</v>
      </c>
      <c r="AA27" s="320">
        <f t="shared" si="2"/>
        <v>1.0174081237911026</v>
      </c>
      <c r="AB27" s="320">
        <f t="shared" si="2"/>
        <v>1.4662004662004662</v>
      </c>
      <c r="AC27" s="320">
        <f t="shared" si="2"/>
        <v>2.03072625698324</v>
      </c>
      <c r="AD27" s="320">
        <f t="shared" si="2"/>
        <v>1.7603092783505154</v>
      </c>
    </row>
    <row r="28" spans="2:21" ht="12.75">
      <c r="B28" s="39" t="s">
        <v>213</v>
      </c>
      <c r="P28" s="48"/>
      <c r="Q28" s="48"/>
      <c r="T28" s="237"/>
      <c r="U28" s="217"/>
    </row>
    <row r="29" spans="20:30" ht="12.75">
      <c r="T29" s="218"/>
      <c r="V29" s="282" t="s">
        <v>244</v>
      </c>
      <c r="W29" s="280">
        <f aca="true" t="shared" si="3" ref="W29:AD29">+_xlfn.STDEV.S(W7:W27)</f>
        <v>0.19457178622118296</v>
      </c>
      <c r="X29" s="280">
        <f t="shared" si="3"/>
        <v>0.16847439438215125</v>
      </c>
      <c r="Y29" s="280">
        <f t="shared" si="3"/>
        <v>0.37309298204619</v>
      </c>
      <c r="Z29" s="280">
        <f t="shared" si="3"/>
        <v>0.41955691224205394</v>
      </c>
      <c r="AA29" s="280">
        <f t="shared" si="3"/>
        <v>0.17238317514794482</v>
      </c>
      <c r="AB29" s="280">
        <f t="shared" si="3"/>
        <v>0.28138861911401064</v>
      </c>
      <c r="AC29" s="280">
        <f t="shared" si="3"/>
        <v>0.2495405498828021</v>
      </c>
      <c r="AD29" s="280">
        <f t="shared" si="3"/>
        <v>0.3292794075102486</v>
      </c>
    </row>
    <row r="30" spans="20:30" ht="12.75">
      <c r="T30" s="218"/>
      <c r="V30" s="283" t="s">
        <v>191</v>
      </c>
      <c r="W30" s="280">
        <f aca="true" t="shared" si="4" ref="W30:AD30">+AVERAGE(W7:W27)</f>
        <v>0.8459951097796937</v>
      </c>
      <c r="X30" s="280">
        <f t="shared" si="4"/>
        <v>1.1679517122203582</v>
      </c>
      <c r="Y30" s="280">
        <f t="shared" si="4"/>
        <v>1.5127262136417157</v>
      </c>
      <c r="Z30" s="280">
        <f t="shared" si="4"/>
        <v>1.2621419699936343</v>
      </c>
      <c r="AA30" s="280">
        <f t="shared" si="4"/>
        <v>1.1048556922386568</v>
      </c>
      <c r="AB30" s="280">
        <f t="shared" si="4"/>
        <v>1.8679142640939397</v>
      </c>
      <c r="AC30" s="280">
        <f t="shared" si="4"/>
        <v>1.9492293469610995</v>
      </c>
      <c r="AD30" s="280">
        <f t="shared" si="4"/>
        <v>1.8085700468058377</v>
      </c>
    </row>
    <row r="31" ht="12.75">
      <c r="T31" s="218"/>
    </row>
    <row r="32" spans="20:30" ht="12.75">
      <c r="T32" s="218"/>
      <c r="V32" s="283" t="s">
        <v>245</v>
      </c>
      <c r="W32" s="327">
        <f aca="true" t="shared" si="5" ref="W32:AD32">+AVERAGE(C7:C27)</f>
        <v>1056.5714285714287</v>
      </c>
      <c r="X32" s="327">
        <f t="shared" si="5"/>
        <v>1136.7619047619048</v>
      </c>
      <c r="Y32" s="327">
        <f t="shared" si="5"/>
        <v>1073.047619047619</v>
      </c>
      <c r="Z32" s="327">
        <f t="shared" si="5"/>
        <v>1070.047619047619</v>
      </c>
      <c r="AA32" s="327">
        <f t="shared" si="5"/>
        <v>1038.8095238095239</v>
      </c>
      <c r="AB32" s="327">
        <f t="shared" si="5"/>
        <v>1064.095238095238</v>
      </c>
      <c r="AC32" s="327">
        <f t="shared" si="5"/>
        <v>1078.857142857143</v>
      </c>
      <c r="AD32" s="327">
        <f t="shared" si="5"/>
        <v>1040.7142857142858</v>
      </c>
    </row>
    <row r="33" spans="20:30" ht="12.75">
      <c r="T33" s="218"/>
      <c r="V33" s="283" t="s">
        <v>246</v>
      </c>
      <c r="W33" s="327">
        <f aca="true" t="shared" si="6" ref="W33:AD33">+AVERAGE(K7:K27)</f>
        <v>575.0952380952381</v>
      </c>
      <c r="X33" s="327">
        <f t="shared" si="6"/>
        <v>526.6190476190476</v>
      </c>
      <c r="Y33" s="327">
        <f t="shared" si="6"/>
        <v>435.1904761904762</v>
      </c>
      <c r="Z33" s="327">
        <f t="shared" si="6"/>
        <v>485.1904761904762</v>
      </c>
      <c r="AA33" s="327">
        <f t="shared" si="6"/>
        <v>495.6190476190476</v>
      </c>
      <c r="AB33" s="327">
        <f t="shared" si="6"/>
        <v>374.1904761904762</v>
      </c>
      <c r="AC33" s="327">
        <f t="shared" si="6"/>
        <v>367.8095238095238</v>
      </c>
      <c r="AD33" s="327">
        <f t="shared" si="6"/>
        <v>373.25</v>
      </c>
    </row>
    <row r="34" spans="20:30" ht="12.75">
      <c r="T34" s="218"/>
      <c r="V34" s="283" t="s">
        <v>205</v>
      </c>
      <c r="W34" s="317">
        <f aca="true" t="shared" si="7" ref="W34:AD34">+W32/W33-1</f>
        <v>0.8372112279539623</v>
      </c>
      <c r="X34" s="317">
        <f t="shared" si="7"/>
        <v>1.1586038520661908</v>
      </c>
      <c r="Y34" s="317">
        <f t="shared" si="7"/>
        <v>1.4656964656964657</v>
      </c>
      <c r="Z34" s="317">
        <f t="shared" si="7"/>
        <v>1.2054176072234761</v>
      </c>
      <c r="AA34" s="317">
        <f t="shared" si="7"/>
        <v>1.0959838585703308</v>
      </c>
      <c r="AB34" s="317">
        <f t="shared" si="7"/>
        <v>1.843726138966658</v>
      </c>
      <c r="AC34" s="317">
        <f t="shared" si="7"/>
        <v>1.9331952356292077</v>
      </c>
      <c r="AD34" s="317">
        <f t="shared" si="7"/>
        <v>1.7882499282365325</v>
      </c>
    </row>
    <row r="35" ht="12.75">
      <c r="T35" s="218"/>
    </row>
    <row r="36" ht="12.75">
      <c r="T36" s="218"/>
    </row>
    <row r="37" ht="12.75">
      <c r="T37" s="218"/>
    </row>
    <row r="48" ht="12.75">
      <c r="C48" s="39" t="s">
        <v>213</v>
      </c>
    </row>
  </sheetData>
  <sheetProtection/>
  <mergeCells count="5">
    <mergeCell ref="B2:R2"/>
    <mergeCell ref="B3:R3"/>
    <mergeCell ref="B4:R4"/>
    <mergeCell ref="C5:J5"/>
    <mergeCell ref="K5:R5"/>
  </mergeCells>
  <conditionalFormatting sqref="W32:AD32">
    <cfRule type="colorScale" priority="4" dxfId="2">
      <colorScale>
        <cfvo type="min" val="0"/>
        <cfvo type="percentile" val="50"/>
        <cfvo type="max"/>
        <color rgb="FFF8696B"/>
        <color rgb="FFFFEB84"/>
        <color rgb="FF63BE7B"/>
      </colorScale>
    </cfRule>
  </conditionalFormatting>
  <conditionalFormatting sqref="W33:AD33">
    <cfRule type="colorScale" priority="3" dxfId="2">
      <colorScale>
        <cfvo type="min" val="0"/>
        <cfvo type="percentile" val="50"/>
        <cfvo type="max"/>
        <color rgb="FFF8696B"/>
        <color rgb="FFFFEB84"/>
        <color rgb="FF63BE7B"/>
      </colorScale>
    </cfRule>
  </conditionalFormatting>
  <conditionalFormatting sqref="W34:AD34">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7" width="18.421875" style="22" customWidth="1"/>
    <col min="8" max="8" width="14.421875" style="22" customWidth="1"/>
    <col min="9" max="9" width="10.421875" style="194" customWidth="1"/>
    <col min="10" max="10" width="7.28125" style="185" hidden="1" customWidth="1"/>
    <col min="11" max="12" width="8.421875" style="185" hidden="1" customWidth="1"/>
    <col min="13" max="13" width="14.421875" style="194" customWidth="1"/>
    <col min="14" max="16384" width="14.421875" style="22" customWidth="1"/>
  </cols>
  <sheetData>
    <row r="1" ht="6" customHeight="1"/>
    <row r="2" spans="1:9" ht="12.75">
      <c r="A2" s="2"/>
      <c r="C2" s="364" t="s">
        <v>14</v>
      </c>
      <c r="D2" s="364"/>
      <c r="E2" s="364"/>
      <c r="F2" s="364"/>
      <c r="H2" s="52" t="s">
        <v>153</v>
      </c>
      <c r="I2" s="193"/>
    </row>
    <row r="3" spans="1:6" ht="12.75">
      <c r="A3" s="2"/>
      <c r="C3" s="364" t="s">
        <v>123</v>
      </c>
      <c r="D3" s="364"/>
      <c r="E3" s="364"/>
      <c r="F3" s="364"/>
    </row>
    <row r="4" spans="1:6" ht="12.75">
      <c r="A4" s="2"/>
      <c r="C4" s="27"/>
      <c r="D4" s="27"/>
      <c r="E4" s="27"/>
      <c r="F4" s="27"/>
    </row>
    <row r="5" spans="1:6" ht="12.75" customHeight="1">
      <c r="A5" s="2"/>
      <c r="C5" s="365" t="s">
        <v>13</v>
      </c>
      <c r="D5" s="367" t="s">
        <v>155</v>
      </c>
      <c r="E5" s="367" t="s">
        <v>156</v>
      </c>
      <c r="F5" s="367" t="s">
        <v>157</v>
      </c>
    </row>
    <row r="6" spans="1:6" ht="12.75">
      <c r="A6" s="2"/>
      <c r="C6" s="366"/>
      <c r="D6" s="368"/>
      <c r="E6" s="368"/>
      <c r="F6" s="368"/>
    </row>
    <row r="7" spans="1:9" ht="12.75">
      <c r="A7" s="2"/>
      <c r="C7" s="27" t="s">
        <v>12</v>
      </c>
      <c r="D7" s="99">
        <v>63110</v>
      </c>
      <c r="E7" s="99">
        <v>1210044.3</v>
      </c>
      <c r="F7" s="105">
        <v>19.173574710822372</v>
      </c>
      <c r="H7" s="158"/>
      <c r="I7" s="192"/>
    </row>
    <row r="8" spans="1:12" ht="12.75">
      <c r="A8" s="2"/>
      <c r="C8" s="27" t="s">
        <v>11</v>
      </c>
      <c r="D8" s="99">
        <v>61360</v>
      </c>
      <c r="E8" s="99">
        <v>1303267.5</v>
      </c>
      <c r="F8" s="105">
        <v>21.239691981747065</v>
      </c>
      <c r="J8" s="323">
        <f aca="true" t="shared" si="0" ref="J8:J22">+(D8-D7)/D7</f>
        <v>-0.027729361432419584</v>
      </c>
      <c r="K8" s="323">
        <f aca="true" t="shared" si="1" ref="K8:L22">+(E8-E7)/E7</f>
        <v>0.07704114634480734</v>
      </c>
      <c r="L8" s="323">
        <f t="shared" si="1"/>
        <v>0.10775858451468047</v>
      </c>
    </row>
    <row r="9" spans="1:12" ht="12.75">
      <c r="A9" s="2"/>
      <c r="C9" s="27" t="s">
        <v>10</v>
      </c>
      <c r="D9" s="99">
        <v>56000</v>
      </c>
      <c r="E9" s="99">
        <v>1093728.4</v>
      </c>
      <c r="F9" s="105">
        <v>19.530864285714287</v>
      </c>
      <c r="J9" s="323">
        <f t="shared" si="0"/>
        <v>-0.08735332464146023</v>
      </c>
      <c r="K9" s="323">
        <f t="shared" si="1"/>
        <v>-0.16077980921031185</v>
      </c>
      <c r="L9" s="323">
        <f t="shared" si="1"/>
        <v>-0.08045444809187004</v>
      </c>
    </row>
    <row r="10" spans="1:12" ht="12.75">
      <c r="A10" s="2"/>
      <c r="C10" s="27" t="s">
        <v>9</v>
      </c>
      <c r="D10" s="99">
        <v>59560</v>
      </c>
      <c r="E10" s="99">
        <v>1144170</v>
      </c>
      <c r="F10" s="105">
        <v>19.210376091336467</v>
      </c>
      <c r="J10" s="323">
        <f t="shared" si="0"/>
        <v>0.06357142857142857</v>
      </c>
      <c r="K10" s="323">
        <f t="shared" si="1"/>
        <v>0.04611894506899528</v>
      </c>
      <c r="L10" s="323">
        <f t="shared" si="1"/>
        <v>-0.016409319612764834</v>
      </c>
    </row>
    <row r="11" spans="1:12" ht="12.75">
      <c r="A11" s="2"/>
      <c r="C11" s="27" t="s">
        <v>8</v>
      </c>
      <c r="D11" s="99">
        <v>55620</v>
      </c>
      <c r="E11" s="99">
        <v>1115735.7</v>
      </c>
      <c r="F11" s="105">
        <v>20.059973031283707</v>
      </c>
      <c r="G11" s="61"/>
      <c r="J11" s="323">
        <f t="shared" si="0"/>
        <v>-0.0661517797179315</v>
      </c>
      <c r="K11" s="323">
        <f t="shared" si="1"/>
        <v>-0.02485146438029318</v>
      </c>
      <c r="L11" s="323">
        <f t="shared" si="1"/>
        <v>0.04422593997680206</v>
      </c>
    </row>
    <row r="12" spans="1:12" ht="12.75">
      <c r="A12" s="2"/>
      <c r="C12" s="27" t="s">
        <v>7</v>
      </c>
      <c r="D12" s="99">
        <v>63200</v>
      </c>
      <c r="E12" s="99">
        <v>1391378.2</v>
      </c>
      <c r="F12" s="105">
        <v>22.015477848101266</v>
      </c>
      <c r="J12" s="323">
        <f t="shared" si="0"/>
        <v>0.1362819129809421</v>
      </c>
      <c r="K12" s="323">
        <f t="shared" si="1"/>
        <v>0.2470499958009769</v>
      </c>
      <c r="L12" s="323">
        <f t="shared" si="1"/>
        <v>0.09748292351978398</v>
      </c>
    </row>
    <row r="13" spans="1:12" ht="12.75">
      <c r="A13" s="2"/>
      <c r="C13" s="27" t="s">
        <v>6</v>
      </c>
      <c r="D13" s="99">
        <v>54145</v>
      </c>
      <c r="E13" s="99">
        <v>834859.9</v>
      </c>
      <c r="F13" s="105">
        <v>15.41896574014221</v>
      </c>
      <c r="J13" s="323">
        <f t="shared" si="0"/>
        <v>-0.1432753164556962</v>
      </c>
      <c r="K13" s="323">
        <f t="shared" si="1"/>
        <v>-0.39997629688319103</v>
      </c>
      <c r="L13" s="323">
        <f t="shared" si="1"/>
        <v>-0.29963065773418923</v>
      </c>
    </row>
    <row r="14" spans="1:12" ht="12.75">
      <c r="A14" s="2"/>
      <c r="C14" s="27" t="s">
        <v>5</v>
      </c>
      <c r="D14" s="99">
        <v>55976</v>
      </c>
      <c r="E14" s="99">
        <v>965939.5</v>
      </c>
      <c r="F14" s="105">
        <v>17.25631520651708</v>
      </c>
      <c r="J14" s="323">
        <f t="shared" si="0"/>
        <v>0.03381660356450272</v>
      </c>
      <c r="K14" s="323">
        <f t="shared" si="1"/>
        <v>0.1570079003674748</v>
      </c>
      <c r="L14" s="323">
        <f t="shared" si="1"/>
        <v>0.11916165437682093</v>
      </c>
    </row>
    <row r="15" spans="1:12" ht="12.75">
      <c r="A15" s="2"/>
      <c r="C15" s="27" t="s">
        <v>4</v>
      </c>
      <c r="D15" s="99">
        <v>45078</v>
      </c>
      <c r="E15" s="99">
        <v>924548.1</v>
      </c>
      <c r="F15" s="105">
        <v>20.50996273126581</v>
      </c>
      <c r="J15" s="323">
        <f t="shared" si="0"/>
        <v>-0.19469058167786193</v>
      </c>
      <c r="K15" s="323">
        <f t="shared" si="1"/>
        <v>-0.04285092389326663</v>
      </c>
      <c r="L15" s="323">
        <f t="shared" si="1"/>
        <v>0.18854822051001624</v>
      </c>
    </row>
    <row r="16" spans="1:12" ht="12.75">
      <c r="A16" s="2"/>
      <c r="C16" s="27" t="s">
        <v>3</v>
      </c>
      <c r="D16" s="99">
        <v>50771</v>
      </c>
      <c r="E16" s="99">
        <v>1081349.2</v>
      </c>
      <c r="F16" s="105">
        <v>21.3</v>
      </c>
      <c r="J16" s="323">
        <f t="shared" si="0"/>
        <v>0.12629220462309773</v>
      </c>
      <c r="K16" s="323">
        <f t="shared" si="1"/>
        <v>0.1695975579853552</v>
      </c>
      <c r="L16" s="323">
        <f t="shared" si="1"/>
        <v>0.03851968329176157</v>
      </c>
    </row>
    <row r="17" spans="1:12" ht="12.75">
      <c r="A17" s="2"/>
      <c r="C17" s="27" t="s">
        <v>2</v>
      </c>
      <c r="D17" s="99">
        <v>53653</v>
      </c>
      <c r="E17" s="99">
        <v>1676444</v>
      </c>
      <c r="F17" s="105">
        <v>31.25</v>
      </c>
      <c r="J17" s="323">
        <f t="shared" si="0"/>
        <v>0.05676468850327943</v>
      </c>
      <c r="K17" s="323">
        <f t="shared" si="1"/>
        <v>0.5503262035982457</v>
      </c>
      <c r="L17" s="323">
        <f t="shared" si="1"/>
        <v>0.46713615023474175</v>
      </c>
    </row>
    <row r="18" spans="1:12" ht="12.75">
      <c r="A18" s="2"/>
      <c r="C18" s="27" t="s">
        <v>122</v>
      </c>
      <c r="D18" s="99">
        <v>41534</v>
      </c>
      <c r="E18" s="99">
        <v>1093452</v>
      </c>
      <c r="F18" s="105">
        <v>26.33</v>
      </c>
      <c r="G18" s="59"/>
      <c r="J18" s="323">
        <f t="shared" si="0"/>
        <v>-0.22587739734963563</v>
      </c>
      <c r="K18" s="323">
        <f t="shared" si="1"/>
        <v>-0.3477551293094192</v>
      </c>
      <c r="L18" s="323">
        <f t="shared" si="1"/>
        <v>-0.15744000000000005</v>
      </c>
    </row>
    <row r="19" spans="1:12" ht="12.75">
      <c r="A19" s="2"/>
      <c r="C19" s="27" t="s">
        <v>131</v>
      </c>
      <c r="D19" s="99">
        <v>49576</v>
      </c>
      <c r="E19" s="99">
        <v>1159022.1</v>
      </c>
      <c r="F19" s="105">
        <v>23.3786933193481</v>
      </c>
      <c r="G19" s="59"/>
      <c r="J19" s="323">
        <f t="shared" si="0"/>
        <v>0.19362450040930324</v>
      </c>
      <c r="K19" s="323">
        <f t="shared" si="1"/>
        <v>0.059966143918526</v>
      </c>
      <c r="L19" s="323">
        <f t="shared" si="1"/>
        <v>-0.1120891257368743</v>
      </c>
    </row>
    <row r="20" spans="1:12" ht="12.75" customHeight="1">
      <c r="A20" s="2"/>
      <c r="C20" s="27" t="s">
        <v>147</v>
      </c>
      <c r="D20" s="99">
        <v>48965</v>
      </c>
      <c r="E20" s="99">
        <f>+D20*F20</f>
        <v>1061324.9400000002</v>
      </c>
      <c r="F20" s="105">
        <v>21.675174920861842</v>
      </c>
      <c r="J20" s="323">
        <f t="shared" si="0"/>
        <v>-0.0123245118605777</v>
      </c>
      <c r="K20" s="323">
        <f t="shared" si="1"/>
        <v>-0.0842927498966585</v>
      </c>
      <c r="L20" s="323">
        <f t="shared" si="1"/>
        <v>-0.07286627936029394</v>
      </c>
    </row>
    <row r="21" spans="1:12" ht="12.75">
      <c r="A21" s="2"/>
      <c r="C21" s="27" t="s">
        <v>181</v>
      </c>
      <c r="D21" s="99">
        <v>50526.3379674093</v>
      </c>
      <c r="E21" s="99">
        <v>960502</v>
      </c>
      <c r="F21" s="105">
        <v>19.01</v>
      </c>
      <c r="G21" s="179"/>
      <c r="I21" s="213"/>
      <c r="J21" s="323">
        <f t="shared" si="0"/>
        <v>0.03188681644867357</v>
      </c>
      <c r="K21" s="323">
        <f t="shared" si="1"/>
        <v>-0.09499723995932872</v>
      </c>
      <c r="L21" s="323">
        <f t="shared" si="1"/>
        <v>-0.12295978835661772</v>
      </c>
    </row>
    <row r="22" spans="1:12" ht="12.75" customHeight="1">
      <c r="A22" s="2"/>
      <c r="C22" s="27" t="s">
        <v>211</v>
      </c>
      <c r="D22" s="99">
        <v>53485</v>
      </c>
      <c r="E22" s="99">
        <v>1166024.9</v>
      </c>
      <c r="F22" s="105">
        <v>21.8</v>
      </c>
      <c r="G22" s="179"/>
      <c r="J22" s="323">
        <f t="shared" si="0"/>
        <v>0.058556827025522944</v>
      </c>
      <c r="K22" s="323">
        <f t="shared" si="1"/>
        <v>0.21397446335353795</v>
      </c>
      <c r="L22" s="323">
        <f t="shared" si="1"/>
        <v>0.14676486059968433</v>
      </c>
    </row>
    <row r="23" spans="1:12" ht="12.75" customHeight="1">
      <c r="A23" s="2"/>
      <c r="C23" s="301" t="s">
        <v>264</v>
      </c>
      <c r="D23" s="99">
        <v>55009</v>
      </c>
      <c r="E23" s="300">
        <f>+D23*F23</f>
        <v>1199196.2</v>
      </c>
      <c r="F23" s="299">
        <f>+F22</f>
        <v>21.8</v>
      </c>
      <c r="G23" s="318"/>
      <c r="J23" s="323">
        <f>+(D23-D22)/D22</f>
        <v>0.02849397027203889</v>
      </c>
      <c r="K23" s="323">
        <f>+(E23-E22)/E22</f>
        <v>0.02844819180104992</v>
      </c>
      <c r="L23" s="323">
        <f>+(F23-F22)/F22</f>
        <v>0</v>
      </c>
    </row>
    <row r="24" spans="1:7" ht="12.75">
      <c r="A24" s="2"/>
      <c r="B24" s="180"/>
      <c r="C24" s="188" t="s">
        <v>135</v>
      </c>
      <c r="D24" s="187"/>
      <c r="E24" s="187"/>
      <c r="F24" s="187"/>
      <c r="G24" s="180"/>
    </row>
    <row r="25" spans="1:7" ht="26.25" customHeight="1">
      <c r="A25" s="2"/>
      <c r="B25" s="180"/>
      <c r="C25" s="369" t="s">
        <v>265</v>
      </c>
      <c r="D25" s="369"/>
      <c r="E25" s="369"/>
      <c r="F25" s="369"/>
      <c r="G25" s="180"/>
    </row>
    <row r="26" spans="1:8" ht="12.75">
      <c r="A26" s="2"/>
      <c r="C26" s="363"/>
      <c r="D26" s="363"/>
      <c r="E26" s="363"/>
      <c r="F26" s="363"/>
      <c r="G26" s="363"/>
      <c r="H26" s="363"/>
    </row>
    <row r="27" ht="12.75">
      <c r="G27" s="60"/>
    </row>
    <row r="33" ht="15">
      <c r="K33" s="324"/>
    </row>
    <row r="37" ht="12.75">
      <c r="I37" s="279"/>
    </row>
    <row r="45" spans="8:9" ht="12.75">
      <c r="H45" s="60"/>
      <c r="I45" s="196"/>
    </row>
    <row r="50" ht="12.75">
      <c r="B50" s="28"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5" width="6.8515625" style="22" customWidth="1"/>
    <col min="16" max="16" width="9.57421875" style="185" hidden="1" customWidth="1"/>
    <col min="17" max="17" width="10.57421875" style="185" hidden="1" customWidth="1"/>
    <col min="18" max="18" width="12.7109375" style="185" hidden="1" customWidth="1"/>
    <col min="19" max="19" width="9.57421875" style="185" hidden="1" customWidth="1"/>
    <col min="20" max="20" width="7.8515625" style="185" hidden="1" customWidth="1"/>
    <col min="21" max="21" width="7.421875" style="185" hidden="1" customWidth="1"/>
    <col min="22" max="22" width="12.8515625" style="185" hidden="1" customWidth="1"/>
    <col min="23" max="23" width="8.7109375" style="185" hidden="1" customWidth="1"/>
    <col min="24" max="24" width="10.28125" style="185" hidden="1" customWidth="1"/>
    <col min="25" max="16384" width="15.8515625" style="22" customWidth="1"/>
  </cols>
  <sheetData>
    <row r="1" ht="6" customHeight="1"/>
    <row r="2" spans="2:14" ht="12.75">
      <c r="B2" s="351" t="s">
        <v>107</v>
      </c>
      <c r="C2" s="351"/>
      <c r="D2" s="351"/>
      <c r="E2" s="351"/>
      <c r="F2" s="351"/>
      <c r="G2" s="351"/>
      <c r="H2" s="351"/>
      <c r="I2" s="351"/>
      <c r="J2" s="351"/>
      <c r="K2" s="351"/>
      <c r="L2" s="351"/>
      <c r="M2" s="119"/>
      <c r="N2" s="52" t="s">
        <v>153</v>
      </c>
    </row>
    <row r="3" spans="2:13" ht="12.75" customHeight="1">
      <c r="B3" s="351" t="s">
        <v>49</v>
      </c>
      <c r="C3" s="351"/>
      <c r="D3" s="351"/>
      <c r="E3" s="351"/>
      <c r="F3" s="351"/>
      <c r="G3" s="351"/>
      <c r="H3" s="351"/>
      <c r="I3" s="351"/>
      <c r="J3" s="351"/>
      <c r="K3" s="351"/>
      <c r="L3" s="351"/>
      <c r="M3" s="119"/>
    </row>
    <row r="4" spans="2:13" ht="12.75">
      <c r="B4" s="351" t="s">
        <v>27</v>
      </c>
      <c r="C4" s="351"/>
      <c r="D4" s="351"/>
      <c r="E4" s="351"/>
      <c r="F4" s="351"/>
      <c r="G4" s="351"/>
      <c r="H4" s="351"/>
      <c r="I4" s="351"/>
      <c r="J4" s="351"/>
      <c r="K4" s="351"/>
      <c r="L4" s="351"/>
      <c r="M4" s="119"/>
    </row>
    <row r="5" spans="2:11" ht="12.75">
      <c r="B5" s="2"/>
      <c r="C5" s="2"/>
      <c r="D5" s="2"/>
      <c r="E5" s="2"/>
      <c r="F5" s="2"/>
      <c r="G5" s="2"/>
      <c r="H5" s="2"/>
      <c r="I5" s="2"/>
      <c r="J5" s="57"/>
      <c r="K5" s="2"/>
    </row>
    <row r="6" spans="2:13" ht="12.75">
      <c r="B6" s="370" t="s">
        <v>13</v>
      </c>
      <c r="C6" s="78" t="s">
        <v>24</v>
      </c>
      <c r="D6" s="78" t="s">
        <v>24</v>
      </c>
      <c r="E6" s="78" t="s">
        <v>26</v>
      </c>
      <c r="F6" s="78" t="s">
        <v>24</v>
      </c>
      <c r="G6" s="78" t="s">
        <v>25</v>
      </c>
      <c r="H6" s="78" t="s">
        <v>25</v>
      </c>
      <c r="I6" s="78" t="s">
        <v>24</v>
      </c>
      <c r="J6" s="78" t="s">
        <v>24</v>
      </c>
      <c r="K6" s="78" t="s">
        <v>24</v>
      </c>
      <c r="L6" s="78" t="s">
        <v>159</v>
      </c>
      <c r="M6" s="140"/>
    </row>
    <row r="7" spans="2:24" ht="12.75">
      <c r="B7" s="371"/>
      <c r="C7" s="79" t="s">
        <v>23</v>
      </c>
      <c r="D7" s="79" t="s">
        <v>22</v>
      </c>
      <c r="E7" s="79" t="s">
        <v>21</v>
      </c>
      <c r="F7" s="79" t="s">
        <v>20</v>
      </c>
      <c r="G7" s="79" t="s">
        <v>19</v>
      </c>
      <c r="H7" s="79" t="s">
        <v>18</v>
      </c>
      <c r="I7" s="79" t="s">
        <v>17</v>
      </c>
      <c r="J7" s="79" t="s">
        <v>16</v>
      </c>
      <c r="K7" s="79" t="s">
        <v>15</v>
      </c>
      <c r="L7" s="79" t="s">
        <v>160</v>
      </c>
      <c r="M7" s="140"/>
      <c r="P7" s="284" t="str">
        <f>+C7</f>
        <v>Coquimbo</v>
      </c>
      <c r="Q7" s="284" t="str">
        <f aca="true" t="shared" si="0" ref="Q7:V7">+D7</f>
        <v>Valparaíso</v>
      </c>
      <c r="R7" s="284" t="str">
        <f t="shared" si="0"/>
        <v>Metropolitana</v>
      </c>
      <c r="S7" s="284" t="str">
        <f t="shared" si="0"/>
        <v>O´Higgins</v>
      </c>
      <c r="T7" s="284" t="str">
        <f t="shared" si="0"/>
        <v>Maule</v>
      </c>
      <c r="U7" s="284" t="str">
        <f t="shared" si="0"/>
        <v>Bío Bío</v>
      </c>
      <c r="V7" s="284" t="str">
        <f t="shared" si="0"/>
        <v>La Araucanía</v>
      </c>
      <c r="W7" s="284" t="str">
        <f>+J7</f>
        <v>Los Ríos</v>
      </c>
      <c r="X7" s="284" t="str">
        <f>+K7</f>
        <v>Los Lagos</v>
      </c>
    </row>
    <row r="8" spans="2:13" ht="12.75">
      <c r="B8" s="81" t="s">
        <v>11</v>
      </c>
      <c r="C8" s="80">
        <v>5960</v>
      </c>
      <c r="D8" s="80">
        <v>1480</v>
      </c>
      <c r="E8" s="80">
        <v>4280</v>
      </c>
      <c r="F8" s="80">
        <v>2960</v>
      </c>
      <c r="G8" s="80">
        <v>4170</v>
      </c>
      <c r="H8" s="80">
        <v>5240</v>
      </c>
      <c r="I8" s="80">
        <v>18030</v>
      </c>
      <c r="J8" s="81"/>
      <c r="K8" s="80">
        <v>17930</v>
      </c>
      <c r="L8" s="80"/>
      <c r="M8" s="80"/>
    </row>
    <row r="9" spans="2:24" ht="12.75">
      <c r="B9" s="81" t="s">
        <v>10</v>
      </c>
      <c r="C9" s="80">
        <v>5420</v>
      </c>
      <c r="D9" s="80">
        <v>1190</v>
      </c>
      <c r="E9" s="80">
        <v>4090</v>
      </c>
      <c r="F9" s="80">
        <v>3140</v>
      </c>
      <c r="G9" s="80">
        <v>3850</v>
      </c>
      <c r="H9" s="80">
        <v>5690</v>
      </c>
      <c r="I9" s="80">
        <v>15000</v>
      </c>
      <c r="J9" s="81"/>
      <c r="K9" s="80">
        <v>16310</v>
      </c>
      <c r="L9" s="80"/>
      <c r="M9" s="80"/>
      <c r="P9" s="222">
        <f aca="true" t="shared" si="1" ref="P9:P21">+C9/C8-1</f>
        <v>-0.09060402684563762</v>
      </c>
      <c r="Q9" s="222">
        <f aca="true" t="shared" si="2" ref="Q9:Q21">+D9/D8-1</f>
        <v>-0.19594594594594594</v>
      </c>
      <c r="R9" s="222">
        <f aca="true" t="shared" si="3" ref="R9:R21">+E9/E8-1</f>
        <v>-0.04439252336448596</v>
      </c>
      <c r="S9" s="222">
        <f aca="true" t="shared" si="4" ref="S9:S21">+F9/F8-1</f>
        <v>0.060810810810810745</v>
      </c>
      <c r="T9" s="222">
        <f aca="true" t="shared" si="5" ref="T9:T21">+G9/G8-1</f>
        <v>-0.0767386091127098</v>
      </c>
      <c r="U9" s="222">
        <f aca="true" t="shared" si="6" ref="U9:U21">+H9/H8-1</f>
        <v>0.08587786259541974</v>
      </c>
      <c r="V9" s="222">
        <f aca="true" t="shared" si="7" ref="V9:V21">+I9/I8-1</f>
        <v>-0.16805324459234605</v>
      </c>
      <c r="W9" s="222" t="e">
        <f aca="true" t="shared" si="8" ref="W9:W21">+J9/J8-1</f>
        <v>#DIV/0!</v>
      </c>
      <c r="X9" s="222">
        <f aca="true" t="shared" si="9" ref="X9:X21">+K9/K8-1</f>
        <v>-0.09035136642498609</v>
      </c>
    </row>
    <row r="10" spans="2:24" ht="12.75">
      <c r="B10" s="81" t="s">
        <v>9</v>
      </c>
      <c r="C10" s="80">
        <v>5400</v>
      </c>
      <c r="D10" s="80">
        <v>1200</v>
      </c>
      <c r="E10" s="80">
        <v>4000</v>
      </c>
      <c r="F10" s="80">
        <v>3450</v>
      </c>
      <c r="G10" s="80">
        <v>3800</v>
      </c>
      <c r="H10" s="80">
        <v>6400</v>
      </c>
      <c r="I10" s="80">
        <v>16800</v>
      </c>
      <c r="J10" s="81"/>
      <c r="K10" s="80">
        <v>17200</v>
      </c>
      <c r="L10" s="80"/>
      <c r="M10" s="80"/>
      <c r="N10" s="58"/>
      <c r="P10" s="222">
        <f t="shared" si="1"/>
        <v>-0.0036900369003689537</v>
      </c>
      <c r="Q10" s="222">
        <f t="shared" si="2"/>
        <v>0.008403361344537785</v>
      </c>
      <c r="R10" s="222">
        <f t="shared" si="3"/>
        <v>-0.022004889975550168</v>
      </c>
      <c r="S10" s="222">
        <f t="shared" si="4"/>
        <v>0.09872611464968162</v>
      </c>
      <c r="T10" s="222">
        <f t="shared" si="5"/>
        <v>-0.012987012987012991</v>
      </c>
      <c r="U10" s="222">
        <f t="shared" si="6"/>
        <v>0.12478031634446407</v>
      </c>
      <c r="V10" s="222">
        <f t="shared" si="7"/>
        <v>0.1200000000000001</v>
      </c>
      <c r="W10" s="222" t="e">
        <f t="shared" si="8"/>
        <v>#DIV/0!</v>
      </c>
      <c r="X10" s="222">
        <f t="shared" si="9"/>
        <v>0.05456774984671986</v>
      </c>
    </row>
    <row r="11" spans="2:24" ht="12.75">
      <c r="B11" s="81" t="s">
        <v>8</v>
      </c>
      <c r="C11" s="80">
        <v>4960</v>
      </c>
      <c r="D11" s="80">
        <v>1550</v>
      </c>
      <c r="E11" s="80">
        <v>3260</v>
      </c>
      <c r="F11" s="80">
        <v>2820</v>
      </c>
      <c r="G11" s="80">
        <v>2800</v>
      </c>
      <c r="H11" s="80">
        <v>6290</v>
      </c>
      <c r="I11" s="80">
        <v>15620</v>
      </c>
      <c r="J11" s="81"/>
      <c r="K11" s="80">
        <v>17010</v>
      </c>
      <c r="L11" s="80"/>
      <c r="M11" s="80"/>
      <c r="N11" s="58"/>
      <c r="P11" s="222">
        <f t="shared" si="1"/>
        <v>-0.08148148148148149</v>
      </c>
      <c r="Q11" s="222">
        <f t="shared" si="2"/>
        <v>0.29166666666666674</v>
      </c>
      <c r="R11" s="222">
        <f t="shared" si="3"/>
        <v>-0.18500000000000005</v>
      </c>
      <c r="S11" s="222">
        <f t="shared" si="4"/>
        <v>-0.18260869565217386</v>
      </c>
      <c r="T11" s="222">
        <f t="shared" si="5"/>
        <v>-0.26315789473684215</v>
      </c>
      <c r="U11" s="222">
        <f t="shared" si="6"/>
        <v>-0.017187500000000022</v>
      </c>
      <c r="V11" s="222">
        <f t="shared" si="7"/>
        <v>-0.07023809523809521</v>
      </c>
      <c r="W11" s="222" t="e">
        <f t="shared" si="8"/>
        <v>#DIV/0!</v>
      </c>
      <c r="X11" s="222">
        <f t="shared" si="9"/>
        <v>-0.01104651162790693</v>
      </c>
    </row>
    <row r="12" spans="2:24" ht="12.75">
      <c r="B12" s="81" t="s">
        <v>7</v>
      </c>
      <c r="C12" s="80">
        <v>5590</v>
      </c>
      <c r="D12" s="80">
        <v>1870</v>
      </c>
      <c r="E12" s="80">
        <v>4000</v>
      </c>
      <c r="F12" s="80">
        <v>3410</v>
      </c>
      <c r="G12" s="80">
        <v>3740</v>
      </c>
      <c r="H12" s="80">
        <v>6600</v>
      </c>
      <c r="I12" s="80">
        <v>17980</v>
      </c>
      <c r="J12" s="81"/>
      <c r="K12" s="80">
        <v>18700</v>
      </c>
      <c r="L12" s="80"/>
      <c r="M12" s="80"/>
      <c r="N12" s="58"/>
      <c r="P12" s="222">
        <f t="shared" si="1"/>
        <v>0.127016129032258</v>
      </c>
      <c r="Q12" s="222">
        <f t="shared" si="2"/>
        <v>0.2064516129032259</v>
      </c>
      <c r="R12" s="222">
        <f t="shared" si="3"/>
        <v>0.22699386503067487</v>
      </c>
      <c r="S12" s="222">
        <f t="shared" si="4"/>
        <v>0.20921985815602828</v>
      </c>
      <c r="T12" s="222">
        <f t="shared" si="5"/>
        <v>0.33571428571428563</v>
      </c>
      <c r="U12" s="222">
        <f t="shared" si="6"/>
        <v>0.049284578696343395</v>
      </c>
      <c r="V12" s="222">
        <f t="shared" si="7"/>
        <v>0.1510883482714469</v>
      </c>
      <c r="W12" s="222" t="e">
        <f t="shared" si="8"/>
        <v>#DIV/0!</v>
      </c>
      <c r="X12" s="222">
        <f t="shared" si="9"/>
        <v>0.09935332157554377</v>
      </c>
    </row>
    <row r="13" spans="2:24" ht="12.75">
      <c r="B13" s="81" t="s">
        <v>6</v>
      </c>
      <c r="C13" s="82">
        <v>3236.8</v>
      </c>
      <c r="D13" s="82">
        <v>2184.18</v>
      </c>
      <c r="E13" s="82">
        <v>5236.7</v>
      </c>
      <c r="F13" s="82">
        <v>1711.1</v>
      </c>
      <c r="G13" s="82">
        <v>3368.74</v>
      </c>
      <c r="H13" s="82">
        <v>8440.58</v>
      </c>
      <c r="I13" s="82">
        <v>14058.9</v>
      </c>
      <c r="J13" s="82">
        <v>3971.3</v>
      </c>
      <c r="K13" s="82">
        <v>11228.6</v>
      </c>
      <c r="L13" s="82"/>
      <c r="M13" s="82"/>
      <c r="N13" s="58"/>
      <c r="P13" s="222">
        <f t="shared" si="1"/>
        <v>-0.4209660107334525</v>
      </c>
      <c r="Q13" s="222">
        <f t="shared" si="2"/>
        <v>0.1680106951871656</v>
      </c>
      <c r="R13" s="222">
        <f t="shared" si="3"/>
        <v>0.309175</v>
      </c>
      <c r="S13" s="222">
        <f t="shared" si="4"/>
        <v>-0.49821114369501474</v>
      </c>
      <c r="T13" s="222">
        <f t="shared" si="5"/>
        <v>-0.09926737967914445</v>
      </c>
      <c r="U13" s="222">
        <f t="shared" si="6"/>
        <v>0.27887575757575767</v>
      </c>
      <c r="V13" s="222">
        <f t="shared" si="7"/>
        <v>-0.21808120133481645</v>
      </c>
      <c r="W13" s="222" t="e">
        <f t="shared" si="8"/>
        <v>#DIV/0!</v>
      </c>
      <c r="X13" s="222">
        <f t="shared" si="9"/>
        <v>-0.3995401069518716</v>
      </c>
    </row>
    <row r="14" spans="2:24" ht="12.75">
      <c r="B14" s="81" t="s">
        <v>5</v>
      </c>
      <c r="C14" s="80">
        <v>3520</v>
      </c>
      <c r="D14" s="80">
        <v>2040</v>
      </c>
      <c r="E14" s="80">
        <v>5610</v>
      </c>
      <c r="F14" s="80">
        <v>1570</v>
      </c>
      <c r="G14" s="80">
        <v>3430</v>
      </c>
      <c r="H14" s="80">
        <v>8100</v>
      </c>
      <c r="I14" s="80">
        <v>14800</v>
      </c>
      <c r="J14" s="80">
        <v>4240</v>
      </c>
      <c r="K14" s="80">
        <v>11960</v>
      </c>
      <c r="L14" s="80"/>
      <c r="M14" s="80"/>
      <c r="P14" s="222">
        <f t="shared" si="1"/>
        <v>0.08749382105783488</v>
      </c>
      <c r="Q14" s="222">
        <f t="shared" si="2"/>
        <v>-0.06601104304590277</v>
      </c>
      <c r="R14" s="222">
        <f t="shared" si="3"/>
        <v>0.0712853514617986</v>
      </c>
      <c r="S14" s="222">
        <f t="shared" si="4"/>
        <v>-0.08246157442580793</v>
      </c>
      <c r="T14" s="222">
        <f t="shared" si="5"/>
        <v>0.018184840622903486</v>
      </c>
      <c r="U14" s="222">
        <f t="shared" si="6"/>
        <v>-0.04035030768027792</v>
      </c>
      <c r="V14" s="222">
        <f t="shared" si="7"/>
        <v>0.05271393921288303</v>
      </c>
      <c r="W14" s="222">
        <f t="shared" si="8"/>
        <v>0.06766046382796564</v>
      </c>
      <c r="X14" s="222">
        <f t="shared" si="9"/>
        <v>0.06513723883654232</v>
      </c>
    </row>
    <row r="15" spans="2:24" ht="12.75">
      <c r="B15" s="81" t="s">
        <v>4</v>
      </c>
      <c r="C15" s="80">
        <v>2996</v>
      </c>
      <c r="D15" s="80">
        <v>606</v>
      </c>
      <c r="E15" s="80">
        <v>2760</v>
      </c>
      <c r="F15" s="80">
        <v>259</v>
      </c>
      <c r="G15" s="80">
        <v>2183</v>
      </c>
      <c r="H15" s="80">
        <v>7025</v>
      </c>
      <c r="I15" s="80">
        <v>13473</v>
      </c>
      <c r="J15" s="80">
        <v>4567</v>
      </c>
      <c r="K15" s="80">
        <v>10522</v>
      </c>
      <c r="L15" s="80"/>
      <c r="M15" s="80"/>
      <c r="P15" s="222">
        <f t="shared" si="1"/>
        <v>-0.1488636363636363</v>
      </c>
      <c r="Q15" s="222">
        <f t="shared" si="2"/>
        <v>-0.7029411764705882</v>
      </c>
      <c r="R15" s="222">
        <f t="shared" si="3"/>
        <v>-0.5080213903743316</v>
      </c>
      <c r="S15" s="222">
        <f t="shared" si="4"/>
        <v>-0.835031847133758</v>
      </c>
      <c r="T15" s="222">
        <f t="shared" si="5"/>
        <v>-0.36355685131195337</v>
      </c>
      <c r="U15" s="222">
        <f t="shared" si="6"/>
        <v>-0.13271604938271608</v>
      </c>
      <c r="V15" s="222">
        <f t="shared" si="7"/>
        <v>-0.08966216216216216</v>
      </c>
      <c r="W15" s="222">
        <f t="shared" si="8"/>
        <v>0.07712264150943393</v>
      </c>
      <c r="X15" s="222">
        <f t="shared" si="9"/>
        <v>-0.12023411371237458</v>
      </c>
    </row>
    <row r="16" spans="2:24" ht="12.75">
      <c r="B16" s="81" t="s">
        <v>3</v>
      </c>
      <c r="C16" s="80">
        <v>3421</v>
      </c>
      <c r="D16" s="80">
        <v>447</v>
      </c>
      <c r="E16" s="80">
        <v>3493</v>
      </c>
      <c r="F16" s="80">
        <v>1981</v>
      </c>
      <c r="G16" s="80">
        <v>4589</v>
      </c>
      <c r="H16" s="80">
        <v>8958</v>
      </c>
      <c r="I16" s="80">
        <v>16756</v>
      </c>
      <c r="J16" s="80">
        <v>3767</v>
      </c>
      <c r="K16" s="80">
        <v>6672</v>
      </c>
      <c r="L16" s="80"/>
      <c r="M16" s="80"/>
      <c r="N16" s="58"/>
      <c r="P16" s="222">
        <f t="shared" si="1"/>
        <v>0.14185580774365825</v>
      </c>
      <c r="Q16" s="222">
        <f t="shared" si="2"/>
        <v>-0.2623762376237624</v>
      </c>
      <c r="R16" s="222">
        <f t="shared" si="3"/>
        <v>0.26557971014492754</v>
      </c>
      <c r="S16" s="222">
        <f t="shared" si="4"/>
        <v>6.648648648648648</v>
      </c>
      <c r="T16" s="222">
        <f t="shared" si="5"/>
        <v>1.102153000458085</v>
      </c>
      <c r="U16" s="222">
        <f t="shared" si="6"/>
        <v>0.2751601423487544</v>
      </c>
      <c r="V16" s="222">
        <f t="shared" si="7"/>
        <v>0.2436725302456766</v>
      </c>
      <c r="W16" s="222">
        <f t="shared" si="8"/>
        <v>-0.17516969564265383</v>
      </c>
      <c r="X16" s="222">
        <f t="shared" si="9"/>
        <v>-0.36590001900779323</v>
      </c>
    </row>
    <row r="17" spans="2:24" ht="12.75">
      <c r="B17" s="81" t="s">
        <v>2</v>
      </c>
      <c r="C17" s="80">
        <v>3208</v>
      </c>
      <c r="D17" s="80">
        <v>1493</v>
      </c>
      <c r="E17" s="80">
        <v>3750</v>
      </c>
      <c r="F17" s="80">
        <v>887</v>
      </c>
      <c r="G17" s="80">
        <v>4584</v>
      </c>
      <c r="H17" s="80">
        <v>9385</v>
      </c>
      <c r="I17" s="80">
        <v>17757</v>
      </c>
      <c r="J17" s="80">
        <v>3839</v>
      </c>
      <c r="K17" s="80">
        <v>8063</v>
      </c>
      <c r="L17" s="80"/>
      <c r="M17" s="80"/>
      <c r="N17" s="58"/>
      <c r="P17" s="222">
        <f t="shared" si="1"/>
        <v>-0.062262496346097596</v>
      </c>
      <c r="Q17" s="222">
        <f t="shared" si="2"/>
        <v>2.3400447427293063</v>
      </c>
      <c r="R17" s="222">
        <f t="shared" si="3"/>
        <v>0.07357572287432013</v>
      </c>
      <c r="S17" s="222">
        <f t="shared" si="4"/>
        <v>-0.552246340232206</v>
      </c>
      <c r="T17" s="222">
        <f t="shared" si="5"/>
        <v>-0.0010895619960775704</v>
      </c>
      <c r="U17" s="222">
        <f t="shared" si="6"/>
        <v>0.04766688993078816</v>
      </c>
      <c r="V17" s="222">
        <f t="shared" si="7"/>
        <v>0.05973979470040591</v>
      </c>
      <c r="W17" s="222">
        <f t="shared" si="8"/>
        <v>0.019113352800637085</v>
      </c>
      <c r="X17" s="222">
        <f t="shared" si="9"/>
        <v>0.2084832134292567</v>
      </c>
    </row>
    <row r="18" spans="2:25" ht="12.75">
      <c r="B18" s="81" t="s">
        <v>122</v>
      </c>
      <c r="C18" s="80">
        <v>1865</v>
      </c>
      <c r="D18" s="80">
        <v>1421</v>
      </c>
      <c r="E18" s="80">
        <v>3607</v>
      </c>
      <c r="F18" s="80">
        <v>1681</v>
      </c>
      <c r="G18" s="80">
        <v>2080</v>
      </c>
      <c r="H18" s="80">
        <v>5998</v>
      </c>
      <c r="I18" s="80">
        <v>10383</v>
      </c>
      <c r="J18" s="80">
        <v>3393</v>
      </c>
      <c r="K18" s="80">
        <v>10419</v>
      </c>
      <c r="L18" s="80">
        <v>687</v>
      </c>
      <c r="M18" s="80"/>
      <c r="N18" s="58"/>
      <c r="P18" s="222">
        <f t="shared" si="1"/>
        <v>-0.418640897755611</v>
      </c>
      <c r="Q18" s="222">
        <f t="shared" si="2"/>
        <v>-0.04822505023442736</v>
      </c>
      <c r="R18" s="222">
        <f t="shared" si="3"/>
        <v>-0.03813333333333335</v>
      </c>
      <c r="S18" s="222">
        <f t="shared" si="4"/>
        <v>0.895152198421646</v>
      </c>
      <c r="T18" s="222">
        <f t="shared" si="5"/>
        <v>-0.5462478184991274</v>
      </c>
      <c r="U18" s="222">
        <f t="shared" si="6"/>
        <v>-0.36089504528502925</v>
      </c>
      <c r="V18" s="222">
        <f t="shared" si="7"/>
        <v>-0.4152728501436054</v>
      </c>
      <c r="W18" s="222">
        <f t="shared" si="8"/>
        <v>-0.1161760875227924</v>
      </c>
      <c r="X18" s="222">
        <f t="shared" si="9"/>
        <v>0.292198933399479</v>
      </c>
      <c r="Y18" s="158"/>
    </row>
    <row r="19" spans="2:24" ht="12.75">
      <c r="B19" s="81" t="s">
        <v>131</v>
      </c>
      <c r="C19" s="80">
        <v>2546</v>
      </c>
      <c r="D19" s="80">
        <v>1103</v>
      </c>
      <c r="E19" s="80">
        <v>5104</v>
      </c>
      <c r="F19" s="80">
        <v>942</v>
      </c>
      <c r="G19" s="80">
        <v>3017</v>
      </c>
      <c r="H19" s="80">
        <v>8372</v>
      </c>
      <c r="I19" s="80">
        <v>14459</v>
      </c>
      <c r="J19" s="80">
        <v>3334</v>
      </c>
      <c r="K19" s="80">
        <v>10012</v>
      </c>
      <c r="L19" s="80">
        <v>687</v>
      </c>
      <c r="M19" s="80"/>
      <c r="N19" s="58"/>
      <c r="P19" s="222">
        <f t="shared" si="1"/>
        <v>0.36514745308311003</v>
      </c>
      <c r="Q19" s="222">
        <f t="shared" si="2"/>
        <v>-0.22378606615059815</v>
      </c>
      <c r="R19" s="222">
        <f t="shared" si="3"/>
        <v>0.4150263376767396</v>
      </c>
      <c r="S19" s="222">
        <f t="shared" si="4"/>
        <v>-0.4396192742415229</v>
      </c>
      <c r="T19" s="222">
        <f t="shared" si="5"/>
        <v>0.4504807692307693</v>
      </c>
      <c r="U19" s="222">
        <f t="shared" si="6"/>
        <v>0.39579859953317764</v>
      </c>
      <c r="V19" s="222">
        <f t="shared" si="7"/>
        <v>0.39256476933448914</v>
      </c>
      <c r="W19" s="222">
        <f t="shared" si="8"/>
        <v>-0.01738874152667258</v>
      </c>
      <c r="X19" s="222">
        <f t="shared" si="9"/>
        <v>-0.03906324983203757</v>
      </c>
    </row>
    <row r="20" spans="2:24" ht="12.75">
      <c r="B20" s="81" t="s">
        <v>147</v>
      </c>
      <c r="C20" s="80">
        <v>2197</v>
      </c>
      <c r="D20" s="80">
        <v>1480</v>
      </c>
      <c r="E20" s="80">
        <v>3299</v>
      </c>
      <c r="F20" s="80">
        <v>1394</v>
      </c>
      <c r="G20" s="80">
        <v>3557</v>
      </c>
      <c r="H20" s="80">
        <v>8532</v>
      </c>
      <c r="I20" s="80">
        <v>13054</v>
      </c>
      <c r="J20" s="80">
        <v>4007</v>
      </c>
      <c r="K20" s="80">
        <v>10758</v>
      </c>
      <c r="L20" s="80">
        <v>687</v>
      </c>
      <c r="M20" s="80"/>
      <c r="N20" s="58"/>
      <c r="P20" s="222">
        <f t="shared" si="1"/>
        <v>-0.13707776904948943</v>
      </c>
      <c r="Q20" s="222">
        <f t="shared" si="2"/>
        <v>0.34179510426110604</v>
      </c>
      <c r="R20" s="222">
        <f t="shared" si="3"/>
        <v>-0.3536442006269592</v>
      </c>
      <c r="S20" s="222">
        <f t="shared" si="4"/>
        <v>0.47983014861995743</v>
      </c>
      <c r="T20" s="222">
        <f t="shared" si="5"/>
        <v>0.17898574743122309</v>
      </c>
      <c r="U20" s="222">
        <f t="shared" si="6"/>
        <v>0.019111323459149565</v>
      </c>
      <c r="V20" s="222">
        <f t="shared" si="7"/>
        <v>-0.09717131198561446</v>
      </c>
      <c r="W20" s="222">
        <f t="shared" si="8"/>
        <v>0.20185962807438518</v>
      </c>
      <c r="X20" s="222">
        <f t="shared" si="9"/>
        <v>0.07451058729524562</v>
      </c>
    </row>
    <row r="21" spans="2:24" ht="12.75">
      <c r="B21" s="81" t="s">
        <v>181</v>
      </c>
      <c r="C21" s="80">
        <v>1874.8517657009927</v>
      </c>
      <c r="D21" s="80">
        <v>1451.319986235742</v>
      </c>
      <c r="E21" s="80">
        <v>4939.809486900715</v>
      </c>
      <c r="F21" s="80">
        <v>2047.895051547505</v>
      </c>
      <c r="G21" s="80">
        <v>3593.539657032328</v>
      </c>
      <c r="H21" s="80">
        <v>8685.459966446108</v>
      </c>
      <c r="I21" s="80">
        <v>16788.425585779605</v>
      </c>
      <c r="J21" s="80">
        <v>3490.6066401256444</v>
      </c>
      <c r="K21" s="80">
        <v>6967.429827640695</v>
      </c>
      <c r="L21" s="80">
        <v>687</v>
      </c>
      <c r="M21" s="80"/>
      <c r="N21" s="58"/>
      <c r="P21" s="222">
        <f t="shared" si="1"/>
        <v>-0.14663096690897015</v>
      </c>
      <c r="Q21" s="222">
        <f t="shared" si="2"/>
        <v>-0.01937838767855271</v>
      </c>
      <c r="R21" s="222">
        <f t="shared" si="3"/>
        <v>0.4973657129132205</v>
      </c>
      <c r="S21" s="222">
        <f t="shared" si="4"/>
        <v>0.469078229230635</v>
      </c>
      <c r="T21" s="222">
        <f t="shared" si="5"/>
        <v>0.010272605294441295</v>
      </c>
      <c r="U21" s="222">
        <f t="shared" si="6"/>
        <v>0.017986400192933294</v>
      </c>
      <c r="V21" s="222">
        <f t="shared" si="7"/>
        <v>0.28607519425307215</v>
      </c>
      <c r="W21" s="222">
        <f t="shared" si="8"/>
        <v>-0.1288728125466323</v>
      </c>
      <c r="X21" s="222">
        <f t="shared" si="9"/>
        <v>-0.352348965640389</v>
      </c>
    </row>
    <row r="22" spans="2:24" ht="12.75">
      <c r="B22" s="117" t="s">
        <v>211</v>
      </c>
      <c r="C22" s="83">
        <v>2244</v>
      </c>
      <c r="D22" s="83">
        <v>776</v>
      </c>
      <c r="E22" s="83">
        <v>4449</v>
      </c>
      <c r="F22" s="83">
        <v>2251</v>
      </c>
      <c r="G22" s="83">
        <v>5243</v>
      </c>
      <c r="H22" s="83">
        <v>8946</v>
      </c>
      <c r="I22" s="83">
        <v>14976</v>
      </c>
      <c r="J22" s="83">
        <v>3369</v>
      </c>
      <c r="K22" s="83">
        <v>10544</v>
      </c>
      <c r="L22" s="83">
        <v>687</v>
      </c>
      <c r="M22" s="80"/>
      <c r="N22" s="182"/>
      <c r="P22" s="222">
        <f aca="true" t="shared" si="10" ref="P22:X22">+C22/C21-1</f>
        <v>0.19689462444567485</v>
      </c>
      <c r="Q22" s="222">
        <f t="shared" si="10"/>
        <v>-0.4653143294658989</v>
      </c>
      <c r="R22" s="222">
        <f t="shared" si="10"/>
        <v>-0.0993579789265625</v>
      </c>
      <c r="S22" s="222">
        <f t="shared" si="10"/>
        <v>0.09917742039516009</v>
      </c>
      <c r="T22" s="222">
        <f t="shared" si="10"/>
        <v>0.4590071351347922</v>
      </c>
      <c r="U22" s="222">
        <f t="shared" si="10"/>
        <v>0.0299972637673096</v>
      </c>
      <c r="V22" s="222">
        <f t="shared" si="10"/>
        <v>-0.10795685256601995</v>
      </c>
      <c r="W22" s="222">
        <f t="shared" si="10"/>
        <v>-0.03483825382319994</v>
      </c>
      <c r="X22" s="222">
        <f t="shared" si="10"/>
        <v>0.5133270461039432</v>
      </c>
    </row>
    <row r="23" spans="2:14" ht="12.75">
      <c r="B23" s="29" t="s">
        <v>136</v>
      </c>
      <c r="M23" s="80"/>
      <c r="N23" s="58"/>
    </row>
    <row r="25" spans="14:23" ht="12.75">
      <c r="N25" s="58"/>
      <c r="Q25" s="222">
        <f>+(K22+J22+I22+H22)/SUM(C22:L22)</f>
        <v>0.7073945966158736</v>
      </c>
      <c r="R25" s="285"/>
      <c r="S25" s="285"/>
      <c r="T25" s="285"/>
      <c r="U25" s="285"/>
      <c r="V25" s="285"/>
      <c r="W25" s="285"/>
    </row>
    <row r="45" ht="12.75">
      <c r="B45" s="29" t="s">
        <v>136</v>
      </c>
    </row>
    <row r="46" ht="12.75">
      <c r="B46" s="159" t="s">
        <v>135</v>
      </c>
    </row>
    <row r="47" spans="3:12" ht="12.75">
      <c r="C47" s="184"/>
      <c r="D47" s="184"/>
      <c r="E47" s="184"/>
      <c r="F47" s="184"/>
      <c r="G47" s="184"/>
      <c r="H47" s="184"/>
      <c r="I47" s="184"/>
      <c r="J47" s="184"/>
      <c r="K47" s="184"/>
      <c r="L47" s="184"/>
    </row>
    <row r="49" spans="3:13" ht="12.75">
      <c r="C49" s="158"/>
      <c r="D49" s="158"/>
      <c r="E49" s="158"/>
      <c r="F49" s="158"/>
      <c r="G49" s="158"/>
      <c r="H49" s="158"/>
      <c r="I49" s="158"/>
      <c r="J49" s="158"/>
      <c r="K49" s="158"/>
      <c r="L49" s="158"/>
      <c r="M49" s="158"/>
    </row>
    <row r="50" spans="3:13" s="185" customFormat="1" ht="12.75" hidden="1">
      <c r="C50" s="222">
        <f aca="true" t="shared" si="11" ref="C50:L50">+C22/SUM($C$22:$L$22)</f>
        <v>0.04195568851079742</v>
      </c>
      <c r="D50" s="222">
        <f t="shared" si="11"/>
        <v>0.01450874076843975</v>
      </c>
      <c r="E50" s="222">
        <f t="shared" si="11"/>
        <v>0.08318220061699542</v>
      </c>
      <c r="F50" s="222">
        <f t="shared" si="11"/>
        <v>0.04208656632700757</v>
      </c>
      <c r="G50" s="222">
        <f t="shared" si="11"/>
        <v>0.09802748434140413</v>
      </c>
      <c r="H50" s="222">
        <f t="shared" si="11"/>
        <v>0.16726184911657474</v>
      </c>
      <c r="I50" s="222">
        <f t="shared" si="11"/>
        <v>0.28000373936617745</v>
      </c>
      <c r="J50" s="222">
        <f t="shared" si="11"/>
        <v>0.06298962325885762</v>
      </c>
      <c r="K50" s="222">
        <f t="shared" si="11"/>
        <v>0.1971393848742638</v>
      </c>
      <c r="L50" s="222">
        <f t="shared" si="11"/>
        <v>0.012844722819482098</v>
      </c>
      <c r="M50" s="222"/>
    </row>
    <row r="51" s="185" customFormat="1" ht="12.75" hidden="1"/>
    <row r="52" spans="3:12" s="185" customFormat="1" ht="12.75" hidden="1">
      <c r="C52" s="222">
        <f aca="true" t="shared" si="12" ref="C52:H52">+C22/C21-1</f>
        <v>0.19689462444567485</v>
      </c>
      <c r="D52" s="222">
        <f t="shared" si="12"/>
        <v>-0.4653143294658989</v>
      </c>
      <c r="E52" s="222">
        <f t="shared" si="12"/>
        <v>-0.0993579789265625</v>
      </c>
      <c r="F52" s="222">
        <f t="shared" si="12"/>
        <v>0.09917742039516009</v>
      </c>
      <c r="G52" s="222">
        <f t="shared" si="12"/>
        <v>0.4590071351347922</v>
      </c>
      <c r="H52" s="222">
        <f t="shared" si="12"/>
        <v>0.0299972637673096</v>
      </c>
      <c r="I52" s="222">
        <f>+I22/I21-1</f>
        <v>-0.10795685256601995</v>
      </c>
      <c r="J52" s="222">
        <f>+J22/J21-1</f>
        <v>-0.03483825382319994</v>
      </c>
      <c r="K52" s="222">
        <f>+K22/K21-1</f>
        <v>0.5133270461039432</v>
      </c>
      <c r="L52" s="222">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5" width="10.8515625" style="22" customWidth="1"/>
    <col min="16" max="24" width="0" style="185" hidden="1" customWidth="1"/>
    <col min="25" max="16384" width="10.8515625" style="22" customWidth="1"/>
  </cols>
  <sheetData>
    <row r="1" ht="6.75" customHeight="1"/>
    <row r="2" spans="2:14" ht="12.75">
      <c r="B2" s="374" t="s">
        <v>66</v>
      </c>
      <c r="C2" s="374"/>
      <c r="D2" s="374"/>
      <c r="E2" s="374"/>
      <c r="F2" s="374"/>
      <c r="G2" s="374"/>
      <c r="H2" s="374"/>
      <c r="I2" s="374"/>
      <c r="J2" s="374"/>
      <c r="K2" s="374"/>
      <c r="L2" s="374"/>
      <c r="M2" s="119"/>
      <c r="N2" s="52" t="s">
        <v>153</v>
      </c>
    </row>
    <row r="3" spans="2:13" ht="14.25" customHeight="1">
      <c r="B3" s="374" t="s">
        <v>48</v>
      </c>
      <c r="C3" s="374"/>
      <c r="D3" s="374"/>
      <c r="E3" s="374"/>
      <c r="F3" s="374"/>
      <c r="G3" s="374"/>
      <c r="H3" s="374"/>
      <c r="I3" s="374"/>
      <c r="J3" s="374"/>
      <c r="K3" s="374"/>
      <c r="L3" s="374"/>
      <c r="M3" s="119"/>
    </row>
    <row r="4" spans="2:13" ht="12.75">
      <c r="B4" s="374" t="s">
        <v>28</v>
      </c>
      <c r="C4" s="374"/>
      <c r="D4" s="374"/>
      <c r="E4" s="374"/>
      <c r="F4" s="374"/>
      <c r="G4" s="374"/>
      <c r="H4" s="374"/>
      <c r="I4" s="374"/>
      <c r="J4" s="374"/>
      <c r="K4" s="374"/>
      <c r="L4" s="374"/>
      <c r="M4" s="119"/>
    </row>
    <row r="5" spans="2:12" ht="12.75">
      <c r="B5" s="141"/>
      <c r="C5" s="141"/>
      <c r="D5" s="141"/>
      <c r="E5" s="141"/>
      <c r="F5" s="141"/>
      <c r="G5" s="141"/>
      <c r="H5" s="141"/>
      <c r="I5" s="141"/>
      <c r="J5" s="142"/>
      <c r="K5" s="141"/>
      <c r="L5" s="143"/>
    </row>
    <row r="6" spans="2:13" ht="12.75">
      <c r="B6" s="372" t="s">
        <v>13</v>
      </c>
      <c r="C6" s="121" t="s">
        <v>24</v>
      </c>
      <c r="D6" s="121" t="s">
        <v>24</v>
      </c>
      <c r="E6" s="121" t="s">
        <v>26</v>
      </c>
      <c r="F6" s="121" t="s">
        <v>24</v>
      </c>
      <c r="G6" s="121" t="s">
        <v>25</v>
      </c>
      <c r="H6" s="121" t="s">
        <v>25</v>
      </c>
      <c r="I6" s="121" t="s">
        <v>24</v>
      </c>
      <c r="J6" s="121" t="s">
        <v>24</v>
      </c>
      <c r="K6" s="121" t="s">
        <v>24</v>
      </c>
      <c r="L6" s="121" t="s">
        <v>159</v>
      </c>
      <c r="M6" s="1"/>
    </row>
    <row r="7" spans="2:24" ht="12.75">
      <c r="B7" s="373"/>
      <c r="C7" s="122" t="s">
        <v>23</v>
      </c>
      <c r="D7" s="122" t="s">
        <v>22</v>
      </c>
      <c r="E7" s="122" t="s">
        <v>21</v>
      </c>
      <c r="F7" s="122" t="s">
        <v>20</v>
      </c>
      <c r="G7" s="122" t="s">
        <v>19</v>
      </c>
      <c r="H7" s="122" t="s">
        <v>18</v>
      </c>
      <c r="I7" s="122" t="s">
        <v>17</v>
      </c>
      <c r="J7" s="122" t="s">
        <v>16</v>
      </c>
      <c r="K7" s="122" t="s">
        <v>15</v>
      </c>
      <c r="L7" s="122" t="s">
        <v>160</v>
      </c>
      <c r="M7" s="1"/>
      <c r="P7" s="284" t="str">
        <f>+C7</f>
        <v>Coquimbo</v>
      </c>
      <c r="Q7" s="284" t="str">
        <f aca="true" t="shared" si="0" ref="Q7:V7">+D7</f>
        <v>Valparaíso</v>
      </c>
      <c r="R7" s="284" t="str">
        <f t="shared" si="0"/>
        <v>Metropolitana</v>
      </c>
      <c r="S7" s="284" t="str">
        <f t="shared" si="0"/>
        <v>O´Higgins</v>
      </c>
      <c r="T7" s="284" t="str">
        <f t="shared" si="0"/>
        <v>Maule</v>
      </c>
      <c r="U7" s="284" t="str">
        <f t="shared" si="0"/>
        <v>Bío Bío</v>
      </c>
      <c r="V7" s="284" t="str">
        <f t="shared" si="0"/>
        <v>La Araucanía</v>
      </c>
      <c r="W7" s="284" t="str">
        <f>+J7</f>
        <v>Los Ríos</v>
      </c>
      <c r="X7" s="284" t="str">
        <f>+K7</f>
        <v>Los Lagos</v>
      </c>
    </row>
    <row r="8" spans="2:13" ht="12.75">
      <c r="B8" s="144" t="s">
        <v>11</v>
      </c>
      <c r="C8" s="100">
        <v>131241.4</v>
      </c>
      <c r="D8" s="145">
        <v>21402.7</v>
      </c>
      <c r="E8" s="145">
        <v>82529.4</v>
      </c>
      <c r="F8" s="145">
        <v>49669.7</v>
      </c>
      <c r="G8" s="145">
        <v>62218.6</v>
      </c>
      <c r="H8" s="145">
        <v>104593.9</v>
      </c>
      <c r="I8" s="145">
        <v>420346.7</v>
      </c>
      <c r="J8" s="144"/>
      <c r="K8" s="145">
        <v>419319.1</v>
      </c>
      <c r="L8" s="145"/>
      <c r="M8" s="80"/>
    </row>
    <row r="9" spans="2:24" ht="12.75">
      <c r="B9" s="146" t="s">
        <v>10</v>
      </c>
      <c r="C9" s="147">
        <v>110721.3</v>
      </c>
      <c r="D9" s="147">
        <v>14420.5</v>
      </c>
      <c r="E9" s="147">
        <v>63776.2</v>
      </c>
      <c r="F9" s="147">
        <v>57186.7</v>
      </c>
      <c r="G9" s="147">
        <v>57216.7</v>
      </c>
      <c r="H9" s="147">
        <v>113195.2</v>
      </c>
      <c r="I9" s="147">
        <v>297628.6</v>
      </c>
      <c r="J9" s="146"/>
      <c r="K9" s="147">
        <v>367637.1</v>
      </c>
      <c r="L9" s="147"/>
      <c r="M9" s="80"/>
      <c r="P9" s="222">
        <f aca="true" t="shared" si="1" ref="P9:X22">+C9/C8-1</f>
        <v>-0.15635386394841866</v>
      </c>
      <c r="Q9" s="222">
        <f t="shared" si="1"/>
        <v>-0.32622986819419986</v>
      </c>
      <c r="R9" s="222">
        <f t="shared" si="1"/>
        <v>-0.22723053845053998</v>
      </c>
      <c r="S9" s="222">
        <f t="shared" si="1"/>
        <v>0.1513397503910836</v>
      </c>
      <c r="T9" s="222">
        <f t="shared" si="1"/>
        <v>-0.0803923585551588</v>
      </c>
      <c r="U9" s="222">
        <f t="shared" si="1"/>
        <v>0.08223519727249862</v>
      </c>
      <c r="V9" s="222">
        <f t="shared" si="1"/>
        <v>-0.2919449587685594</v>
      </c>
      <c r="W9" s="222" t="e">
        <f t="shared" si="1"/>
        <v>#DIV/0!</v>
      </c>
      <c r="X9" s="222">
        <f t="shared" si="1"/>
        <v>-0.12325219623909334</v>
      </c>
    </row>
    <row r="10" spans="2:24" ht="12.75">
      <c r="B10" s="146" t="s">
        <v>9</v>
      </c>
      <c r="C10" s="147">
        <v>109620</v>
      </c>
      <c r="D10" s="147">
        <v>15000</v>
      </c>
      <c r="E10" s="147">
        <v>63360</v>
      </c>
      <c r="F10" s="147">
        <v>65550</v>
      </c>
      <c r="G10" s="147">
        <v>57190</v>
      </c>
      <c r="H10" s="147">
        <v>128320</v>
      </c>
      <c r="I10" s="147">
        <v>302400</v>
      </c>
      <c r="J10" s="146"/>
      <c r="K10" s="147">
        <v>390784</v>
      </c>
      <c r="L10" s="147"/>
      <c r="M10" s="80"/>
      <c r="P10" s="222">
        <f t="shared" si="1"/>
        <v>-0.009946595641489031</v>
      </c>
      <c r="Q10" s="222">
        <f t="shared" si="1"/>
        <v>0.04018584653791479</v>
      </c>
      <c r="R10" s="222">
        <f t="shared" si="1"/>
        <v>-0.0065259454153743235</v>
      </c>
      <c r="S10" s="222">
        <f t="shared" si="1"/>
        <v>0.14624554310705107</v>
      </c>
      <c r="T10" s="222">
        <f t="shared" si="1"/>
        <v>-0.00046664697544596123</v>
      </c>
      <c r="U10" s="222">
        <f t="shared" si="1"/>
        <v>0.13361697315787247</v>
      </c>
      <c r="V10" s="222">
        <f t="shared" si="1"/>
        <v>0.016031389456524048</v>
      </c>
      <c r="W10" s="222" t="e">
        <f t="shared" si="1"/>
        <v>#DIV/0!</v>
      </c>
      <c r="X10" s="222">
        <f t="shared" si="1"/>
        <v>0.06296127349497649</v>
      </c>
    </row>
    <row r="11" spans="2:24" ht="12.75">
      <c r="B11" s="146" t="s">
        <v>8</v>
      </c>
      <c r="C11" s="147">
        <v>106540.8</v>
      </c>
      <c r="D11" s="147">
        <v>25575</v>
      </c>
      <c r="E11" s="147">
        <v>43227.6</v>
      </c>
      <c r="F11" s="147">
        <v>56512.8</v>
      </c>
      <c r="G11" s="147">
        <v>42448</v>
      </c>
      <c r="H11" s="147">
        <v>127498.3</v>
      </c>
      <c r="I11" s="147">
        <v>321303.4</v>
      </c>
      <c r="J11" s="146"/>
      <c r="K11" s="147">
        <v>380683.8</v>
      </c>
      <c r="L11" s="147"/>
      <c r="M11" s="80"/>
      <c r="P11" s="222">
        <f t="shared" si="1"/>
        <v>-0.028089764641488713</v>
      </c>
      <c r="Q11" s="222">
        <f t="shared" si="1"/>
        <v>0.7050000000000001</v>
      </c>
      <c r="R11" s="222">
        <f t="shared" si="1"/>
        <v>-0.3177462121212121</v>
      </c>
      <c r="S11" s="222">
        <f t="shared" si="1"/>
        <v>-0.13786727688787181</v>
      </c>
      <c r="T11" s="222">
        <f t="shared" si="1"/>
        <v>-0.2577723378212974</v>
      </c>
      <c r="U11" s="222">
        <f t="shared" si="1"/>
        <v>-0.006403522443890197</v>
      </c>
      <c r="V11" s="222">
        <f t="shared" si="1"/>
        <v>0.06251124338624336</v>
      </c>
      <c r="W11" s="222" t="e">
        <f t="shared" si="1"/>
        <v>#DIV/0!</v>
      </c>
      <c r="X11" s="222">
        <f t="shared" si="1"/>
        <v>-0.02584599164755985</v>
      </c>
    </row>
    <row r="12" spans="2:24" ht="12.75">
      <c r="B12" s="146" t="s">
        <v>7</v>
      </c>
      <c r="C12" s="147">
        <v>120464.5</v>
      </c>
      <c r="D12" s="147">
        <v>31322.5</v>
      </c>
      <c r="E12" s="147">
        <v>59440</v>
      </c>
      <c r="F12" s="147">
        <v>44261.8</v>
      </c>
      <c r="G12" s="147">
        <v>63355.6</v>
      </c>
      <c r="H12" s="147">
        <v>131670</v>
      </c>
      <c r="I12" s="147">
        <v>446083.8</v>
      </c>
      <c r="J12" s="146"/>
      <c r="K12" s="147">
        <v>482834</v>
      </c>
      <c r="L12" s="147"/>
      <c r="M12" s="80"/>
      <c r="P12" s="222">
        <f t="shared" si="1"/>
        <v>0.13068890040247494</v>
      </c>
      <c r="Q12" s="222">
        <f t="shared" si="1"/>
        <v>0.22473118279569881</v>
      </c>
      <c r="R12" s="222">
        <f t="shared" si="1"/>
        <v>0.37504742340541686</v>
      </c>
      <c r="S12" s="222">
        <f t="shared" si="1"/>
        <v>-0.2167827465636104</v>
      </c>
      <c r="T12" s="222">
        <f t="shared" si="1"/>
        <v>0.49254617414248014</v>
      </c>
      <c r="U12" s="222">
        <f t="shared" si="1"/>
        <v>0.0327196519483004</v>
      </c>
      <c r="V12" s="222">
        <f t="shared" si="1"/>
        <v>0.3883569237051334</v>
      </c>
      <c r="W12" s="222" t="e">
        <f t="shared" si="1"/>
        <v>#DIV/0!</v>
      </c>
      <c r="X12" s="222">
        <f t="shared" si="1"/>
        <v>0.26833345679537723</v>
      </c>
    </row>
    <row r="13" spans="2:24" ht="12.75">
      <c r="B13" s="146" t="s">
        <v>6</v>
      </c>
      <c r="C13" s="147">
        <v>56405.8</v>
      </c>
      <c r="D13" s="147">
        <v>20394.8</v>
      </c>
      <c r="E13" s="147">
        <v>87051.9</v>
      </c>
      <c r="F13" s="147">
        <v>22726.8</v>
      </c>
      <c r="G13" s="147">
        <v>44973.2</v>
      </c>
      <c r="H13" s="147">
        <v>97715.5</v>
      </c>
      <c r="I13" s="147">
        <v>212544.8</v>
      </c>
      <c r="J13" s="147">
        <v>72423.3</v>
      </c>
      <c r="K13" s="147">
        <v>213984.4</v>
      </c>
      <c r="L13" s="147"/>
      <c r="M13" s="80"/>
      <c r="P13" s="222">
        <f t="shared" si="1"/>
        <v>-0.5317641296813584</v>
      </c>
      <c r="Q13" s="222">
        <f t="shared" si="1"/>
        <v>-0.3488770053475936</v>
      </c>
      <c r="R13" s="222">
        <f t="shared" si="1"/>
        <v>0.4645339838492597</v>
      </c>
      <c r="S13" s="222">
        <f t="shared" si="1"/>
        <v>-0.4865369234870701</v>
      </c>
      <c r="T13" s="222">
        <f t="shared" si="1"/>
        <v>-0.29014641168262956</v>
      </c>
      <c r="U13" s="222">
        <f t="shared" si="1"/>
        <v>-0.25787574998101315</v>
      </c>
      <c r="V13" s="222">
        <f t="shared" si="1"/>
        <v>-0.523531677231946</v>
      </c>
      <c r="W13" s="222" t="e">
        <f t="shared" si="1"/>
        <v>#DIV/0!</v>
      </c>
      <c r="X13" s="222">
        <f t="shared" si="1"/>
        <v>-0.5568158000472212</v>
      </c>
    </row>
    <row r="14" spans="2:24" ht="12.75">
      <c r="B14" s="146" t="s">
        <v>5</v>
      </c>
      <c r="C14" s="147">
        <v>66880</v>
      </c>
      <c r="D14" s="147">
        <v>27744</v>
      </c>
      <c r="E14" s="147">
        <v>86001.3</v>
      </c>
      <c r="F14" s="147">
        <v>26690</v>
      </c>
      <c r="G14" s="147">
        <v>58550.1</v>
      </c>
      <c r="H14" s="147">
        <v>135270</v>
      </c>
      <c r="I14" s="147">
        <v>220224</v>
      </c>
      <c r="J14" s="147">
        <v>86623.2</v>
      </c>
      <c r="K14" s="147">
        <v>251518.8</v>
      </c>
      <c r="L14" s="147"/>
      <c r="M14" s="80"/>
      <c r="P14" s="222">
        <f t="shared" si="1"/>
        <v>0.18569366979991409</v>
      </c>
      <c r="Q14" s="222">
        <f t="shared" si="1"/>
        <v>0.3603467550552102</v>
      </c>
      <c r="R14" s="222">
        <f t="shared" si="1"/>
        <v>-0.012068662487550452</v>
      </c>
      <c r="S14" s="222">
        <f t="shared" si="1"/>
        <v>0.1743844271960857</v>
      </c>
      <c r="T14" s="222">
        <f t="shared" si="1"/>
        <v>0.30188868036964234</v>
      </c>
      <c r="U14" s="222">
        <f t="shared" si="1"/>
        <v>0.3843249023952189</v>
      </c>
      <c r="V14" s="222">
        <f t="shared" si="1"/>
        <v>0.036129794753859024</v>
      </c>
      <c r="W14" s="222">
        <f t="shared" si="1"/>
        <v>0.19606811620017317</v>
      </c>
      <c r="X14" s="222">
        <f t="shared" si="1"/>
        <v>0.17540717921493343</v>
      </c>
    </row>
    <row r="15" spans="2:24" ht="12.75">
      <c r="B15" s="146" t="s">
        <v>4</v>
      </c>
      <c r="C15" s="147">
        <v>51591.1</v>
      </c>
      <c r="D15" s="147">
        <v>8350.7</v>
      </c>
      <c r="E15" s="147">
        <v>53081.5</v>
      </c>
      <c r="F15" s="147">
        <v>3752.9</v>
      </c>
      <c r="G15" s="147">
        <v>31915.5</v>
      </c>
      <c r="H15" s="147">
        <v>109800.8</v>
      </c>
      <c r="I15" s="147">
        <v>265552.8</v>
      </c>
      <c r="J15" s="147">
        <v>121619.2</v>
      </c>
      <c r="K15" s="147">
        <v>272625</v>
      </c>
      <c r="L15" s="147"/>
      <c r="M15" s="80"/>
      <c r="P15" s="222">
        <f t="shared" si="1"/>
        <v>-0.22860197368421054</v>
      </c>
      <c r="Q15" s="222">
        <f t="shared" si="1"/>
        <v>-0.6990087946943483</v>
      </c>
      <c r="R15" s="222">
        <f t="shared" si="1"/>
        <v>-0.38278258584463265</v>
      </c>
      <c r="S15" s="222">
        <f t="shared" si="1"/>
        <v>-0.8593892843761708</v>
      </c>
      <c r="T15" s="222">
        <f t="shared" si="1"/>
        <v>-0.4549027243335195</v>
      </c>
      <c r="U15" s="222">
        <f t="shared" si="1"/>
        <v>-0.18828417239594886</v>
      </c>
      <c r="V15" s="222">
        <f t="shared" si="1"/>
        <v>0.20583042720139488</v>
      </c>
      <c r="W15" s="222">
        <f t="shared" si="1"/>
        <v>0.40400262285392374</v>
      </c>
      <c r="X15" s="222">
        <f t="shared" si="1"/>
        <v>0.08391499959446369</v>
      </c>
    </row>
    <row r="16" spans="2:24" ht="15" customHeight="1">
      <c r="B16" s="146" t="s">
        <v>3</v>
      </c>
      <c r="C16" s="147">
        <v>78466.3</v>
      </c>
      <c r="D16" s="147">
        <v>11764.2</v>
      </c>
      <c r="E16" s="147">
        <v>86174.8</v>
      </c>
      <c r="F16" s="147">
        <v>38358</v>
      </c>
      <c r="G16" s="147">
        <v>57455.5</v>
      </c>
      <c r="H16" s="147">
        <v>165633.4</v>
      </c>
      <c r="I16" s="147">
        <v>315519.2</v>
      </c>
      <c r="J16" s="147">
        <v>124687.7</v>
      </c>
      <c r="K16" s="147">
        <v>197024.2</v>
      </c>
      <c r="L16" s="147"/>
      <c r="M16" s="80"/>
      <c r="P16" s="222">
        <f t="shared" si="1"/>
        <v>0.520927059124539</v>
      </c>
      <c r="Q16" s="222">
        <f t="shared" si="1"/>
        <v>0.4087681272228676</v>
      </c>
      <c r="R16" s="222">
        <f t="shared" si="1"/>
        <v>0.6234431958403588</v>
      </c>
      <c r="S16" s="222">
        <f t="shared" si="1"/>
        <v>9.220895840549975</v>
      </c>
      <c r="T16" s="222">
        <f t="shared" si="1"/>
        <v>0.800238128808886</v>
      </c>
      <c r="U16" s="222">
        <f t="shared" si="1"/>
        <v>0.5084899199277235</v>
      </c>
      <c r="V16" s="222">
        <f t="shared" si="1"/>
        <v>0.1881599440864492</v>
      </c>
      <c r="W16" s="222">
        <f t="shared" si="1"/>
        <v>0.025230391254012607</v>
      </c>
      <c r="X16" s="222">
        <f t="shared" si="1"/>
        <v>-0.2773069234296194</v>
      </c>
    </row>
    <row r="17" spans="2:24" ht="12.75">
      <c r="B17" s="146" t="s">
        <v>2</v>
      </c>
      <c r="C17" s="147">
        <v>75516</v>
      </c>
      <c r="D17" s="147">
        <v>31084</v>
      </c>
      <c r="E17" s="147">
        <v>79125</v>
      </c>
      <c r="F17" s="147">
        <v>15805</v>
      </c>
      <c r="G17" s="147">
        <v>111620</v>
      </c>
      <c r="H17" s="147">
        <v>255835</v>
      </c>
      <c r="I17" s="147">
        <v>615990</v>
      </c>
      <c r="J17" s="147">
        <v>142120</v>
      </c>
      <c r="K17" s="147">
        <v>343081</v>
      </c>
      <c r="L17" s="147"/>
      <c r="M17" s="80"/>
      <c r="P17" s="222">
        <f t="shared" si="1"/>
        <v>-0.037599580966606094</v>
      </c>
      <c r="Q17" s="222">
        <f t="shared" si="1"/>
        <v>1.6422536169055268</v>
      </c>
      <c r="R17" s="222">
        <f t="shared" si="1"/>
        <v>-0.08180813880624038</v>
      </c>
      <c r="S17" s="222">
        <f t="shared" si="1"/>
        <v>-0.5879607904478856</v>
      </c>
      <c r="T17" s="222">
        <f t="shared" si="1"/>
        <v>0.9427208883396716</v>
      </c>
      <c r="U17" s="222">
        <f t="shared" si="1"/>
        <v>0.5445858142138</v>
      </c>
      <c r="V17" s="222">
        <f t="shared" si="1"/>
        <v>0.9523059135545475</v>
      </c>
      <c r="W17" s="222">
        <f t="shared" si="1"/>
        <v>0.13980769554655348</v>
      </c>
      <c r="X17" s="222">
        <f t="shared" si="1"/>
        <v>0.7413140111722316</v>
      </c>
    </row>
    <row r="18" spans="2:24" ht="12.75">
      <c r="B18" s="146" t="s">
        <v>122</v>
      </c>
      <c r="C18" s="147">
        <v>41067.3</v>
      </c>
      <c r="D18" s="147">
        <v>16000.460000000001</v>
      </c>
      <c r="E18" s="147">
        <v>88299.36</v>
      </c>
      <c r="F18" s="147">
        <v>25652.06</v>
      </c>
      <c r="G18" s="147">
        <v>34486.4</v>
      </c>
      <c r="H18" s="147">
        <v>101006.31999999999</v>
      </c>
      <c r="I18" s="147">
        <v>272034.6</v>
      </c>
      <c r="J18" s="147">
        <v>122928.38999999998</v>
      </c>
      <c r="K18" s="147">
        <v>385711.38</v>
      </c>
      <c r="L18" s="147"/>
      <c r="M18" s="80"/>
      <c r="P18" s="222">
        <f t="shared" si="1"/>
        <v>-0.4561774988081996</v>
      </c>
      <c r="Q18" s="222">
        <f t="shared" si="1"/>
        <v>-0.4852509329558615</v>
      </c>
      <c r="R18" s="222">
        <f t="shared" si="1"/>
        <v>0.11594767772511849</v>
      </c>
      <c r="S18" s="222">
        <f t="shared" si="1"/>
        <v>0.6230344827586207</v>
      </c>
      <c r="T18" s="222">
        <f t="shared" si="1"/>
        <v>-0.6910374484859344</v>
      </c>
      <c r="U18" s="222">
        <f t="shared" si="1"/>
        <v>-0.6051895948560596</v>
      </c>
      <c r="V18" s="222">
        <f t="shared" si="1"/>
        <v>-0.5583782204256563</v>
      </c>
      <c r="W18" s="222">
        <f t="shared" si="1"/>
        <v>-0.1350380664227414</v>
      </c>
      <c r="X18" s="222">
        <f t="shared" si="1"/>
        <v>0.1242574785546271</v>
      </c>
    </row>
    <row r="19" spans="2:24" ht="12.75">
      <c r="B19" s="146" t="s">
        <v>131</v>
      </c>
      <c r="C19" s="147">
        <v>51863.11990316702</v>
      </c>
      <c r="D19" s="147">
        <v>16391.720884117247</v>
      </c>
      <c r="E19" s="147">
        <v>112644.46653744439</v>
      </c>
      <c r="F19" s="147">
        <v>19220.222324539445</v>
      </c>
      <c r="G19" s="147">
        <v>69067.98620052033</v>
      </c>
      <c r="H19" s="147">
        <v>152632.15975101327</v>
      </c>
      <c r="I19" s="147">
        <v>314581.7498466616</v>
      </c>
      <c r="J19" s="147">
        <v>76034.57195077253</v>
      </c>
      <c r="K19" s="147">
        <v>340220.209903059</v>
      </c>
      <c r="L19" s="147"/>
      <c r="M19" s="80"/>
      <c r="P19" s="222">
        <f t="shared" si="1"/>
        <v>0.2628811707408818</v>
      </c>
      <c r="Q19" s="222">
        <f t="shared" si="1"/>
        <v>0.02445310223063868</v>
      </c>
      <c r="R19" s="222">
        <f t="shared" si="1"/>
        <v>0.27571101916757246</v>
      </c>
      <c r="S19" s="222">
        <f t="shared" si="1"/>
        <v>-0.250733768572994</v>
      </c>
      <c r="T19" s="222">
        <f t="shared" si="1"/>
        <v>1.002760108347648</v>
      </c>
      <c r="U19" s="222">
        <f t="shared" si="1"/>
        <v>0.5111149455896749</v>
      </c>
      <c r="V19" s="222">
        <f t="shared" si="1"/>
        <v>0.15640344958568364</v>
      </c>
      <c r="W19" s="222">
        <f t="shared" si="1"/>
        <v>-0.38147264475868803</v>
      </c>
      <c r="X19" s="222">
        <f t="shared" si="1"/>
        <v>-0.11794095911025748</v>
      </c>
    </row>
    <row r="20" spans="2:24" ht="12.75">
      <c r="B20" s="146" t="s">
        <v>147</v>
      </c>
      <c r="C20" s="147">
        <v>47235.5</v>
      </c>
      <c r="D20" s="147">
        <v>18070.8</v>
      </c>
      <c r="E20" s="147">
        <v>77889.39</v>
      </c>
      <c r="F20" s="147">
        <v>17620.16</v>
      </c>
      <c r="G20" s="147">
        <v>45494.03</v>
      </c>
      <c r="H20" s="147">
        <v>131819.4</v>
      </c>
      <c r="I20" s="147">
        <v>272045.36</v>
      </c>
      <c r="J20" s="147">
        <v>100735.98000000001</v>
      </c>
      <c r="K20" s="147">
        <v>344148.42000000004</v>
      </c>
      <c r="L20" s="147">
        <v>6265.9</v>
      </c>
      <c r="M20" s="80"/>
      <c r="P20" s="222">
        <f t="shared" si="1"/>
        <v>-0.089227565017438</v>
      </c>
      <c r="Q20" s="222">
        <f t="shared" si="1"/>
        <v>0.1024345843705583</v>
      </c>
      <c r="R20" s="222">
        <f t="shared" si="1"/>
        <v>-0.3085378057686604</v>
      </c>
      <c r="S20" s="222">
        <f t="shared" si="1"/>
        <v>-0.08324889782864597</v>
      </c>
      <c r="T20" s="222">
        <f t="shared" si="1"/>
        <v>-0.3413152387573555</v>
      </c>
      <c r="U20" s="222">
        <f t="shared" si="1"/>
        <v>-0.13635894155573014</v>
      </c>
      <c r="V20" s="222">
        <f t="shared" si="1"/>
        <v>-0.1352156947038261</v>
      </c>
      <c r="W20" s="222">
        <f t="shared" si="1"/>
        <v>0.3248707451818107</v>
      </c>
      <c r="X20" s="222">
        <f t="shared" si="1"/>
        <v>0.011546080986959417</v>
      </c>
    </row>
    <row r="21" spans="2:24" ht="12.75">
      <c r="B21" s="146" t="s">
        <v>181</v>
      </c>
      <c r="C21" s="147">
        <v>43406.3</v>
      </c>
      <c r="D21" s="147">
        <v>21881.1</v>
      </c>
      <c r="E21" s="147">
        <v>112928.4</v>
      </c>
      <c r="F21" s="147">
        <v>33402.9</v>
      </c>
      <c r="G21" s="147">
        <v>59085.4</v>
      </c>
      <c r="H21" s="147">
        <v>137049.3</v>
      </c>
      <c r="I21" s="147">
        <v>305709.5</v>
      </c>
      <c r="J21" s="147">
        <v>62139.8</v>
      </c>
      <c r="K21" s="147">
        <v>178633.9</v>
      </c>
      <c r="L21" s="147">
        <v>6265.44</v>
      </c>
      <c r="M21" s="80"/>
      <c r="P21" s="222">
        <f t="shared" si="1"/>
        <v>-0.0810661472832932</v>
      </c>
      <c r="Q21" s="222">
        <f t="shared" si="1"/>
        <v>0.21085397436748776</v>
      </c>
      <c r="R21" s="222">
        <f t="shared" si="1"/>
        <v>0.44985600734580156</v>
      </c>
      <c r="S21" s="222">
        <f t="shared" si="1"/>
        <v>0.8957205836950404</v>
      </c>
      <c r="T21" s="222">
        <f t="shared" si="1"/>
        <v>0.2987506272801068</v>
      </c>
      <c r="U21" s="222">
        <f t="shared" si="1"/>
        <v>0.039674736798984034</v>
      </c>
      <c r="V21" s="222">
        <f t="shared" si="1"/>
        <v>0.12374458435902014</v>
      </c>
      <c r="W21" s="222">
        <f t="shared" si="1"/>
        <v>-0.3831419518626811</v>
      </c>
      <c r="X21" s="222">
        <f t="shared" si="1"/>
        <v>-0.48093935750162686</v>
      </c>
    </row>
    <row r="22" spans="2:24" ht="17.25" customHeight="1">
      <c r="B22" s="148" t="s">
        <v>211</v>
      </c>
      <c r="C22" s="149">
        <f>+'sup región'!C22*'rend región'!C22</f>
        <v>54372.12</v>
      </c>
      <c r="D22" s="149">
        <f>+'sup región'!D22*'rend región'!D22</f>
        <v>13820.56</v>
      </c>
      <c r="E22" s="149">
        <f>+'sup región'!E22*'rend región'!E22</f>
        <v>76522.8</v>
      </c>
      <c r="F22" s="149">
        <f>+'sup región'!F22*'rend región'!F22</f>
        <v>30906.23</v>
      </c>
      <c r="G22" s="149">
        <f>+'sup región'!G22*'rend región'!G22</f>
        <v>88711.55999999998</v>
      </c>
      <c r="H22" s="149">
        <f>+'sup región'!H22*'rend región'!H22</f>
        <v>132490.25999999998</v>
      </c>
      <c r="I22" s="149">
        <f>+'sup región'!I22*'rend región'!I22</f>
        <v>338757.11999999994</v>
      </c>
      <c r="J22" s="149">
        <f>+'sup región'!J22*'rend región'!J22</f>
        <v>74118</v>
      </c>
      <c r="K22" s="149">
        <f>+'sup región'!K22*'rend región'!K22</f>
        <v>350060.80000000005</v>
      </c>
      <c r="L22" s="149">
        <f>+'sup región'!L22*'rend región'!L22</f>
        <v>6265.4400000000005</v>
      </c>
      <c r="M22" s="80"/>
      <c r="P22" s="222">
        <f>+C22/C21-1</f>
        <v>0.25263199120864943</v>
      </c>
      <c r="Q22" s="222">
        <f t="shared" si="1"/>
        <v>-0.3683791034271586</v>
      </c>
      <c r="R22" s="222">
        <f t="shared" si="1"/>
        <v>-0.32237771897945944</v>
      </c>
      <c r="S22" s="222">
        <f t="shared" si="1"/>
        <v>-0.0747441090444243</v>
      </c>
      <c r="T22" s="222">
        <f t="shared" si="1"/>
        <v>0.5014125316914158</v>
      </c>
      <c r="U22" s="222">
        <f t="shared" si="1"/>
        <v>-0.03326569344024388</v>
      </c>
      <c r="V22" s="222">
        <f t="shared" si="1"/>
        <v>0.10810138383007373</v>
      </c>
      <c r="W22" s="222">
        <f t="shared" si="1"/>
        <v>0.19276212668853132</v>
      </c>
      <c r="X22" s="222">
        <f t="shared" si="1"/>
        <v>0.959654914324773</v>
      </c>
    </row>
    <row r="23" spans="2:12" ht="12.75">
      <c r="B23" s="159" t="s">
        <v>135</v>
      </c>
      <c r="C23" s="141"/>
      <c r="D23" s="141"/>
      <c r="E23" s="141"/>
      <c r="F23" s="141"/>
      <c r="G23" s="141"/>
      <c r="H23" s="141"/>
      <c r="I23" s="141"/>
      <c r="J23" s="141"/>
      <c r="K23" s="141"/>
      <c r="L23" s="143"/>
    </row>
    <row r="24" spans="2:12" ht="12.75">
      <c r="B24" s="159"/>
      <c r="C24" s="141"/>
      <c r="D24" s="141"/>
      <c r="E24" s="141"/>
      <c r="F24" s="141"/>
      <c r="G24" s="141"/>
      <c r="H24" s="141"/>
      <c r="I24" s="141"/>
      <c r="J24" s="141"/>
      <c r="K24" s="141"/>
      <c r="L24" s="143"/>
    </row>
    <row r="25" spans="2:12" ht="12.75">
      <c r="B25" s="143"/>
      <c r="C25" s="143"/>
      <c r="D25" s="143"/>
      <c r="E25" s="143"/>
      <c r="F25" s="143"/>
      <c r="G25" s="143"/>
      <c r="H25" s="143"/>
      <c r="I25" s="143"/>
      <c r="J25" s="143"/>
      <c r="K25" s="143"/>
      <c r="L25" s="143"/>
    </row>
    <row r="26" spans="2:12" ht="12.75">
      <c r="B26" s="143"/>
      <c r="C26" s="143"/>
      <c r="D26" s="143"/>
      <c r="E26" s="143"/>
      <c r="F26" s="143"/>
      <c r="G26" s="143"/>
      <c r="H26" s="143"/>
      <c r="I26" s="143"/>
      <c r="J26" s="143"/>
      <c r="K26" s="143"/>
      <c r="L26" s="143"/>
    </row>
    <row r="27" spans="2:12" ht="12.75">
      <c r="B27" s="143"/>
      <c r="C27" s="143"/>
      <c r="D27" s="143"/>
      <c r="E27" s="143"/>
      <c r="F27" s="143"/>
      <c r="G27" s="143"/>
      <c r="H27" s="143"/>
      <c r="I27" s="143"/>
      <c r="J27" s="143"/>
      <c r="K27" s="143"/>
      <c r="L27" s="143"/>
    </row>
    <row r="28" spans="2:12" ht="12.75">
      <c r="B28" s="143"/>
      <c r="C28" s="143"/>
      <c r="D28" s="143"/>
      <c r="E28" s="143"/>
      <c r="F28" s="143"/>
      <c r="G28" s="143"/>
      <c r="H28" s="143"/>
      <c r="I28" s="143"/>
      <c r="J28" s="143"/>
      <c r="K28" s="143"/>
      <c r="L28" s="143"/>
    </row>
    <row r="29" spans="2:12" ht="12.75">
      <c r="B29" s="143"/>
      <c r="C29" s="143"/>
      <c r="D29" s="143"/>
      <c r="E29" s="143"/>
      <c r="F29" s="143"/>
      <c r="G29" s="143"/>
      <c r="H29" s="143"/>
      <c r="I29" s="143"/>
      <c r="J29" s="143"/>
      <c r="K29" s="143"/>
      <c r="L29" s="143"/>
    </row>
    <row r="30" spans="2:12" ht="12.75">
      <c r="B30" s="143"/>
      <c r="C30" s="143"/>
      <c r="D30" s="143"/>
      <c r="E30" s="143"/>
      <c r="F30" s="143"/>
      <c r="G30" s="143"/>
      <c r="H30" s="143"/>
      <c r="I30" s="143"/>
      <c r="J30" s="143"/>
      <c r="K30" s="143"/>
      <c r="L30" s="143"/>
    </row>
    <row r="31" spans="2:12" ht="12.75">
      <c r="B31" s="143"/>
      <c r="C31" s="143"/>
      <c r="D31" s="143"/>
      <c r="E31" s="143"/>
      <c r="F31" s="143"/>
      <c r="G31" s="143"/>
      <c r="H31" s="143"/>
      <c r="I31" s="143"/>
      <c r="J31" s="143"/>
      <c r="K31" s="143"/>
      <c r="L31" s="143"/>
    </row>
    <row r="32" spans="2:12" ht="12.75">
      <c r="B32" s="143"/>
      <c r="C32" s="143"/>
      <c r="D32" s="143"/>
      <c r="E32" s="143"/>
      <c r="F32" s="143"/>
      <c r="G32" s="143"/>
      <c r="H32" s="143"/>
      <c r="I32" s="143"/>
      <c r="J32" s="143"/>
      <c r="K32" s="143"/>
      <c r="L32" s="143"/>
    </row>
    <row r="33" spans="2:12" ht="12.75">
      <c r="B33" s="143"/>
      <c r="C33" s="143"/>
      <c r="D33" s="143"/>
      <c r="E33" s="143"/>
      <c r="F33" s="143"/>
      <c r="G33" s="143"/>
      <c r="H33" s="143"/>
      <c r="I33" s="143"/>
      <c r="J33" s="143"/>
      <c r="K33" s="143"/>
      <c r="L33" s="143"/>
    </row>
    <row r="34" spans="2:12" ht="12.75">
      <c r="B34" s="143"/>
      <c r="C34" s="143"/>
      <c r="D34" s="143"/>
      <c r="E34" s="143"/>
      <c r="F34" s="143"/>
      <c r="G34" s="143"/>
      <c r="H34" s="143"/>
      <c r="I34" s="143"/>
      <c r="J34" s="143"/>
      <c r="K34" s="143"/>
      <c r="L34" s="143"/>
    </row>
    <row r="35" spans="2:12" ht="12.75">
      <c r="B35" s="143"/>
      <c r="C35" s="143"/>
      <c r="D35" s="143"/>
      <c r="E35" s="143"/>
      <c r="F35" s="143"/>
      <c r="G35" s="143"/>
      <c r="H35" s="143"/>
      <c r="I35" s="143"/>
      <c r="J35" s="143"/>
      <c r="K35" s="143"/>
      <c r="L35" s="143"/>
    </row>
    <row r="36" spans="2:12" ht="12.75">
      <c r="B36" s="143"/>
      <c r="C36" s="143"/>
      <c r="D36" s="143"/>
      <c r="E36" s="143"/>
      <c r="F36" s="143"/>
      <c r="G36" s="143"/>
      <c r="H36" s="143"/>
      <c r="I36" s="143"/>
      <c r="J36" s="143"/>
      <c r="K36" s="143"/>
      <c r="L36" s="143"/>
    </row>
    <row r="37" spans="2:12" ht="12.75">
      <c r="B37" s="143"/>
      <c r="C37" s="143"/>
      <c r="D37" s="143"/>
      <c r="E37" s="143"/>
      <c r="F37" s="143"/>
      <c r="G37" s="143"/>
      <c r="H37" s="143"/>
      <c r="I37" s="143"/>
      <c r="J37" s="143"/>
      <c r="K37" s="143"/>
      <c r="L37" s="143"/>
    </row>
    <row r="38" spans="2:12" ht="12.75">
      <c r="B38" s="143"/>
      <c r="C38" s="143"/>
      <c r="D38" s="143"/>
      <c r="E38" s="143"/>
      <c r="F38" s="143"/>
      <c r="G38" s="143"/>
      <c r="H38" s="143"/>
      <c r="I38" s="143"/>
      <c r="J38" s="143"/>
      <c r="K38" s="143"/>
      <c r="L38" s="143"/>
    </row>
    <row r="39" spans="2:12" ht="12.75">
      <c r="B39" s="143"/>
      <c r="C39" s="143"/>
      <c r="D39" s="143"/>
      <c r="E39" s="143"/>
      <c r="F39" s="143"/>
      <c r="G39" s="143"/>
      <c r="H39" s="143"/>
      <c r="I39" s="143"/>
      <c r="J39" s="143"/>
      <c r="K39" s="143"/>
      <c r="L39" s="143"/>
    </row>
    <row r="40" spans="2:12" ht="12.75">
      <c r="B40" s="143"/>
      <c r="C40" s="143"/>
      <c r="D40" s="143"/>
      <c r="E40" s="143"/>
      <c r="F40" s="143"/>
      <c r="G40" s="143"/>
      <c r="H40" s="143"/>
      <c r="I40" s="143"/>
      <c r="J40" s="143"/>
      <c r="K40" s="143"/>
      <c r="L40" s="143"/>
    </row>
    <row r="41" spans="2:12" ht="12.75">
      <c r="B41" s="143"/>
      <c r="C41" s="143"/>
      <c r="D41" s="143"/>
      <c r="E41" s="143"/>
      <c r="F41" s="143"/>
      <c r="G41" s="143"/>
      <c r="H41" s="143"/>
      <c r="I41" s="143"/>
      <c r="J41" s="143"/>
      <c r="K41" s="143"/>
      <c r="L41" s="143"/>
    </row>
    <row r="42" spans="2:12" ht="12.75">
      <c r="B42" s="143"/>
      <c r="C42" s="143"/>
      <c r="D42" s="143"/>
      <c r="E42" s="143"/>
      <c r="F42" s="143"/>
      <c r="G42" s="143"/>
      <c r="H42" s="143"/>
      <c r="I42" s="143"/>
      <c r="J42" s="143"/>
      <c r="K42" s="143"/>
      <c r="L42" s="143"/>
    </row>
    <row r="43" spans="2:12" ht="12.75">
      <c r="B43" s="143"/>
      <c r="C43" s="143"/>
      <c r="D43" s="143"/>
      <c r="E43" s="143"/>
      <c r="F43" s="143"/>
      <c r="G43" s="143"/>
      <c r="H43" s="143"/>
      <c r="I43" s="143"/>
      <c r="J43" s="143"/>
      <c r="K43" s="143"/>
      <c r="L43" s="143"/>
    </row>
    <row r="44" spans="2:12" ht="12.75">
      <c r="B44" s="143"/>
      <c r="C44" s="143"/>
      <c r="D44" s="143"/>
      <c r="E44" s="143"/>
      <c r="F44" s="143"/>
      <c r="G44" s="143"/>
      <c r="H44" s="143"/>
      <c r="I44" s="143"/>
      <c r="J44" s="143"/>
      <c r="K44" s="143"/>
      <c r="L44" s="143"/>
    </row>
    <row r="45" spans="2:12" ht="12.75">
      <c r="B45" s="143"/>
      <c r="C45" s="143"/>
      <c r="D45" s="143"/>
      <c r="E45" s="143"/>
      <c r="F45" s="143"/>
      <c r="G45" s="143"/>
      <c r="H45" s="143"/>
      <c r="I45" s="143"/>
      <c r="J45" s="143"/>
      <c r="K45" s="143"/>
      <c r="L45" s="143"/>
    </row>
    <row r="46" spans="2:12" ht="12.75">
      <c r="B46" s="143"/>
      <c r="C46" s="143"/>
      <c r="D46" s="143"/>
      <c r="E46" s="143"/>
      <c r="F46" s="143"/>
      <c r="G46" s="143"/>
      <c r="H46" s="143"/>
      <c r="I46" s="143"/>
      <c r="J46" s="143"/>
      <c r="K46" s="143"/>
      <c r="L46" s="143"/>
    </row>
    <row r="47" spans="3:12" ht="12.75">
      <c r="C47" s="143"/>
      <c r="D47" s="143"/>
      <c r="E47" s="143"/>
      <c r="F47" s="143"/>
      <c r="G47" s="143"/>
      <c r="H47" s="143"/>
      <c r="I47" s="143"/>
      <c r="J47" s="143"/>
      <c r="K47" s="143"/>
      <c r="L47" s="143"/>
    </row>
    <row r="48" spans="2:12" ht="12.75">
      <c r="B48" s="143"/>
      <c r="C48" s="143"/>
      <c r="D48" s="143"/>
      <c r="E48" s="143"/>
      <c r="F48" s="143"/>
      <c r="G48" s="143"/>
      <c r="H48" s="143"/>
      <c r="I48" s="143"/>
      <c r="J48" s="143"/>
      <c r="K48" s="143"/>
      <c r="L48" s="143"/>
    </row>
    <row r="49" ht="12.75">
      <c r="B49" s="159"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5" width="10.8515625" style="22" customWidth="1"/>
    <col min="16" max="24" width="0" style="185" hidden="1" customWidth="1"/>
    <col min="25" max="16384" width="10.8515625" style="22" customWidth="1"/>
  </cols>
  <sheetData>
    <row r="1" ht="6.75" customHeight="1"/>
    <row r="2" spans="2:16" ht="12.75">
      <c r="B2" s="351" t="s">
        <v>143</v>
      </c>
      <c r="C2" s="351"/>
      <c r="D2" s="351"/>
      <c r="E2" s="351"/>
      <c r="F2" s="351"/>
      <c r="G2" s="351"/>
      <c r="H2" s="351"/>
      <c r="I2" s="351"/>
      <c r="J2" s="351"/>
      <c r="K2" s="351"/>
      <c r="L2" s="351"/>
      <c r="M2" s="119"/>
      <c r="N2" s="52" t="s">
        <v>153</v>
      </c>
      <c r="O2" s="38"/>
      <c r="P2" s="286"/>
    </row>
    <row r="3" spans="2:16" ht="12.75">
      <c r="B3" s="351" t="s">
        <v>47</v>
      </c>
      <c r="C3" s="351"/>
      <c r="D3" s="351"/>
      <c r="E3" s="351"/>
      <c r="F3" s="351"/>
      <c r="G3" s="351"/>
      <c r="H3" s="351"/>
      <c r="I3" s="351"/>
      <c r="J3" s="351"/>
      <c r="K3" s="351"/>
      <c r="L3" s="351"/>
      <c r="M3" s="119"/>
      <c r="N3" s="38"/>
      <c r="O3" s="38"/>
      <c r="P3" s="286"/>
    </row>
    <row r="4" spans="2:16" ht="15" customHeight="1">
      <c r="B4" s="351" t="s">
        <v>29</v>
      </c>
      <c r="C4" s="351"/>
      <c r="D4" s="351"/>
      <c r="E4" s="351"/>
      <c r="F4" s="351"/>
      <c r="G4" s="351"/>
      <c r="H4" s="351"/>
      <c r="I4" s="351"/>
      <c r="J4" s="351"/>
      <c r="K4" s="351"/>
      <c r="L4" s="351"/>
      <c r="M4" s="119"/>
      <c r="N4" s="38"/>
      <c r="O4" s="38"/>
      <c r="P4" s="286"/>
    </row>
    <row r="5" spans="2:16" ht="12.75">
      <c r="B5" s="2"/>
      <c r="C5" s="2"/>
      <c r="D5" s="2"/>
      <c r="E5" s="2"/>
      <c r="F5" s="2"/>
      <c r="G5" s="2"/>
      <c r="H5" s="2"/>
      <c r="I5" s="2"/>
      <c r="J5" s="2"/>
      <c r="K5" s="2"/>
      <c r="L5" s="2"/>
      <c r="M5" s="2"/>
      <c r="N5" s="2"/>
      <c r="O5" s="2"/>
      <c r="P5" s="287"/>
    </row>
    <row r="6" spans="2:16" ht="15" customHeight="1">
      <c r="B6" s="372" t="s">
        <v>13</v>
      </c>
      <c r="C6" s="4" t="s">
        <v>24</v>
      </c>
      <c r="D6" s="4" t="s">
        <v>24</v>
      </c>
      <c r="E6" s="4" t="s">
        <v>26</v>
      </c>
      <c r="F6" s="4" t="s">
        <v>24</v>
      </c>
      <c r="G6" s="4" t="s">
        <v>25</v>
      </c>
      <c r="H6" s="4" t="s">
        <v>25</v>
      </c>
      <c r="I6" s="4" t="s">
        <v>24</v>
      </c>
      <c r="J6" s="4" t="s">
        <v>24</v>
      </c>
      <c r="K6" s="4" t="s">
        <v>24</v>
      </c>
      <c r="L6" s="4" t="s">
        <v>159</v>
      </c>
      <c r="M6" s="1"/>
      <c r="N6" s="1"/>
      <c r="O6" s="1"/>
      <c r="P6" s="288"/>
    </row>
    <row r="7" spans="2:25" ht="15" customHeight="1">
      <c r="B7" s="373"/>
      <c r="C7" s="3" t="s">
        <v>23</v>
      </c>
      <c r="D7" s="3" t="s">
        <v>22</v>
      </c>
      <c r="E7" s="3" t="s">
        <v>21</v>
      </c>
      <c r="F7" s="3" t="s">
        <v>20</v>
      </c>
      <c r="G7" s="3" t="s">
        <v>19</v>
      </c>
      <c r="H7" s="3" t="s">
        <v>18</v>
      </c>
      <c r="I7" s="3" t="s">
        <v>17</v>
      </c>
      <c r="J7" s="3" t="s">
        <v>16</v>
      </c>
      <c r="K7" s="3" t="s">
        <v>15</v>
      </c>
      <c r="L7" s="3" t="s">
        <v>160</v>
      </c>
      <c r="M7" s="1"/>
      <c r="N7" s="1"/>
      <c r="O7" s="1"/>
      <c r="P7" s="284" t="str">
        <f>+C7</f>
        <v>Coquimbo</v>
      </c>
      <c r="Q7" s="284" t="str">
        <f aca="true" t="shared" si="0" ref="Q7:V7">+D7</f>
        <v>Valparaíso</v>
      </c>
      <c r="R7" s="284" t="str">
        <f t="shared" si="0"/>
        <v>Metropolitana</v>
      </c>
      <c r="S7" s="284" t="str">
        <f t="shared" si="0"/>
        <v>O´Higgins</v>
      </c>
      <c r="T7" s="284" t="str">
        <f t="shared" si="0"/>
        <v>Maule</v>
      </c>
      <c r="U7" s="284" t="str">
        <f t="shared" si="0"/>
        <v>Bío Bío</v>
      </c>
      <c r="V7" s="284" t="str">
        <f t="shared" si="0"/>
        <v>La Araucanía</v>
      </c>
      <c r="W7" s="284" t="str">
        <f>+J7</f>
        <v>Los Ríos</v>
      </c>
      <c r="X7" s="284" t="str">
        <f>+K7</f>
        <v>Los Lagos</v>
      </c>
      <c r="Y7" s="1"/>
    </row>
    <row r="8" spans="2:25" ht="12.75" customHeight="1">
      <c r="B8" s="81" t="s">
        <v>11</v>
      </c>
      <c r="C8" s="101">
        <v>22.020369127516776</v>
      </c>
      <c r="D8" s="102">
        <v>14.461283783783784</v>
      </c>
      <c r="E8" s="102">
        <v>19.28257009345794</v>
      </c>
      <c r="F8" s="102">
        <v>16.780304054054053</v>
      </c>
      <c r="G8" s="102">
        <v>14.920527577937651</v>
      </c>
      <c r="H8" s="102">
        <v>19.960667938931298</v>
      </c>
      <c r="I8" s="102">
        <v>23.313738214087632</v>
      </c>
      <c r="J8" s="102"/>
      <c r="K8" s="102">
        <v>23.38645287228109</v>
      </c>
      <c r="L8" s="102"/>
      <c r="M8" s="102"/>
      <c r="N8" s="53"/>
      <c r="O8" s="53"/>
      <c r="Y8" s="53"/>
    </row>
    <row r="9" spans="2:25" ht="12.75" customHeight="1">
      <c r="B9" s="81" t="s">
        <v>10</v>
      </c>
      <c r="C9" s="102">
        <v>20.42828413284133</v>
      </c>
      <c r="D9" s="102">
        <v>12.118067226890757</v>
      </c>
      <c r="E9" s="102">
        <v>15.59320293398533</v>
      </c>
      <c r="F9" s="102">
        <v>18.21232484076433</v>
      </c>
      <c r="G9" s="102">
        <v>14.86148051948052</v>
      </c>
      <c r="H9" s="102">
        <v>19.89370826010545</v>
      </c>
      <c r="I9" s="102">
        <v>19.841906666666667</v>
      </c>
      <c r="J9" s="102"/>
      <c r="K9" s="102">
        <v>22.54059472716125</v>
      </c>
      <c r="L9" s="102"/>
      <c r="M9" s="102"/>
      <c r="N9" s="53"/>
      <c r="O9" s="53"/>
      <c r="P9" s="222">
        <f aca="true" t="shared" si="1" ref="P9:X22">+C9/C8-1</f>
        <v>-0.07230055888054876</v>
      </c>
      <c r="Q9" s="222">
        <f t="shared" si="1"/>
        <v>-0.16203378565329052</v>
      </c>
      <c r="R9" s="222">
        <f t="shared" si="1"/>
        <v>-0.191331712608389</v>
      </c>
      <c r="S9" s="222">
        <f t="shared" si="1"/>
        <v>0.08533938253426987</v>
      </c>
      <c r="T9" s="222">
        <f t="shared" si="1"/>
        <v>-0.0039574377077954415</v>
      </c>
      <c r="U9" s="222">
        <f t="shared" si="1"/>
        <v>-0.003354581070669105</v>
      </c>
      <c r="V9" s="222">
        <f t="shared" si="1"/>
        <v>-0.14891784043980838</v>
      </c>
      <c r="W9" s="222" t="e">
        <f t="shared" si="1"/>
        <v>#DIV/0!</v>
      </c>
      <c r="X9" s="222">
        <f t="shared" si="1"/>
        <v>-0.03616872339466237</v>
      </c>
      <c r="Y9" s="53"/>
    </row>
    <row r="10" spans="2:25" ht="12.75" customHeight="1">
      <c r="B10" s="81" t="s">
        <v>9</v>
      </c>
      <c r="C10" s="102">
        <v>20.3</v>
      </c>
      <c r="D10" s="102">
        <v>12.5</v>
      </c>
      <c r="E10" s="102">
        <v>15.84</v>
      </c>
      <c r="F10" s="102">
        <v>19</v>
      </c>
      <c r="G10" s="102">
        <v>15.05</v>
      </c>
      <c r="H10" s="102">
        <v>20.05</v>
      </c>
      <c r="I10" s="102">
        <v>18</v>
      </c>
      <c r="J10" s="102"/>
      <c r="K10" s="102">
        <v>22.72</v>
      </c>
      <c r="L10" s="102"/>
      <c r="M10" s="102"/>
      <c r="N10" s="53"/>
      <c r="O10" s="53"/>
      <c r="P10" s="222">
        <f t="shared" si="1"/>
        <v>-0.006279731180901971</v>
      </c>
      <c r="Q10" s="222">
        <f t="shared" si="1"/>
        <v>0.03151763115009887</v>
      </c>
      <c r="R10" s="222">
        <f t="shared" si="1"/>
        <v>0.015827220812779652</v>
      </c>
      <c r="S10" s="222">
        <f t="shared" si="1"/>
        <v>0.043249566769895775</v>
      </c>
      <c r="T10" s="222">
        <f t="shared" si="1"/>
        <v>0.012685107669613949</v>
      </c>
      <c r="U10" s="222">
        <f t="shared" si="1"/>
        <v>0.007856340198171052</v>
      </c>
      <c r="V10" s="222">
        <f t="shared" si="1"/>
        <v>-0.09282911655667503</v>
      </c>
      <c r="W10" s="222" t="e">
        <f t="shared" si="1"/>
        <v>#DIV/0!</v>
      </c>
      <c r="X10" s="222">
        <f t="shared" si="1"/>
        <v>0.007959207599015361</v>
      </c>
      <c r="Y10" s="53"/>
    </row>
    <row r="11" spans="2:25" ht="12.75" customHeight="1">
      <c r="B11" s="81" t="s">
        <v>8</v>
      </c>
      <c r="C11" s="102">
        <v>21.48</v>
      </c>
      <c r="D11" s="102">
        <v>16.5</v>
      </c>
      <c r="E11" s="102">
        <v>13.26</v>
      </c>
      <c r="F11" s="102">
        <v>20.04</v>
      </c>
      <c r="G11" s="102">
        <v>15.16</v>
      </c>
      <c r="H11" s="102">
        <v>20.27</v>
      </c>
      <c r="I11" s="102">
        <v>20.57</v>
      </c>
      <c r="J11" s="81"/>
      <c r="K11" s="102">
        <v>22.380000000000003</v>
      </c>
      <c r="L11" s="102"/>
      <c r="M11" s="102"/>
      <c r="N11" s="53"/>
      <c r="O11" s="53"/>
      <c r="P11" s="222">
        <f t="shared" si="1"/>
        <v>0.058128078817734075</v>
      </c>
      <c r="Q11" s="222">
        <f t="shared" si="1"/>
        <v>0.32000000000000006</v>
      </c>
      <c r="R11" s="222">
        <f t="shared" si="1"/>
        <v>-0.16287878787878785</v>
      </c>
      <c r="S11" s="222">
        <f t="shared" si="1"/>
        <v>0.054736842105263195</v>
      </c>
      <c r="T11" s="222">
        <f t="shared" si="1"/>
        <v>0.0073089700996678</v>
      </c>
      <c r="U11" s="222">
        <f t="shared" si="1"/>
        <v>0.010972568578553554</v>
      </c>
      <c r="V11" s="222">
        <f t="shared" si="1"/>
        <v>0.1427777777777779</v>
      </c>
      <c r="W11" s="222" t="e">
        <f t="shared" si="1"/>
        <v>#DIV/0!</v>
      </c>
      <c r="X11" s="222">
        <f t="shared" si="1"/>
        <v>-0.014964788732394152</v>
      </c>
      <c r="Y11" s="53"/>
    </row>
    <row r="12" spans="2:25" ht="12.75" customHeight="1">
      <c r="B12" s="81" t="s">
        <v>7</v>
      </c>
      <c r="C12" s="102">
        <v>21.55</v>
      </c>
      <c r="D12" s="102">
        <v>16.75</v>
      </c>
      <c r="E12" s="102">
        <v>14.86</v>
      </c>
      <c r="F12" s="102">
        <v>12.98</v>
      </c>
      <c r="G12" s="102">
        <v>16.94</v>
      </c>
      <c r="H12" s="102">
        <v>19.95</v>
      </c>
      <c r="I12" s="102">
        <v>24.81</v>
      </c>
      <c r="J12" s="81"/>
      <c r="K12" s="102">
        <v>25.82</v>
      </c>
      <c r="L12" s="102"/>
      <c r="M12" s="102"/>
      <c r="N12" s="53"/>
      <c r="O12" s="53"/>
      <c r="P12" s="222">
        <f t="shared" si="1"/>
        <v>0.0032588454376163423</v>
      </c>
      <c r="Q12" s="222">
        <f t="shared" si="1"/>
        <v>0.015151515151515138</v>
      </c>
      <c r="R12" s="222">
        <f t="shared" si="1"/>
        <v>0.1206636500754148</v>
      </c>
      <c r="S12" s="222">
        <f t="shared" si="1"/>
        <v>-0.3522954091816367</v>
      </c>
      <c r="T12" s="222">
        <f t="shared" si="1"/>
        <v>0.11741424802110823</v>
      </c>
      <c r="U12" s="222">
        <f t="shared" si="1"/>
        <v>-0.015786877158362134</v>
      </c>
      <c r="V12" s="222">
        <f t="shared" si="1"/>
        <v>0.20612542537676215</v>
      </c>
      <c r="W12" s="222" t="e">
        <f t="shared" si="1"/>
        <v>#DIV/0!</v>
      </c>
      <c r="X12" s="222">
        <f t="shared" si="1"/>
        <v>0.15370866845397657</v>
      </c>
      <c r="Y12" s="53"/>
    </row>
    <row r="13" spans="2:25" ht="12.75" customHeight="1">
      <c r="B13" s="81" t="s">
        <v>6</v>
      </c>
      <c r="C13" s="102">
        <v>17.426408798813643</v>
      </c>
      <c r="D13" s="102">
        <v>9.337508813376187</v>
      </c>
      <c r="E13" s="102">
        <v>16.623426967364942</v>
      </c>
      <c r="F13" s="102">
        <v>13.281982350534744</v>
      </c>
      <c r="G13" s="102">
        <v>13.350154657230894</v>
      </c>
      <c r="H13" s="102">
        <v>11.576870309860222</v>
      </c>
      <c r="I13" s="102">
        <v>15.118167139676645</v>
      </c>
      <c r="J13" s="102">
        <v>18.236673129705636</v>
      </c>
      <c r="K13" s="102">
        <v>19.057086368736975</v>
      </c>
      <c r="L13" s="102"/>
      <c r="M13" s="102"/>
      <c r="N13" s="53"/>
      <c r="O13" s="53"/>
      <c r="P13" s="222">
        <f t="shared" si="1"/>
        <v>-0.1913499397302254</v>
      </c>
      <c r="Q13" s="222">
        <f t="shared" si="1"/>
        <v>-0.4425367872611231</v>
      </c>
      <c r="R13" s="222">
        <f t="shared" si="1"/>
        <v>0.11866937869212268</v>
      </c>
      <c r="S13" s="222">
        <f t="shared" si="1"/>
        <v>0.023265204201444067</v>
      </c>
      <c r="T13" s="222">
        <f t="shared" si="1"/>
        <v>-0.2119153094905022</v>
      </c>
      <c r="U13" s="222">
        <f t="shared" si="1"/>
        <v>-0.4197057488791869</v>
      </c>
      <c r="V13" s="222">
        <f t="shared" si="1"/>
        <v>-0.3906421950956612</v>
      </c>
      <c r="W13" s="222" t="e">
        <f t="shared" si="1"/>
        <v>#DIV/0!</v>
      </c>
      <c r="X13" s="222">
        <f t="shared" si="1"/>
        <v>-0.26192539238044243</v>
      </c>
      <c r="Y13" s="53"/>
    </row>
    <row r="14" spans="2:25" ht="12.75" customHeight="1">
      <c r="B14" s="81" t="s">
        <v>5</v>
      </c>
      <c r="C14" s="102">
        <v>19</v>
      </c>
      <c r="D14" s="102">
        <v>13.6</v>
      </c>
      <c r="E14" s="102">
        <v>15.330000000000002</v>
      </c>
      <c r="F14" s="102">
        <v>17</v>
      </c>
      <c r="G14" s="102">
        <v>17.07</v>
      </c>
      <c r="H14" s="102">
        <v>16.7</v>
      </c>
      <c r="I14" s="102">
        <v>14.88</v>
      </c>
      <c r="J14" s="102">
        <v>20.43</v>
      </c>
      <c r="K14" s="102">
        <v>21.03</v>
      </c>
      <c r="L14" s="102"/>
      <c r="M14" s="102"/>
      <c r="N14" s="53"/>
      <c r="O14" s="53"/>
      <c r="P14" s="222">
        <f t="shared" si="1"/>
        <v>0.09029922454783024</v>
      </c>
      <c r="Q14" s="222">
        <f t="shared" si="1"/>
        <v>0.456491262478671</v>
      </c>
      <c r="R14" s="222">
        <f t="shared" si="1"/>
        <v>-0.07780748036516127</v>
      </c>
      <c r="S14" s="222">
        <f t="shared" si="1"/>
        <v>0.2799294225319886</v>
      </c>
      <c r="T14" s="222">
        <f t="shared" si="1"/>
        <v>0.27863687262636416</v>
      </c>
      <c r="U14" s="222">
        <f t="shared" si="1"/>
        <v>0.4425314919332144</v>
      </c>
      <c r="V14" s="222">
        <f t="shared" si="1"/>
        <v>-0.015753704630741217</v>
      </c>
      <c r="W14" s="222">
        <f t="shared" si="1"/>
        <v>0.12027012025135564</v>
      </c>
      <c r="X14" s="222">
        <f t="shared" si="1"/>
        <v>0.10352650940909713</v>
      </c>
      <c r="Y14" s="53"/>
    </row>
    <row r="15" spans="2:25" ht="12.75" customHeight="1">
      <c r="B15" s="81" t="s">
        <v>4</v>
      </c>
      <c r="C15" s="102">
        <v>17.22</v>
      </c>
      <c r="D15" s="102">
        <v>13.780000000000001</v>
      </c>
      <c r="E15" s="102">
        <v>19.23</v>
      </c>
      <c r="F15" s="102">
        <v>14.49</v>
      </c>
      <c r="G15" s="102">
        <v>14.62</v>
      </c>
      <c r="H15" s="102">
        <v>15.63</v>
      </c>
      <c r="I15" s="102">
        <v>19.71</v>
      </c>
      <c r="J15" s="102">
        <v>26.630000000000003</v>
      </c>
      <c r="K15" s="102">
        <v>25.910000000000004</v>
      </c>
      <c r="L15" s="102"/>
      <c r="M15" s="102"/>
      <c r="N15" s="53"/>
      <c r="O15" s="53"/>
      <c r="P15" s="222">
        <f t="shared" si="1"/>
        <v>-0.09368421052631581</v>
      </c>
      <c r="Q15" s="222">
        <f t="shared" si="1"/>
        <v>0.013235294117647234</v>
      </c>
      <c r="R15" s="222">
        <f t="shared" si="1"/>
        <v>0.25440313111545976</v>
      </c>
      <c r="S15" s="222">
        <f t="shared" si="1"/>
        <v>-0.14764705882352935</v>
      </c>
      <c r="T15" s="222">
        <f t="shared" si="1"/>
        <v>-0.1435266549502051</v>
      </c>
      <c r="U15" s="222">
        <f t="shared" si="1"/>
        <v>-0.06407185628742507</v>
      </c>
      <c r="V15" s="222">
        <f t="shared" si="1"/>
        <v>0.32459677419354827</v>
      </c>
      <c r="W15" s="222">
        <f t="shared" si="1"/>
        <v>0.30347528144884994</v>
      </c>
      <c r="X15" s="222">
        <f t="shared" si="1"/>
        <v>0.2320494531621493</v>
      </c>
      <c r="Y15" s="53"/>
    </row>
    <row r="16" spans="2:25" ht="12.75" customHeight="1">
      <c r="B16" s="81" t="s">
        <v>3</v>
      </c>
      <c r="C16" s="102">
        <v>22.94</v>
      </c>
      <c r="D16" s="102">
        <v>26.330000000000002</v>
      </c>
      <c r="E16" s="102">
        <v>24.669999999999998</v>
      </c>
      <c r="F16" s="102">
        <v>19.36</v>
      </c>
      <c r="G16" s="102">
        <v>12.52</v>
      </c>
      <c r="H16" s="102">
        <v>18.490000000000002</v>
      </c>
      <c r="I16" s="102">
        <v>18.830000000000002</v>
      </c>
      <c r="J16" s="102">
        <v>33.1</v>
      </c>
      <c r="K16" s="102">
        <v>29.53</v>
      </c>
      <c r="L16" s="102"/>
      <c r="M16" s="102"/>
      <c r="N16" s="53"/>
      <c r="O16" s="53"/>
      <c r="P16" s="222">
        <f t="shared" si="1"/>
        <v>0.33217189314750306</v>
      </c>
      <c r="Q16" s="222">
        <f t="shared" si="1"/>
        <v>0.9107402031930334</v>
      </c>
      <c r="R16" s="222">
        <f t="shared" si="1"/>
        <v>0.28289131565262604</v>
      </c>
      <c r="S16" s="222">
        <f t="shared" si="1"/>
        <v>0.3360938578329882</v>
      </c>
      <c r="T16" s="222">
        <f t="shared" si="1"/>
        <v>-0.14363885088919282</v>
      </c>
      <c r="U16" s="222">
        <f t="shared" si="1"/>
        <v>0.18298144593730004</v>
      </c>
      <c r="V16" s="222">
        <f t="shared" si="1"/>
        <v>-0.044647387113140535</v>
      </c>
      <c r="W16" s="222">
        <f t="shared" si="1"/>
        <v>0.24295906871948914</v>
      </c>
      <c r="X16" s="222">
        <f t="shared" si="1"/>
        <v>0.13971439598610558</v>
      </c>
      <c r="Y16" s="53"/>
    </row>
    <row r="17" spans="2:25" ht="12.75" customHeight="1">
      <c r="B17" s="81" t="s">
        <v>2</v>
      </c>
      <c r="C17" s="102">
        <v>23.54</v>
      </c>
      <c r="D17" s="102">
        <v>20.52</v>
      </c>
      <c r="E17" s="102">
        <v>21.1</v>
      </c>
      <c r="F17" s="102">
        <v>17.82</v>
      </c>
      <c r="G17" s="102">
        <v>24.35</v>
      </c>
      <c r="H17" s="102">
        <v>27.26</v>
      </c>
      <c r="I17" s="102">
        <v>34.69</v>
      </c>
      <c r="J17" s="102">
        <v>37.019999999999996</v>
      </c>
      <c r="K17" s="102">
        <v>42.55</v>
      </c>
      <c r="L17" s="102"/>
      <c r="M17" s="102"/>
      <c r="N17" s="53"/>
      <c r="O17" s="53"/>
      <c r="P17" s="222">
        <f t="shared" si="1"/>
        <v>0.02615518744550993</v>
      </c>
      <c r="Q17" s="222">
        <f t="shared" si="1"/>
        <v>-0.2206608431447019</v>
      </c>
      <c r="R17" s="222">
        <f t="shared" si="1"/>
        <v>-0.14471017430077004</v>
      </c>
      <c r="S17" s="222">
        <f t="shared" si="1"/>
        <v>-0.07954545454545447</v>
      </c>
      <c r="T17" s="222">
        <f t="shared" si="1"/>
        <v>0.9448881789137382</v>
      </c>
      <c r="U17" s="222">
        <f t="shared" si="1"/>
        <v>0.4743104380746348</v>
      </c>
      <c r="V17" s="222">
        <f t="shared" si="1"/>
        <v>0.8422729686670205</v>
      </c>
      <c r="W17" s="222">
        <f t="shared" si="1"/>
        <v>0.1184290030211479</v>
      </c>
      <c r="X17" s="222">
        <f t="shared" si="1"/>
        <v>0.4409075516423975</v>
      </c>
      <c r="Y17" s="53"/>
    </row>
    <row r="18" spans="2:25" ht="12.75" customHeight="1">
      <c r="B18" s="81" t="s">
        <v>122</v>
      </c>
      <c r="C18" s="102">
        <v>22.02</v>
      </c>
      <c r="D18" s="102">
        <v>11.26</v>
      </c>
      <c r="E18" s="102">
        <v>24.48</v>
      </c>
      <c r="F18" s="102">
        <v>15.260000000000002</v>
      </c>
      <c r="G18" s="102">
        <v>16.580000000000002</v>
      </c>
      <c r="H18" s="102">
        <v>16.84</v>
      </c>
      <c r="I18" s="102">
        <v>26.2</v>
      </c>
      <c r="J18" s="102">
        <v>36.230000000000004</v>
      </c>
      <c r="K18" s="102">
        <v>37.019999999999996</v>
      </c>
      <c r="L18" s="102"/>
      <c r="M18" s="102"/>
      <c r="N18" s="53"/>
      <c r="O18" s="53"/>
      <c r="P18" s="222">
        <f t="shared" si="1"/>
        <v>-0.06457094307561595</v>
      </c>
      <c r="Q18" s="222">
        <f t="shared" si="1"/>
        <v>-0.45126705653021437</v>
      </c>
      <c r="R18" s="222">
        <f t="shared" si="1"/>
        <v>0.16018957345971563</v>
      </c>
      <c r="S18" s="222">
        <f t="shared" si="1"/>
        <v>-0.1436588103254769</v>
      </c>
      <c r="T18" s="222">
        <f t="shared" si="1"/>
        <v>-0.31909650924024635</v>
      </c>
      <c r="U18" s="222">
        <f t="shared" si="1"/>
        <v>-0.38224504768892154</v>
      </c>
      <c r="V18" s="222">
        <f t="shared" si="1"/>
        <v>-0.24473911790141245</v>
      </c>
      <c r="W18" s="222">
        <f t="shared" si="1"/>
        <v>-0.021339816315504967</v>
      </c>
      <c r="X18" s="222">
        <f t="shared" si="1"/>
        <v>-0.1299647473560518</v>
      </c>
      <c r="Y18" s="53"/>
    </row>
    <row r="19" spans="2:25" ht="12.75" customHeight="1">
      <c r="B19" s="81" t="s">
        <v>131</v>
      </c>
      <c r="C19" s="102">
        <v>20.37043201224156</v>
      </c>
      <c r="D19" s="102">
        <v>14.861034346434494</v>
      </c>
      <c r="E19" s="102">
        <v>22.069840622540045</v>
      </c>
      <c r="F19" s="102">
        <v>20.40363304091236</v>
      </c>
      <c r="G19" s="102">
        <v>22.892935432721355</v>
      </c>
      <c r="H19" s="102">
        <v>18.231266095438755</v>
      </c>
      <c r="I19" s="102">
        <v>21.75681235539536</v>
      </c>
      <c r="J19" s="102">
        <v>22.80581042314713</v>
      </c>
      <c r="K19" s="102">
        <v>33.98124349810817</v>
      </c>
      <c r="L19" s="102"/>
      <c r="M19" s="102"/>
      <c r="N19" s="53"/>
      <c r="O19" s="53"/>
      <c r="P19" s="222">
        <f t="shared" si="1"/>
        <v>-0.07491226102445225</v>
      </c>
      <c r="Q19" s="222">
        <f t="shared" si="1"/>
        <v>0.3198076684222464</v>
      </c>
      <c r="R19" s="222">
        <f t="shared" si="1"/>
        <v>-0.09845422293545569</v>
      </c>
      <c r="S19" s="222">
        <f t="shared" si="1"/>
        <v>0.3370663853808884</v>
      </c>
      <c r="T19" s="222">
        <f t="shared" si="1"/>
        <v>0.3807560574620841</v>
      </c>
      <c r="U19" s="222">
        <f t="shared" si="1"/>
        <v>0.08261675151061487</v>
      </c>
      <c r="V19" s="222">
        <f t="shared" si="1"/>
        <v>-0.16958731467956634</v>
      </c>
      <c r="W19" s="222">
        <f t="shared" si="1"/>
        <v>-0.3705268997199247</v>
      </c>
      <c r="X19" s="222">
        <f t="shared" si="1"/>
        <v>-0.08208418427584618</v>
      </c>
      <c r="Y19" s="53"/>
    </row>
    <row r="20" spans="2:25" ht="12.75" customHeight="1">
      <c r="B20" s="81" t="s">
        <v>147</v>
      </c>
      <c r="C20" s="102">
        <v>21.5</v>
      </c>
      <c r="D20" s="102">
        <v>12.209999999999999</v>
      </c>
      <c r="E20" s="102">
        <v>23.61</v>
      </c>
      <c r="F20" s="102">
        <v>12.64</v>
      </c>
      <c r="G20" s="102">
        <v>12.79</v>
      </c>
      <c r="H20" s="102">
        <v>15.45</v>
      </c>
      <c r="I20" s="102">
        <v>20.84</v>
      </c>
      <c r="J20" s="102">
        <v>25.14</v>
      </c>
      <c r="K20" s="102">
        <v>31.990000000000002</v>
      </c>
      <c r="L20" s="102">
        <v>9.120669577874818</v>
      </c>
      <c r="M20" s="102"/>
      <c r="N20" s="53"/>
      <c r="O20" s="53"/>
      <c r="P20" s="222">
        <f t="shared" si="1"/>
        <v>0.05545135160018333</v>
      </c>
      <c r="Q20" s="222">
        <f t="shared" si="1"/>
        <v>-0.17838827935086088</v>
      </c>
      <c r="R20" s="222">
        <f t="shared" si="1"/>
        <v>0.06978570456403665</v>
      </c>
      <c r="S20" s="222">
        <f t="shared" si="1"/>
        <v>-0.3805024833246661</v>
      </c>
      <c r="T20" s="222">
        <f t="shared" si="1"/>
        <v>-0.4413123630393426</v>
      </c>
      <c r="U20" s="222">
        <f t="shared" si="1"/>
        <v>-0.15255474199537877</v>
      </c>
      <c r="V20" s="222">
        <f t="shared" si="1"/>
        <v>-0.04213909374311475</v>
      </c>
      <c r="W20" s="222">
        <f t="shared" si="1"/>
        <v>0.10235065246722153</v>
      </c>
      <c r="X20" s="222">
        <f t="shared" si="1"/>
        <v>-0.0585983116897717</v>
      </c>
      <c r="Y20" s="53"/>
    </row>
    <row r="21" spans="2:25" ht="12.75" customHeight="1">
      <c r="B21" s="81" t="s">
        <v>181</v>
      </c>
      <c r="C21" s="102">
        <v>23.15</v>
      </c>
      <c r="D21" s="102">
        <v>15.08</v>
      </c>
      <c r="E21" s="102">
        <v>22.86</v>
      </c>
      <c r="F21" s="102">
        <v>16.31</v>
      </c>
      <c r="G21" s="102">
        <v>16.44</v>
      </c>
      <c r="H21" s="102">
        <v>15.78</v>
      </c>
      <c r="I21" s="102">
        <v>18.21</v>
      </c>
      <c r="J21" s="102">
        <v>17.8</v>
      </c>
      <c r="K21" s="102">
        <v>25.64</v>
      </c>
      <c r="L21" s="102">
        <v>9.12</v>
      </c>
      <c r="M21" s="102"/>
      <c r="N21" s="53"/>
      <c r="O21" s="53"/>
      <c r="P21" s="222">
        <f t="shared" si="1"/>
        <v>0.07674418604651145</v>
      </c>
      <c r="Q21" s="222">
        <f t="shared" si="1"/>
        <v>0.23505323505323505</v>
      </c>
      <c r="R21" s="222">
        <f t="shared" si="1"/>
        <v>-0.031766200762388785</v>
      </c>
      <c r="S21" s="222">
        <f t="shared" si="1"/>
        <v>0.29034810126582267</v>
      </c>
      <c r="T21" s="222">
        <f t="shared" si="1"/>
        <v>0.2853792025019548</v>
      </c>
      <c r="U21" s="222">
        <f t="shared" si="1"/>
        <v>0.021359223300970953</v>
      </c>
      <c r="V21" s="222">
        <f t="shared" si="1"/>
        <v>-0.1261996161228407</v>
      </c>
      <c r="W21" s="222">
        <f t="shared" si="1"/>
        <v>-0.2919649960222752</v>
      </c>
      <c r="X21" s="222">
        <f t="shared" si="1"/>
        <v>-0.19849953110346985</v>
      </c>
      <c r="Y21" s="53"/>
    </row>
    <row r="22" spans="2:25" ht="12.75" customHeight="1">
      <c r="B22" s="117" t="s">
        <v>211</v>
      </c>
      <c r="C22" s="162">
        <v>24.23</v>
      </c>
      <c r="D22" s="162">
        <v>17.81</v>
      </c>
      <c r="E22" s="162">
        <v>17.2</v>
      </c>
      <c r="F22" s="162">
        <v>13.73</v>
      </c>
      <c r="G22" s="162">
        <v>16.919999999999998</v>
      </c>
      <c r="H22" s="162">
        <v>14.809999999999999</v>
      </c>
      <c r="I22" s="162">
        <v>22.619999999999997</v>
      </c>
      <c r="J22" s="162">
        <v>22</v>
      </c>
      <c r="K22" s="162">
        <v>33.2</v>
      </c>
      <c r="L22" s="162">
        <v>9.120000000000001</v>
      </c>
      <c r="M22" s="101"/>
      <c r="N22" s="186"/>
      <c r="O22" s="53"/>
      <c r="P22" s="222">
        <f>+C22/C21-1</f>
        <v>0.046652267818574567</v>
      </c>
      <c r="Q22" s="222">
        <f t="shared" si="1"/>
        <v>0.18103448275862055</v>
      </c>
      <c r="R22" s="222">
        <f t="shared" si="1"/>
        <v>-0.24759405074365703</v>
      </c>
      <c r="S22" s="222">
        <f t="shared" si="1"/>
        <v>-0.15818516247700787</v>
      </c>
      <c r="T22" s="222">
        <f t="shared" si="1"/>
        <v>0.029197080291970545</v>
      </c>
      <c r="U22" s="222">
        <f t="shared" si="1"/>
        <v>-0.06147021546261089</v>
      </c>
      <c r="V22" s="222">
        <f t="shared" si="1"/>
        <v>0.2421746293245468</v>
      </c>
      <c r="W22" s="222">
        <f t="shared" si="1"/>
        <v>0.2359550561797752</v>
      </c>
      <c r="X22" s="222">
        <f t="shared" si="1"/>
        <v>0.294851794071763</v>
      </c>
      <c r="Y22" s="53"/>
    </row>
    <row r="23" spans="2:11" ht="12.75" customHeight="1">
      <c r="B23" s="29" t="s">
        <v>135</v>
      </c>
      <c r="C23" s="54"/>
      <c r="D23" s="54"/>
      <c r="E23" s="54"/>
      <c r="F23" s="54"/>
      <c r="G23" s="54"/>
      <c r="H23" s="54"/>
      <c r="I23" s="54"/>
      <c r="J23" s="54"/>
      <c r="K23" s="54"/>
    </row>
    <row r="24" spans="2:11" ht="12.75" customHeight="1">
      <c r="B24" s="224"/>
      <c r="C24" s="223"/>
      <c r="D24" s="223"/>
      <c r="E24" s="223"/>
      <c r="F24" s="223"/>
      <c r="G24" s="223"/>
      <c r="H24" s="54"/>
      <c r="I24" s="54"/>
      <c r="J24" s="54"/>
      <c r="K24" s="54"/>
    </row>
    <row r="25" spans="2:11" ht="12.75">
      <c r="B25" s="2"/>
      <c r="C25" s="2"/>
      <c r="D25" s="2"/>
      <c r="E25" s="2"/>
      <c r="F25" s="2"/>
      <c r="G25" s="2"/>
      <c r="H25" s="2"/>
      <c r="I25" s="2"/>
      <c r="J25" s="2"/>
      <c r="K25" s="2"/>
    </row>
    <row r="30" ht="12.75">
      <c r="P30" s="287"/>
    </row>
    <row r="45" ht="12.75">
      <c r="N45" s="2"/>
    </row>
    <row r="47" ht="12.75">
      <c r="B47" s="56" t="s">
        <v>162</v>
      </c>
    </row>
    <row r="50" spans="3:12" ht="12.75">
      <c r="C50" s="184"/>
      <c r="D50" s="184"/>
      <c r="E50" s="184"/>
      <c r="F50" s="184"/>
      <c r="G50" s="184"/>
      <c r="H50" s="184"/>
      <c r="I50" s="184"/>
      <c r="J50" s="184"/>
      <c r="K50" s="184"/>
      <c r="L50" s="184"/>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9" customWidth="1"/>
    <col min="2" max="2" width="35.8515625" style="39" customWidth="1"/>
    <col min="3" max="5" width="30.7109375" style="39" customWidth="1"/>
    <col min="6" max="6" width="4.00390625" style="39" customWidth="1"/>
    <col min="7" max="7" width="14.421875" style="39" customWidth="1"/>
    <col min="8" max="16384" width="11.421875" style="39" customWidth="1"/>
  </cols>
  <sheetData>
    <row r="1" ht="6.75" customHeight="1"/>
    <row r="2" spans="2:7" ht="12.75">
      <c r="B2" s="375" t="s">
        <v>250</v>
      </c>
      <c r="C2" s="375"/>
      <c r="D2" s="375"/>
      <c r="E2" s="375"/>
      <c r="G2" s="52" t="s">
        <v>153</v>
      </c>
    </row>
    <row r="3" spans="2:7" ht="14.25">
      <c r="B3" s="376" t="s">
        <v>251</v>
      </c>
      <c r="C3" s="376"/>
      <c r="D3" s="376"/>
      <c r="E3" s="376"/>
      <c r="G3" s="52"/>
    </row>
    <row r="4" spans="2:5" ht="12.75">
      <c r="B4" s="376" t="s">
        <v>214</v>
      </c>
      <c r="C4" s="376"/>
      <c r="D4" s="376"/>
      <c r="E4" s="376"/>
    </row>
    <row r="6" spans="3:5" ht="38.25">
      <c r="C6" s="239" t="s">
        <v>228</v>
      </c>
      <c r="D6" s="239" t="s">
        <v>229</v>
      </c>
      <c r="E6" s="239" t="s">
        <v>230</v>
      </c>
    </row>
    <row r="7" spans="2:5" ht="12.75">
      <c r="B7" s="240" t="s">
        <v>157</v>
      </c>
      <c r="C7" s="241">
        <v>26</v>
      </c>
      <c r="D7" s="241">
        <v>30</v>
      </c>
      <c r="E7" s="241">
        <v>30</v>
      </c>
    </row>
    <row r="8" spans="2:5" ht="12.75">
      <c r="B8" s="240" t="s">
        <v>215</v>
      </c>
      <c r="C8" s="242">
        <v>998000</v>
      </c>
      <c r="D8" s="242">
        <v>803000</v>
      </c>
      <c r="E8" s="242">
        <v>201000</v>
      </c>
    </row>
    <row r="9" spans="2:5" ht="12.75">
      <c r="B9" s="240" t="s">
        <v>216</v>
      </c>
      <c r="C9" s="242">
        <v>612000</v>
      </c>
      <c r="D9" s="242">
        <v>515000</v>
      </c>
      <c r="E9" s="242">
        <v>748000</v>
      </c>
    </row>
    <row r="10" spans="2:5" ht="12.75">
      <c r="B10" s="240" t="s">
        <v>217</v>
      </c>
      <c r="C10" s="242">
        <v>1718582</v>
      </c>
      <c r="D10" s="242">
        <v>1491125</v>
      </c>
      <c r="E10" s="242">
        <v>2071408</v>
      </c>
    </row>
    <row r="11" spans="2:5" ht="14.25">
      <c r="B11" s="243" t="s">
        <v>231</v>
      </c>
      <c r="C11" s="242">
        <v>124821.82499999998</v>
      </c>
      <c r="D11" s="242">
        <v>266867</v>
      </c>
      <c r="E11" s="242">
        <v>286939</v>
      </c>
    </row>
    <row r="12" spans="2:5" ht="12.75">
      <c r="B12" s="244" t="s">
        <v>218</v>
      </c>
      <c r="C12" s="245">
        <f>SUM(C8:C11)</f>
        <v>3453403.825</v>
      </c>
      <c r="D12" s="245">
        <f>SUM(D8:D11)</f>
        <v>3075992</v>
      </c>
      <c r="E12" s="245">
        <f>SUM(E8:E11)</f>
        <v>3307347</v>
      </c>
    </row>
    <row r="13" spans="2:5" ht="14.25">
      <c r="B13" s="240" t="s">
        <v>235</v>
      </c>
      <c r="C13" s="267">
        <f>+AVERAGE('precio mayorista3'!F15:F35)/50</f>
        <v>251.2917535004177</v>
      </c>
      <c r="D13" s="267">
        <f>+AVERAGE('precio mayorista3'!H15:H35)/50</f>
        <v>227.23754206349207</v>
      </c>
      <c r="E13" s="267">
        <f>+AVERAGE('precio mayorista3'!I15:J35)/50</f>
        <v>236.22735200000005</v>
      </c>
    </row>
    <row r="14" spans="2:5" ht="12.75">
      <c r="B14" s="246" t="s">
        <v>219</v>
      </c>
      <c r="C14" s="245">
        <f>C13*C7*1000</f>
        <v>6533585.59101086</v>
      </c>
      <c r="D14" s="245">
        <f>D13*D7*1000</f>
        <v>6817126.261904762</v>
      </c>
      <c r="E14" s="245">
        <f>E13*E7*1000</f>
        <v>7086820.560000002</v>
      </c>
    </row>
    <row r="15" spans="2:5" ht="12.75">
      <c r="B15" s="246" t="s">
        <v>220</v>
      </c>
      <c r="C15" s="247">
        <f>C14-C12</f>
        <v>3080181.76601086</v>
      </c>
      <c r="D15" s="247">
        <f>D14-D12</f>
        <v>3741134.261904762</v>
      </c>
      <c r="E15" s="247">
        <f>E14-E12</f>
        <v>3779473.5600000024</v>
      </c>
    </row>
    <row r="16" spans="2:5" ht="12.75">
      <c r="B16" s="248"/>
      <c r="C16" s="249"/>
      <c r="D16" s="249"/>
      <c r="E16" s="249"/>
    </row>
    <row r="17" spans="2:5" ht="26.25" customHeight="1">
      <c r="B17" s="377" t="s">
        <v>232</v>
      </c>
      <c r="C17" s="377"/>
      <c r="D17" s="377"/>
      <c r="E17" s="377"/>
    </row>
    <row r="18" spans="2:5" ht="12.75">
      <c r="B18" s="378" t="s">
        <v>221</v>
      </c>
      <c r="C18" s="380" t="s">
        <v>252</v>
      </c>
      <c r="D18" s="381"/>
      <c r="E18" s="382"/>
    </row>
    <row r="19" spans="2:5" ht="12.75">
      <c r="B19" s="379"/>
      <c r="C19" s="250">
        <v>190</v>
      </c>
      <c r="D19" s="250">
        <v>240</v>
      </c>
      <c r="E19" s="250">
        <v>280</v>
      </c>
    </row>
    <row r="20" spans="2:5" ht="12.75">
      <c r="B20" s="251">
        <v>20000</v>
      </c>
      <c r="C20" s="257">
        <f aca="true" t="shared" si="0" ref="C20:E22">+$B20*C$19-$C$12</f>
        <v>346596.1749999998</v>
      </c>
      <c r="D20" s="257">
        <f t="shared" si="0"/>
        <v>1346596.1749999998</v>
      </c>
      <c r="E20" s="257">
        <f t="shared" si="0"/>
        <v>2146596.175</v>
      </c>
    </row>
    <row r="21" spans="2:5" ht="12.75">
      <c r="B21" s="251">
        <v>25000</v>
      </c>
      <c r="C21" s="257">
        <f t="shared" si="0"/>
        <v>1296596.1749999998</v>
      </c>
      <c r="D21" s="257">
        <f t="shared" si="0"/>
        <v>2546596.175</v>
      </c>
      <c r="E21" s="257">
        <f t="shared" si="0"/>
        <v>3546596.175</v>
      </c>
    </row>
    <row r="22" spans="2:5" ht="12.75">
      <c r="B22" s="251">
        <v>30000</v>
      </c>
      <c r="C22" s="257">
        <f t="shared" si="0"/>
        <v>2246596.175</v>
      </c>
      <c r="D22" s="257">
        <f t="shared" si="0"/>
        <v>3746596.175</v>
      </c>
      <c r="E22" s="257">
        <f t="shared" si="0"/>
        <v>4946596.175</v>
      </c>
    </row>
    <row r="23" spans="2:5" ht="12.75">
      <c r="B23" s="254"/>
      <c r="C23" s="255"/>
      <c r="D23" s="255"/>
      <c r="E23" s="255"/>
    </row>
    <row r="24" spans="2:5" ht="15" customHeight="1">
      <c r="B24" s="377" t="s">
        <v>238</v>
      </c>
      <c r="C24" s="377"/>
      <c r="D24" s="377"/>
      <c r="E24" s="377"/>
    </row>
    <row r="25" spans="2:5" ht="12.75">
      <c r="B25" s="258" t="s">
        <v>234</v>
      </c>
      <c r="C25" s="256">
        <f>+B20</f>
        <v>20000</v>
      </c>
      <c r="D25" s="256">
        <f>+B21</f>
        <v>25000</v>
      </c>
      <c r="E25" s="256">
        <f>+B22</f>
        <v>30000</v>
      </c>
    </row>
    <row r="26" spans="2:5" ht="12.75">
      <c r="B26" s="258" t="s">
        <v>237</v>
      </c>
      <c r="C26" s="257">
        <f>+$C12/C25</f>
        <v>172.67019125000002</v>
      </c>
      <c r="D26" s="257">
        <f>+$C12/D25</f>
        <v>138.136153</v>
      </c>
      <c r="E26" s="257">
        <f>+$C12/E25</f>
        <v>115.11346083333333</v>
      </c>
    </row>
    <row r="27" spans="2:5" ht="12.75">
      <c r="B27" s="252" t="s">
        <v>233</v>
      </c>
      <c r="C27" s="252"/>
      <c r="D27" s="252"/>
      <c r="E27" s="252"/>
    </row>
    <row r="28" spans="2:5" ht="12.75">
      <c r="B28" s="253" t="s">
        <v>222</v>
      </c>
      <c r="C28" s="253"/>
      <c r="D28" s="253"/>
      <c r="E28" s="253"/>
    </row>
    <row r="29" spans="2:5" ht="12.75">
      <c r="B29" s="383" t="s">
        <v>242</v>
      </c>
      <c r="C29" s="383"/>
      <c r="D29" s="383"/>
      <c r="E29" s="383"/>
    </row>
    <row r="30" spans="2:5" ht="12.75">
      <c r="B30" s="383" t="s">
        <v>223</v>
      </c>
      <c r="C30" s="383"/>
      <c r="D30" s="383"/>
      <c r="E30" s="383"/>
    </row>
    <row r="31" spans="2:5" ht="12.75">
      <c r="B31" s="383" t="s">
        <v>266</v>
      </c>
      <c r="C31" s="383"/>
      <c r="D31" s="383"/>
      <c r="E31" s="383"/>
    </row>
    <row r="32" spans="2:5" ht="12.75">
      <c r="B32" s="383" t="s">
        <v>243</v>
      </c>
      <c r="C32" s="383"/>
      <c r="D32" s="383"/>
      <c r="E32" s="383"/>
    </row>
    <row r="33" spans="2:5" ht="12.75">
      <c r="B33" s="383" t="s">
        <v>224</v>
      </c>
      <c r="C33" s="383"/>
      <c r="D33" s="383"/>
      <c r="E33" s="383"/>
    </row>
    <row r="34" spans="2:5" ht="12.75">
      <c r="B34" s="383" t="s">
        <v>236</v>
      </c>
      <c r="C34" s="383"/>
      <c r="D34" s="383"/>
      <c r="E34" s="383"/>
    </row>
  </sheetData>
  <sheetProtection/>
  <mergeCells count="13">
    <mergeCell ref="B24:E24"/>
    <mergeCell ref="B32:E32"/>
    <mergeCell ref="B34:E34"/>
    <mergeCell ref="B29:E29"/>
    <mergeCell ref="B30:E30"/>
    <mergeCell ref="B31:E31"/>
    <mergeCell ref="B33:E33"/>
    <mergeCell ref="B2:E2"/>
    <mergeCell ref="B4:E4"/>
    <mergeCell ref="B17:E17"/>
    <mergeCell ref="B18:B19"/>
    <mergeCell ref="C18:E18"/>
    <mergeCell ref="B3:E3"/>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S45"/>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7.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8.7109375" style="191" customWidth="1"/>
    <col min="15" max="18" width="10.8515625" style="322" hidden="1" customWidth="1"/>
    <col min="19" max="19" width="10.8515625" style="191" customWidth="1"/>
    <col min="20" max="16384" width="10.8515625" style="39" customWidth="1"/>
  </cols>
  <sheetData>
    <row r="1" ht="5.25" customHeight="1"/>
    <row r="2" spans="2:13" ht="12.75">
      <c r="B2" s="387" t="s">
        <v>225</v>
      </c>
      <c r="C2" s="387"/>
      <c r="D2" s="387"/>
      <c r="E2" s="387"/>
      <c r="F2" s="387"/>
      <c r="G2" s="387"/>
      <c r="H2" s="387"/>
      <c r="I2" s="387"/>
      <c r="J2" s="387"/>
      <c r="K2" s="387"/>
      <c r="L2" s="132"/>
      <c r="M2" s="52" t="s">
        <v>153</v>
      </c>
    </row>
    <row r="3" spans="2:13" ht="12.75">
      <c r="B3" s="132"/>
      <c r="C3" s="132"/>
      <c r="D3" s="132"/>
      <c r="E3" s="132"/>
      <c r="F3" s="132"/>
      <c r="G3" s="132"/>
      <c r="H3" s="132"/>
      <c r="I3" s="132"/>
      <c r="J3" s="132"/>
      <c r="K3" s="132"/>
      <c r="L3" s="132"/>
      <c r="M3" s="52"/>
    </row>
    <row r="4" spans="2:12" ht="12.75">
      <c r="B4" s="391" t="s">
        <v>71</v>
      </c>
      <c r="C4" s="393" t="s">
        <v>72</v>
      </c>
      <c r="D4" s="388" t="s">
        <v>73</v>
      </c>
      <c r="E4" s="389"/>
      <c r="F4" s="389"/>
      <c r="G4" s="390"/>
      <c r="H4" s="388" t="s">
        <v>74</v>
      </c>
      <c r="I4" s="389"/>
      <c r="J4" s="389"/>
      <c r="K4" s="390"/>
      <c r="L4" s="132"/>
    </row>
    <row r="5" spans="2:18" ht="27.75" customHeight="1">
      <c r="B5" s="392"/>
      <c r="C5" s="394"/>
      <c r="D5" s="270" t="s">
        <v>197</v>
      </c>
      <c r="E5" s="271" t="s">
        <v>269</v>
      </c>
      <c r="F5" s="271" t="s">
        <v>270</v>
      </c>
      <c r="G5" s="272" t="s">
        <v>44</v>
      </c>
      <c r="H5" s="270" t="str">
        <f>+D5</f>
        <v>2015</v>
      </c>
      <c r="I5" s="273" t="str">
        <f>+E5</f>
        <v>ene-ago 2015</v>
      </c>
      <c r="J5" s="273" t="str">
        <f>+F5</f>
        <v>ene-ago 2016</v>
      </c>
      <c r="K5" s="274" t="s">
        <v>44</v>
      </c>
      <c r="L5" s="133"/>
      <c r="M5" s="48"/>
      <c r="O5" s="289" t="s">
        <v>198</v>
      </c>
      <c r="P5" s="289" t="s">
        <v>192</v>
      </c>
      <c r="Q5" s="289" t="s">
        <v>206</v>
      </c>
      <c r="R5" s="289" t="s">
        <v>207</v>
      </c>
    </row>
    <row r="6" spans="2:18" ht="12.75" customHeight="1">
      <c r="B6" s="384" t="s">
        <v>91</v>
      </c>
      <c r="C6" s="176" t="s">
        <v>79</v>
      </c>
      <c r="D6" s="45">
        <v>384050.24</v>
      </c>
      <c r="E6" s="46">
        <v>228869.2</v>
      </c>
      <c r="F6" s="46">
        <v>421907.64</v>
      </c>
      <c r="G6" s="47">
        <v>84.34443778367731</v>
      </c>
      <c r="H6" s="45">
        <v>2511736.37</v>
      </c>
      <c r="I6" s="46">
        <v>1515513.55</v>
      </c>
      <c r="J6" s="46">
        <v>2561225.28</v>
      </c>
      <c r="K6" s="47">
        <v>69.00048699663554</v>
      </c>
      <c r="L6" s="134"/>
      <c r="O6" s="219">
        <f>+F6-E6</f>
        <v>193038.44</v>
      </c>
      <c r="P6" s="219">
        <f>+J6-I6</f>
        <v>1045711.7299999997</v>
      </c>
      <c r="Q6" s="290">
        <f>+IF(E6=0,"",I6/E6)</f>
        <v>6.621745302557094</v>
      </c>
      <c r="R6" s="290">
        <f>+IF(F6=0,"",J6/F6)</f>
        <v>6.070582841306215</v>
      </c>
    </row>
    <row r="7" spans="2:18" ht="12.75">
      <c r="B7" s="385"/>
      <c r="C7" s="177" t="s">
        <v>92</v>
      </c>
      <c r="D7" s="49">
        <v>217167.83</v>
      </c>
      <c r="E7" s="50">
        <v>159135.37</v>
      </c>
      <c r="F7" s="50">
        <v>72658.92</v>
      </c>
      <c r="G7" s="51">
        <v>-54.34143898996182</v>
      </c>
      <c r="H7" s="49">
        <v>850841.11</v>
      </c>
      <c r="I7" s="50">
        <v>641042.85</v>
      </c>
      <c r="J7" s="50">
        <v>267995.17</v>
      </c>
      <c r="K7" s="51">
        <v>-58.193875807210084</v>
      </c>
      <c r="L7" s="134"/>
      <c r="O7" s="219">
        <f aca="true" t="shared" si="0" ref="O7:O43">+F7-E7</f>
        <v>-86476.45</v>
      </c>
      <c r="P7" s="219">
        <f aca="true" t="shared" si="1" ref="P7:P43">+J7-I7</f>
        <v>-373047.68</v>
      </c>
      <c r="Q7" s="290">
        <f aca="true" t="shared" si="2" ref="Q7:Q43">+IF(E7=0,"",I7/E7)</f>
        <v>4.028286420548744</v>
      </c>
      <c r="R7" s="290">
        <f aca="true" t="shared" si="3" ref="R7:R43">+IF(F7=0,"",J7/F7)</f>
        <v>3.688400130362521</v>
      </c>
    </row>
    <row r="8" spans="2:18" ht="12.75" customHeight="1">
      <c r="B8" s="385"/>
      <c r="C8" s="177" t="s">
        <v>90</v>
      </c>
      <c r="D8" s="49">
        <v>18144.63</v>
      </c>
      <c r="E8" s="50">
        <v>10312.99</v>
      </c>
      <c r="F8" s="50">
        <v>12119.32</v>
      </c>
      <c r="G8" s="51">
        <v>17.515095040332618</v>
      </c>
      <c r="H8" s="49">
        <v>105131.04</v>
      </c>
      <c r="I8" s="50">
        <v>55749.63</v>
      </c>
      <c r="J8" s="50">
        <v>82028.31</v>
      </c>
      <c r="K8" s="51">
        <v>47.13695857712419</v>
      </c>
      <c r="L8" s="134"/>
      <c r="O8" s="219">
        <f t="shared" si="0"/>
        <v>1806.33</v>
      </c>
      <c r="P8" s="219">
        <f t="shared" si="1"/>
        <v>26278.68</v>
      </c>
      <c r="Q8" s="290">
        <f t="shared" si="2"/>
        <v>5.405767871393262</v>
      </c>
      <c r="R8" s="290">
        <f t="shared" si="3"/>
        <v>6.7683921210100895</v>
      </c>
    </row>
    <row r="9" spans="2:18" ht="12.75" customHeight="1">
      <c r="B9" s="385"/>
      <c r="C9" s="177" t="s">
        <v>77</v>
      </c>
      <c r="D9" s="49">
        <v>7991.14</v>
      </c>
      <c r="E9" s="50">
        <v>2587.9</v>
      </c>
      <c r="F9" s="50">
        <v>11028.64</v>
      </c>
      <c r="G9" s="51">
        <v>326.1617527725182</v>
      </c>
      <c r="H9" s="49">
        <v>50755.05</v>
      </c>
      <c r="I9" s="50">
        <v>9589.1</v>
      </c>
      <c r="J9" s="50">
        <v>89389.23</v>
      </c>
      <c r="K9" s="51">
        <v>832.1962436516461</v>
      </c>
      <c r="L9" s="134"/>
      <c r="O9" s="219">
        <f t="shared" si="0"/>
        <v>8440.74</v>
      </c>
      <c r="P9" s="219">
        <f t="shared" si="1"/>
        <v>79800.12999999999</v>
      </c>
      <c r="Q9" s="290">
        <f t="shared" si="2"/>
        <v>3.7053595579427334</v>
      </c>
      <c r="R9" s="290">
        <f t="shared" si="3"/>
        <v>8.105190667208287</v>
      </c>
    </row>
    <row r="10" spans="2:18" ht="12.75">
      <c r="B10" s="385"/>
      <c r="C10" s="177" t="s">
        <v>87</v>
      </c>
      <c r="D10" s="49">
        <v>3841.6</v>
      </c>
      <c r="E10" s="50">
        <v>2753.8</v>
      </c>
      <c r="F10" s="50">
        <v>121.52</v>
      </c>
      <c r="G10" s="51">
        <v>-95.58718861209965</v>
      </c>
      <c r="H10" s="49">
        <v>26718.37</v>
      </c>
      <c r="I10" s="50">
        <v>19158.26</v>
      </c>
      <c r="J10" s="50">
        <v>851.16</v>
      </c>
      <c r="K10" s="51">
        <v>-95.55721657394773</v>
      </c>
      <c r="L10" s="134"/>
      <c r="O10" s="219">
        <f t="shared" si="0"/>
        <v>-2632.28</v>
      </c>
      <c r="P10" s="219">
        <f t="shared" si="1"/>
        <v>-18307.1</v>
      </c>
      <c r="Q10" s="290">
        <f t="shared" si="2"/>
        <v>6.957026654078001</v>
      </c>
      <c r="R10" s="290">
        <f t="shared" si="3"/>
        <v>7.004279131007242</v>
      </c>
    </row>
    <row r="11" spans="2:18" ht="12.75">
      <c r="B11" s="385"/>
      <c r="C11" s="177" t="s">
        <v>95</v>
      </c>
      <c r="D11" s="49">
        <v>826.4</v>
      </c>
      <c r="E11" s="50">
        <v>826.4</v>
      </c>
      <c r="F11" s="50">
        <v>0</v>
      </c>
      <c r="G11" s="51">
        <v>-100</v>
      </c>
      <c r="H11" s="49">
        <v>4804.8</v>
      </c>
      <c r="I11" s="50">
        <v>4804.8</v>
      </c>
      <c r="J11" s="50">
        <v>0</v>
      </c>
      <c r="K11" s="51">
        <v>-100</v>
      </c>
      <c r="L11" s="134"/>
      <c r="O11" s="219">
        <f t="shared" si="0"/>
        <v>-826.4</v>
      </c>
      <c r="P11" s="219">
        <f t="shared" si="1"/>
        <v>-4804.8</v>
      </c>
      <c r="Q11" s="290">
        <f t="shared" si="2"/>
        <v>5.814133591481124</v>
      </c>
      <c r="R11" s="290">
        <f t="shared" si="3"/>
      </c>
    </row>
    <row r="12" spans="2:18" ht="12.75">
      <c r="B12" s="385"/>
      <c r="C12" s="177" t="s">
        <v>186</v>
      </c>
      <c r="D12" s="49">
        <v>509.6</v>
      </c>
      <c r="E12" s="50">
        <v>509.6</v>
      </c>
      <c r="F12" s="50">
        <v>98</v>
      </c>
      <c r="G12" s="51">
        <v>-80.76923076923077</v>
      </c>
      <c r="H12" s="49">
        <v>3562</v>
      </c>
      <c r="I12" s="50">
        <v>3562</v>
      </c>
      <c r="J12" s="50">
        <v>687</v>
      </c>
      <c r="K12" s="51">
        <v>-80.71308253790006</v>
      </c>
      <c r="L12" s="134"/>
      <c r="O12" s="219">
        <f t="shared" si="0"/>
        <v>-411.6</v>
      </c>
      <c r="P12" s="219">
        <f t="shared" si="1"/>
        <v>-2875</v>
      </c>
      <c r="Q12" s="290">
        <f t="shared" si="2"/>
        <v>6.989795918367347</v>
      </c>
      <c r="R12" s="290">
        <f t="shared" si="3"/>
        <v>7.010204081632653</v>
      </c>
    </row>
    <row r="13" spans="2:18" ht="12.75">
      <c r="B13" s="385"/>
      <c r="C13" s="177" t="s">
        <v>121</v>
      </c>
      <c r="D13" s="49">
        <v>104.2</v>
      </c>
      <c r="E13" s="50">
        <v>91.2</v>
      </c>
      <c r="F13" s="50">
        <v>205.6</v>
      </c>
      <c r="G13" s="51">
        <v>125.43859649122804</v>
      </c>
      <c r="H13" s="49">
        <v>1514.68</v>
      </c>
      <c r="I13" s="50">
        <v>1260.56</v>
      </c>
      <c r="J13" s="50">
        <v>2159.7</v>
      </c>
      <c r="K13" s="51">
        <v>71.32861585327154</v>
      </c>
      <c r="L13" s="134"/>
      <c r="O13" s="219">
        <f t="shared" si="0"/>
        <v>114.39999999999999</v>
      </c>
      <c r="P13" s="219">
        <f t="shared" si="1"/>
        <v>899.1399999999999</v>
      </c>
      <c r="Q13" s="290">
        <f t="shared" si="2"/>
        <v>13.821929824561403</v>
      </c>
      <c r="R13" s="290">
        <f t="shared" si="3"/>
        <v>10.504377431906613</v>
      </c>
    </row>
    <row r="14" spans="2:18" ht="12.75">
      <c r="B14" s="385"/>
      <c r="C14" s="177" t="s">
        <v>182</v>
      </c>
      <c r="D14" s="49">
        <v>25.56</v>
      </c>
      <c r="E14" s="50">
        <v>25.56</v>
      </c>
      <c r="F14" s="50">
        <v>0</v>
      </c>
      <c r="G14" s="51">
        <v>-100</v>
      </c>
      <c r="H14" s="49">
        <v>648</v>
      </c>
      <c r="I14" s="50">
        <v>648</v>
      </c>
      <c r="J14" s="50">
        <v>0</v>
      </c>
      <c r="K14" s="51">
        <v>-100</v>
      </c>
      <c r="L14" s="135"/>
      <c r="O14" s="219">
        <f t="shared" si="0"/>
        <v>-25.56</v>
      </c>
      <c r="P14" s="219">
        <f t="shared" si="1"/>
        <v>-648</v>
      </c>
      <c r="Q14" s="290">
        <f t="shared" si="2"/>
        <v>25.35211267605634</v>
      </c>
      <c r="R14" s="290">
        <f t="shared" si="3"/>
      </c>
    </row>
    <row r="15" spans="2:18" ht="12.75" customHeight="1">
      <c r="B15" s="385"/>
      <c r="C15" s="177" t="s">
        <v>103</v>
      </c>
      <c r="D15" s="49">
        <v>20</v>
      </c>
      <c r="E15" s="50">
        <v>20</v>
      </c>
      <c r="F15" s="50">
        <v>0</v>
      </c>
      <c r="G15" s="51">
        <v>-100</v>
      </c>
      <c r="H15" s="49">
        <v>100</v>
      </c>
      <c r="I15" s="50">
        <v>100</v>
      </c>
      <c r="J15" s="50">
        <v>0</v>
      </c>
      <c r="K15" s="51">
        <v>-100</v>
      </c>
      <c r="L15" s="134"/>
      <c r="O15" s="219">
        <f t="shared" si="0"/>
        <v>-20</v>
      </c>
      <c r="P15" s="219">
        <f t="shared" si="1"/>
        <v>-100</v>
      </c>
      <c r="Q15" s="290">
        <f t="shared" si="2"/>
        <v>5</v>
      </c>
      <c r="R15" s="290">
        <f t="shared" si="3"/>
      </c>
    </row>
    <row r="16" spans="2:18" ht="12.75" customHeight="1">
      <c r="B16" s="385"/>
      <c r="C16" s="177" t="s">
        <v>267</v>
      </c>
      <c r="D16" s="49">
        <v>0</v>
      </c>
      <c r="E16" s="50">
        <v>0</v>
      </c>
      <c r="F16" s="50">
        <v>12.6</v>
      </c>
      <c r="G16" s="51" t="s">
        <v>268</v>
      </c>
      <c r="H16" s="50">
        <v>0</v>
      </c>
      <c r="I16" s="50">
        <v>0</v>
      </c>
      <c r="J16" s="50">
        <v>35.35</v>
      </c>
      <c r="K16" s="51" t="s">
        <v>268</v>
      </c>
      <c r="L16" s="134"/>
      <c r="O16" s="219"/>
      <c r="P16" s="219"/>
      <c r="Q16" s="290"/>
      <c r="R16" s="290"/>
    </row>
    <row r="17" spans="2:19" s="302" customFormat="1" ht="12.75" customHeight="1">
      <c r="B17" s="386"/>
      <c r="C17" s="316" t="s">
        <v>76</v>
      </c>
      <c r="D17" s="306">
        <v>0</v>
      </c>
      <c r="E17" s="307">
        <v>0</v>
      </c>
      <c r="F17" s="307">
        <v>137.3</v>
      </c>
      <c r="G17" s="308" t="s">
        <v>268</v>
      </c>
      <c r="H17" s="307">
        <v>0</v>
      </c>
      <c r="I17" s="307">
        <v>0</v>
      </c>
      <c r="J17" s="307">
        <v>846.56</v>
      </c>
      <c r="K17" s="308" t="s">
        <v>268</v>
      </c>
      <c r="L17" s="313"/>
      <c r="N17" s="191"/>
      <c r="O17" s="219"/>
      <c r="P17" s="219"/>
      <c r="Q17" s="290"/>
      <c r="R17" s="290"/>
      <c r="S17" s="191"/>
    </row>
    <row r="18" spans="2:18" ht="12.75">
      <c r="B18" s="151" t="s">
        <v>114</v>
      </c>
      <c r="C18" s="152"/>
      <c r="D18" s="72">
        <v>632681.2000000001</v>
      </c>
      <c r="E18" s="73">
        <v>405132.01999999996</v>
      </c>
      <c r="F18" s="73">
        <v>518289.54</v>
      </c>
      <c r="G18" s="74">
        <v>27.931023571032476</v>
      </c>
      <c r="H18" s="73">
        <v>3555811.42</v>
      </c>
      <c r="I18" s="73">
        <v>2251428.75</v>
      </c>
      <c r="J18" s="73">
        <v>3005217.7600000002</v>
      </c>
      <c r="K18" s="74">
        <v>33.480473676992894</v>
      </c>
      <c r="L18" s="135"/>
      <c r="O18" s="219">
        <f t="shared" si="0"/>
        <v>113157.52000000002</v>
      </c>
      <c r="P18" s="219">
        <f t="shared" si="1"/>
        <v>753789.0100000002</v>
      </c>
      <c r="Q18" s="290">
        <f t="shared" si="2"/>
        <v>5.55727179994314</v>
      </c>
      <c r="R18" s="290">
        <f t="shared" si="3"/>
        <v>5.798337662766647</v>
      </c>
    </row>
    <row r="19" spans="2:18" ht="12.75" customHeight="1">
      <c r="B19" s="384" t="s">
        <v>132</v>
      </c>
      <c r="C19" s="75" t="s">
        <v>76</v>
      </c>
      <c r="D19" s="45">
        <v>550000</v>
      </c>
      <c r="E19" s="46">
        <v>525000</v>
      </c>
      <c r="F19" s="46">
        <v>725000</v>
      </c>
      <c r="G19" s="47">
        <v>38.095238095238095</v>
      </c>
      <c r="H19" s="46">
        <v>560050</v>
      </c>
      <c r="I19" s="46">
        <v>535050</v>
      </c>
      <c r="J19" s="46">
        <v>766100</v>
      </c>
      <c r="K19" s="47">
        <v>43.18288010466311</v>
      </c>
      <c r="L19" s="134"/>
      <c r="O19" s="219">
        <f t="shared" si="0"/>
        <v>200000</v>
      </c>
      <c r="P19" s="219">
        <f t="shared" si="1"/>
        <v>231050</v>
      </c>
      <c r="Q19" s="290">
        <f t="shared" si="2"/>
        <v>1.0191428571428571</v>
      </c>
      <c r="R19" s="290">
        <f t="shared" si="3"/>
        <v>1.0566896551724139</v>
      </c>
    </row>
    <row r="20" spans="2:18" ht="12.75">
      <c r="B20" s="385"/>
      <c r="C20" s="76" t="s">
        <v>82</v>
      </c>
      <c r="D20" s="49">
        <v>192000</v>
      </c>
      <c r="E20" s="50">
        <v>192000</v>
      </c>
      <c r="F20" s="50">
        <v>240000</v>
      </c>
      <c r="G20" s="51">
        <v>25</v>
      </c>
      <c r="H20" s="50">
        <v>220800</v>
      </c>
      <c r="I20" s="50">
        <v>220800</v>
      </c>
      <c r="J20" s="50">
        <v>268800</v>
      </c>
      <c r="K20" s="51">
        <v>21.739130434782616</v>
      </c>
      <c r="L20" s="134"/>
      <c r="O20" s="219">
        <f t="shared" si="0"/>
        <v>48000</v>
      </c>
      <c r="P20" s="219">
        <f t="shared" si="1"/>
        <v>48000</v>
      </c>
      <c r="Q20" s="290">
        <f t="shared" si="2"/>
        <v>1.15</v>
      </c>
      <c r="R20" s="290">
        <f t="shared" si="3"/>
        <v>1.12</v>
      </c>
    </row>
    <row r="21" spans="2:18" ht="12.75">
      <c r="B21" s="151" t="s">
        <v>133</v>
      </c>
      <c r="C21" s="152"/>
      <c r="D21" s="72">
        <v>742000</v>
      </c>
      <c r="E21" s="73">
        <v>717000</v>
      </c>
      <c r="F21" s="73">
        <v>965000</v>
      </c>
      <c r="G21" s="47">
        <v>34.58856345885635</v>
      </c>
      <c r="H21" s="73">
        <v>780850</v>
      </c>
      <c r="I21" s="73">
        <v>755850</v>
      </c>
      <c r="J21" s="73">
        <v>1034900</v>
      </c>
      <c r="K21" s="47">
        <v>36.918700800423366</v>
      </c>
      <c r="L21" s="134"/>
      <c r="O21" s="219">
        <f t="shared" si="0"/>
        <v>248000</v>
      </c>
      <c r="P21" s="219">
        <f t="shared" si="1"/>
        <v>279050</v>
      </c>
      <c r="Q21" s="290">
        <f t="shared" si="2"/>
        <v>1.05418410041841</v>
      </c>
      <c r="R21" s="290">
        <f t="shared" si="3"/>
        <v>1.0724352331606217</v>
      </c>
    </row>
    <row r="22" spans="2:18" ht="12.75">
      <c r="B22" s="384" t="s">
        <v>86</v>
      </c>
      <c r="C22" s="75" t="s">
        <v>92</v>
      </c>
      <c r="D22" s="45">
        <v>222000</v>
      </c>
      <c r="E22" s="46">
        <v>197375</v>
      </c>
      <c r="F22" s="46">
        <v>0</v>
      </c>
      <c r="G22" s="47">
        <v>-100</v>
      </c>
      <c r="H22" s="46">
        <v>148108.2</v>
      </c>
      <c r="I22" s="46">
        <v>132348.2</v>
      </c>
      <c r="J22" s="46">
        <v>0</v>
      </c>
      <c r="K22" s="47">
        <v>-100</v>
      </c>
      <c r="L22" s="134"/>
      <c r="O22" s="219">
        <f t="shared" si="0"/>
        <v>-197375</v>
      </c>
      <c r="P22" s="219">
        <f t="shared" si="1"/>
        <v>-132348.2</v>
      </c>
      <c r="Q22" s="290">
        <f t="shared" si="2"/>
        <v>0.6705418619379354</v>
      </c>
      <c r="R22" s="290">
        <f t="shared" si="3"/>
      </c>
    </row>
    <row r="23" spans="2:18" ht="12.75">
      <c r="B23" s="385"/>
      <c r="C23" s="76" t="s">
        <v>121</v>
      </c>
      <c r="D23" s="49">
        <v>600</v>
      </c>
      <c r="E23" s="50">
        <v>600</v>
      </c>
      <c r="F23" s="50">
        <v>300</v>
      </c>
      <c r="G23" s="51">
        <v>-50</v>
      </c>
      <c r="H23" s="50">
        <v>1092</v>
      </c>
      <c r="I23" s="50">
        <v>1092</v>
      </c>
      <c r="J23" s="50">
        <v>297</v>
      </c>
      <c r="K23" s="51">
        <v>-72.80219780219781</v>
      </c>
      <c r="L23" s="134"/>
      <c r="O23" s="219">
        <f t="shared" si="0"/>
        <v>-300</v>
      </c>
      <c r="P23" s="219">
        <f t="shared" si="1"/>
        <v>-795</v>
      </c>
      <c r="Q23" s="290">
        <f t="shared" si="2"/>
        <v>1.82</v>
      </c>
      <c r="R23" s="290">
        <f t="shared" si="3"/>
        <v>0.99</v>
      </c>
    </row>
    <row r="24" spans="2:18" ht="12.75">
      <c r="B24" s="385"/>
      <c r="C24" s="76" t="s">
        <v>79</v>
      </c>
      <c r="D24" s="49">
        <v>0</v>
      </c>
      <c r="E24" s="50">
        <v>0</v>
      </c>
      <c r="F24" s="50">
        <v>252000</v>
      </c>
      <c r="G24" s="51" t="s">
        <v>268</v>
      </c>
      <c r="H24" s="50">
        <v>0</v>
      </c>
      <c r="I24" s="50">
        <v>0</v>
      </c>
      <c r="J24" s="50">
        <v>72100</v>
      </c>
      <c r="K24" s="51" t="s">
        <v>268</v>
      </c>
      <c r="L24" s="135"/>
      <c r="O24" s="219">
        <f t="shared" si="0"/>
        <v>252000</v>
      </c>
      <c r="P24" s="219">
        <f t="shared" si="1"/>
        <v>72100</v>
      </c>
      <c r="Q24" s="290">
        <f t="shared" si="2"/>
      </c>
      <c r="R24" s="290">
        <f t="shared" si="3"/>
        <v>0.2861111111111111</v>
      </c>
    </row>
    <row r="25" spans="2:18" ht="12.75" customHeight="1">
      <c r="B25" s="386"/>
      <c r="C25" s="76" t="s">
        <v>76</v>
      </c>
      <c r="D25" s="49">
        <v>0</v>
      </c>
      <c r="E25" s="50">
        <v>0</v>
      </c>
      <c r="F25" s="50">
        <v>2219600</v>
      </c>
      <c r="G25" s="51" t="s">
        <v>268</v>
      </c>
      <c r="H25" s="50">
        <v>0</v>
      </c>
      <c r="I25" s="50">
        <v>0</v>
      </c>
      <c r="J25" s="50">
        <v>961517</v>
      </c>
      <c r="K25" s="51" t="s">
        <v>268</v>
      </c>
      <c r="L25" s="134"/>
      <c r="O25" s="219">
        <f t="shared" si="0"/>
        <v>2219600</v>
      </c>
      <c r="P25" s="219">
        <f t="shared" si="1"/>
        <v>961517</v>
      </c>
      <c r="Q25" s="290">
        <f t="shared" si="2"/>
      </c>
      <c r="R25" s="290">
        <f t="shared" si="3"/>
        <v>0.43319381870607315</v>
      </c>
    </row>
    <row r="26" spans="2:18" ht="12.75">
      <c r="B26" s="151" t="s">
        <v>118</v>
      </c>
      <c r="C26" s="152"/>
      <c r="D26" s="72">
        <v>222600</v>
      </c>
      <c r="E26" s="73">
        <v>197975</v>
      </c>
      <c r="F26" s="107">
        <v>2471900</v>
      </c>
      <c r="G26" s="74">
        <v>1148.5919939386288</v>
      </c>
      <c r="H26" s="73">
        <v>149200.2</v>
      </c>
      <c r="I26" s="73">
        <v>133440.2</v>
      </c>
      <c r="J26" s="73">
        <v>1033914</v>
      </c>
      <c r="K26" s="74">
        <v>674.8144861893193</v>
      </c>
      <c r="L26" s="134"/>
      <c r="O26" s="219">
        <f t="shared" si="0"/>
        <v>2273925</v>
      </c>
      <c r="P26" s="219">
        <f t="shared" si="1"/>
        <v>900473.8</v>
      </c>
      <c r="Q26" s="290">
        <f t="shared" si="2"/>
        <v>0.6740255082712464</v>
      </c>
      <c r="R26" s="290">
        <f t="shared" si="3"/>
        <v>0.4182669201828553</v>
      </c>
    </row>
    <row r="27" spans="2:18" ht="12.75" customHeight="1">
      <c r="B27" s="384" t="s">
        <v>75</v>
      </c>
      <c r="C27" s="75" t="s">
        <v>80</v>
      </c>
      <c r="D27" s="45">
        <v>24815.5</v>
      </c>
      <c r="E27" s="46">
        <v>15756.5</v>
      </c>
      <c r="F27" s="46">
        <v>16680</v>
      </c>
      <c r="G27" s="47">
        <v>5.86107320788245</v>
      </c>
      <c r="H27" s="46">
        <v>59166.14</v>
      </c>
      <c r="I27" s="46">
        <v>37459.83</v>
      </c>
      <c r="J27" s="46">
        <v>34974</v>
      </c>
      <c r="K27" s="47">
        <v>-6.6359884708499735</v>
      </c>
      <c r="L27" s="134"/>
      <c r="O27" s="219">
        <f t="shared" si="0"/>
        <v>923.5</v>
      </c>
      <c r="P27" s="219">
        <f t="shared" si="1"/>
        <v>-2485.8300000000017</v>
      </c>
      <c r="Q27" s="290">
        <f t="shared" si="2"/>
        <v>2.3774207469933044</v>
      </c>
      <c r="R27" s="290">
        <f t="shared" si="3"/>
        <v>2.0967625899280575</v>
      </c>
    </row>
    <row r="28" spans="2:18" ht="12.75" customHeight="1">
      <c r="B28" s="385"/>
      <c r="C28" s="76" t="s">
        <v>78</v>
      </c>
      <c r="D28" s="49">
        <v>1200</v>
      </c>
      <c r="E28" s="50">
        <v>1200</v>
      </c>
      <c r="F28" s="50">
        <v>0</v>
      </c>
      <c r="G28" s="51">
        <v>-100</v>
      </c>
      <c r="H28" s="50">
        <v>3526.82</v>
      </c>
      <c r="I28" s="50">
        <v>3526.82</v>
      </c>
      <c r="J28" s="50">
        <v>0</v>
      </c>
      <c r="K28" s="51">
        <v>-100</v>
      </c>
      <c r="L28" s="134"/>
      <c r="O28" s="219">
        <f t="shared" si="0"/>
        <v>-1200</v>
      </c>
      <c r="P28" s="219">
        <f t="shared" si="1"/>
        <v>-3526.82</v>
      </c>
      <c r="Q28" s="290">
        <f t="shared" si="2"/>
        <v>2.939016666666667</v>
      </c>
      <c r="R28" s="290">
        <f t="shared" si="3"/>
      </c>
    </row>
    <row r="29" spans="2:18" ht="12.75">
      <c r="B29" s="385"/>
      <c r="C29" s="76" t="s">
        <v>77</v>
      </c>
      <c r="D29" s="49">
        <v>630</v>
      </c>
      <c r="E29" s="50">
        <v>465</v>
      </c>
      <c r="F29" s="50">
        <v>150</v>
      </c>
      <c r="G29" s="51">
        <v>-67.74193548387098</v>
      </c>
      <c r="H29" s="50">
        <v>1156</v>
      </c>
      <c r="I29" s="50">
        <v>876</v>
      </c>
      <c r="J29" s="50">
        <v>225</v>
      </c>
      <c r="K29" s="51">
        <v>-74.31506849315068</v>
      </c>
      <c r="L29" s="134"/>
      <c r="O29" s="219">
        <f t="shared" si="0"/>
        <v>-315</v>
      </c>
      <c r="P29" s="219">
        <f t="shared" si="1"/>
        <v>-651</v>
      </c>
      <c r="Q29" s="290">
        <f t="shared" si="2"/>
        <v>1.8838709677419354</v>
      </c>
      <c r="R29" s="290">
        <f t="shared" si="3"/>
        <v>1.5</v>
      </c>
    </row>
    <row r="30" spans="2:18" ht="12.75" customHeight="1">
      <c r="B30" s="386"/>
      <c r="C30" s="76" t="s">
        <v>84</v>
      </c>
      <c r="D30" s="49">
        <v>0</v>
      </c>
      <c r="E30" s="50">
        <v>0</v>
      </c>
      <c r="F30" s="50">
        <v>90.5</v>
      </c>
      <c r="G30" s="51" t="s">
        <v>268</v>
      </c>
      <c r="H30" s="50">
        <v>0</v>
      </c>
      <c r="I30" s="50">
        <v>0</v>
      </c>
      <c r="J30" s="50">
        <v>278.14</v>
      </c>
      <c r="K30" s="51" t="s">
        <v>268</v>
      </c>
      <c r="L30" s="135"/>
      <c r="O30" s="219">
        <f t="shared" si="0"/>
        <v>90.5</v>
      </c>
      <c r="P30" s="219">
        <f t="shared" si="1"/>
        <v>278.14</v>
      </c>
      <c r="Q30" s="290">
        <f t="shared" si="2"/>
      </c>
      <c r="R30" s="290">
        <f t="shared" si="3"/>
        <v>3.0733701657458563</v>
      </c>
    </row>
    <row r="31" spans="2:18" ht="12.75">
      <c r="B31" s="151" t="s">
        <v>115</v>
      </c>
      <c r="C31" s="152"/>
      <c r="D31" s="72">
        <v>26645.5</v>
      </c>
      <c r="E31" s="73">
        <v>17421.5</v>
      </c>
      <c r="F31" s="73">
        <v>16920.5</v>
      </c>
      <c r="G31" s="74">
        <v>-2.875756966966103</v>
      </c>
      <c r="H31" s="73">
        <v>63848.96</v>
      </c>
      <c r="I31" s="73">
        <v>41862.65</v>
      </c>
      <c r="J31" s="73">
        <v>35477.14</v>
      </c>
      <c r="K31" s="74">
        <v>-15.253477742092302</v>
      </c>
      <c r="L31" s="134"/>
      <c r="O31" s="219">
        <f t="shared" si="0"/>
        <v>-501</v>
      </c>
      <c r="P31" s="219">
        <f t="shared" si="1"/>
        <v>-6385.510000000002</v>
      </c>
      <c r="Q31" s="290">
        <f t="shared" si="2"/>
        <v>2.402930287288695</v>
      </c>
      <c r="R31" s="290">
        <f t="shared" si="3"/>
        <v>2.0966957241216275</v>
      </c>
    </row>
    <row r="32" spans="2:18" ht="15" customHeight="1">
      <c r="B32" s="384" t="s">
        <v>88</v>
      </c>
      <c r="C32" s="176" t="s">
        <v>90</v>
      </c>
      <c r="D32" s="45">
        <v>2519.7</v>
      </c>
      <c r="E32" s="46">
        <v>2519.7</v>
      </c>
      <c r="F32" s="46">
        <v>0</v>
      </c>
      <c r="G32" s="47">
        <v>-100</v>
      </c>
      <c r="H32" s="45">
        <v>5541.57</v>
      </c>
      <c r="I32" s="46">
        <v>5541.57</v>
      </c>
      <c r="J32" s="46">
        <v>0</v>
      </c>
      <c r="K32" s="47">
        <v>-100</v>
      </c>
      <c r="O32" s="219">
        <f t="shared" si="0"/>
        <v>-2519.7</v>
      </c>
      <c r="P32" s="219">
        <f t="shared" si="1"/>
        <v>-5541.57</v>
      </c>
      <c r="Q32" s="290">
        <f t="shared" si="2"/>
        <v>2.1992975354208837</v>
      </c>
      <c r="R32" s="290">
        <f t="shared" si="3"/>
      </c>
    </row>
    <row r="33" spans="2:18" ht="12.75">
      <c r="B33" s="385"/>
      <c r="C33" s="177" t="s">
        <v>89</v>
      </c>
      <c r="D33" s="49">
        <v>300</v>
      </c>
      <c r="E33" s="50">
        <v>300</v>
      </c>
      <c r="F33" s="50">
        <v>90</v>
      </c>
      <c r="G33" s="51">
        <v>-70</v>
      </c>
      <c r="H33" s="49">
        <v>561</v>
      </c>
      <c r="I33" s="50">
        <v>561</v>
      </c>
      <c r="J33" s="50">
        <v>160.38</v>
      </c>
      <c r="K33" s="51">
        <v>-71.41176470588235</v>
      </c>
      <c r="O33" s="219">
        <f t="shared" si="0"/>
        <v>-210</v>
      </c>
      <c r="P33" s="219">
        <f t="shared" si="1"/>
        <v>-400.62</v>
      </c>
      <c r="Q33" s="290">
        <f t="shared" si="2"/>
        <v>1.87</v>
      </c>
      <c r="R33" s="290">
        <f t="shared" si="3"/>
        <v>1.782</v>
      </c>
    </row>
    <row r="34" spans="2:18" ht="12.75">
      <c r="B34" s="385"/>
      <c r="C34" s="177" t="s">
        <v>121</v>
      </c>
      <c r="D34" s="49">
        <v>0</v>
      </c>
      <c r="E34" s="50">
        <v>0</v>
      </c>
      <c r="F34" s="50">
        <v>107.82</v>
      </c>
      <c r="G34" s="51" t="s">
        <v>268</v>
      </c>
      <c r="H34" s="49">
        <v>0</v>
      </c>
      <c r="I34" s="50">
        <v>0</v>
      </c>
      <c r="J34" s="50">
        <v>1402.68</v>
      </c>
      <c r="K34" s="51" t="s">
        <v>268</v>
      </c>
      <c r="M34" s="212"/>
      <c r="O34" s="219">
        <f t="shared" si="0"/>
        <v>107.82</v>
      </c>
      <c r="P34" s="219">
        <f t="shared" si="1"/>
        <v>1402.68</v>
      </c>
      <c r="Q34" s="290">
        <f t="shared" si="2"/>
      </c>
      <c r="R34" s="290">
        <f t="shared" si="3"/>
        <v>13.009460211463551</v>
      </c>
    </row>
    <row r="35" spans="2:18" ht="12.75">
      <c r="B35" s="385"/>
      <c r="C35" s="177" t="s">
        <v>96</v>
      </c>
      <c r="D35" s="49">
        <v>0</v>
      </c>
      <c r="E35" s="50">
        <v>0</v>
      </c>
      <c r="F35" s="50">
        <v>44750</v>
      </c>
      <c r="G35" s="51" t="s">
        <v>268</v>
      </c>
      <c r="H35" s="50">
        <v>0</v>
      </c>
      <c r="I35" s="50">
        <v>0</v>
      </c>
      <c r="J35" s="50">
        <v>41617.5</v>
      </c>
      <c r="K35" s="51" t="s">
        <v>268</v>
      </c>
      <c r="M35" s="212"/>
      <c r="O35" s="219"/>
      <c r="P35" s="219"/>
      <c r="Q35" s="290"/>
      <c r="R35" s="290"/>
    </row>
    <row r="36" spans="2:18" ht="12.75">
      <c r="B36" s="385"/>
      <c r="C36" s="177" t="s">
        <v>80</v>
      </c>
      <c r="D36" s="49">
        <v>0</v>
      </c>
      <c r="E36" s="50">
        <v>0</v>
      </c>
      <c r="F36" s="50">
        <v>300</v>
      </c>
      <c r="G36" s="51" t="s">
        <v>268</v>
      </c>
      <c r="H36" s="50">
        <v>0</v>
      </c>
      <c r="I36" s="50">
        <v>0</v>
      </c>
      <c r="J36" s="50">
        <v>200</v>
      </c>
      <c r="K36" s="51" t="s">
        <v>268</v>
      </c>
      <c r="M36" s="212"/>
      <c r="O36" s="219"/>
      <c r="P36" s="219"/>
      <c r="Q36" s="290"/>
      <c r="R36" s="290"/>
    </row>
    <row r="37" spans="2:19" s="302" customFormat="1" ht="12.75">
      <c r="B37" s="386"/>
      <c r="C37" s="316" t="s">
        <v>77</v>
      </c>
      <c r="D37" s="306">
        <v>0</v>
      </c>
      <c r="E37" s="307">
        <v>0</v>
      </c>
      <c r="F37" s="307">
        <v>3330</v>
      </c>
      <c r="G37" s="308" t="s">
        <v>268</v>
      </c>
      <c r="H37" s="307">
        <v>0</v>
      </c>
      <c r="I37" s="307">
        <v>0</v>
      </c>
      <c r="J37" s="307">
        <v>5843.75</v>
      </c>
      <c r="K37" s="308" t="s">
        <v>268</v>
      </c>
      <c r="M37" s="212"/>
      <c r="N37" s="191"/>
      <c r="O37" s="219"/>
      <c r="P37" s="219"/>
      <c r="Q37" s="290"/>
      <c r="R37" s="290"/>
      <c r="S37" s="191"/>
    </row>
    <row r="38" spans="2:18" ht="12.75">
      <c r="B38" s="151" t="s">
        <v>113</v>
      </c>
      <c r="C38" s="152"/>
      <c r="D38" s="72">
        <v>2819.7</v>
      </c>
      <c r="E38" s="73">
        <v>2819.7</v>
      </c>
      <c r="F38" s="73">
        <v>48577.82</v>
      </c>
      <c r="G38" s="74">
        <v>1622.8010071993476</v>
      </c>
      <c r="H38" s="73">
        <v>6102.57</v>
      </c>
      <c r="I38" s="73">
        <v>6102.57</v>
      </c>
      <c r="J38" s="73">
        <v>49224.31</v>
      </c>
      <c r="K38" s="74">
        <v>706.6160650348952</v>
      </c>
      <c r="O38" s="219">
        <f t="shared" si="0"/>
        <v>45758.12</v>
      </c>
      <c r="P38" s="219">
        <f t="shared" si="1"/>
        <v>43121.74</v>
      </c>
      <c r="Q38" s="290">
        <f t="shared" si="2"/>
        <v>2.1642621555484625</v>
      </c>
      <c r="R38" s="290">
        <f t="shared" si="3"/>
        <v>1.0133083370147116</v>
      </c>
    </row>
    <row r="39" spans="2:18" ht="12.75">
      <c r="B39" s="199" t="s">
        <v>85</v>
      </c>
      <c r="C39" s="75" t="s">
        <v>182</v>
      </c>
      <c r="D39" s="45">
        <v>45.26</v>
      </c>
      <c r="E39" s="46">
        <v>45.26</v>
      </c>
      <c r="F39" s="46">
        <v>0</v>
      </c>
      <c r="G39" s="47">
        <v>-100</v>
      </c>
      <c r="H39" s="46">
        <v>300</v>
      </c>
      <c r="I39" s="46">
        <v>300</v>
      </c>
      <c r="J39" s="46">
        <v>0</v>
      </c>
      <c r="K39" s="47">
        <v>-100</v>
      </c>
      <c r="O39" s="219">
        <f t="shared" si="0"/>
        <v>-45.26</v>
      </c>
      <c r="P39" s="219">
        <f t="shared" si="1"/>
        <v>-300</v>
      </c>
      <c r="Q39" s="290">
        <f t="shared" si="2"/>
        <v>6.628369421122404</v>
      </c>
      <c r="R39" s="290">
        <f t="shared" si="3"/>
      </c>
    </row>
    <row r="40" spans="2:18" ht="12.75">
      <c r="B40" s="151" t="s">
        <v>117</v>
      </c>
      <c r="C40" s="152"/>
      <c r="D40" s="72">
        <v>45.26</v>
      </c>
      <c r="E40" s="73">
        <v>45.26</v>
      </c>
      <c r="F40" s="73">
        <v>0</v>
      </c>
      <c r="G40" s="74">
        <v>-100</v>
      </c>
      <c r="H40" s="73">
        <v>300</v>
      </c>
      <c r="I40" s="73">
        <v>300</v>
      </c>
      <c r="J40" s="73">
        <v>0</v>
      </c>
      <c r="K40" s="74">
        <v>-100</v>
      </c>
      <c r="O40" s="219">
        <f t="shared" si="0"/>
        <v>-45.26</v>
      </c>
      <c r="P40" s="219">
        <f t="shared" si="1"/>
        <v>-300</v>
      </c>
      <c r="Q40" s="290">
        <f t="shared" si="2"/>
        <v>6.628369421122404</v>
      </c>
      <c r="R40" s="290">
        <f t="shared" si="3"/>
      </c>
    </row>
    <row r="41" spans="2:19" s="302" customFormat="1" ht="12.75">
      <c r="B41" s="328" t="s">
        <v>83</v>
      </c>
      <c r="C41" s="311" t="s">
        <v>84</v>
      </c>
      <c r="D41" s="303">
        <v>0</v>
      </c>
      <c r="E41" s="304">
        <v>0</v>
      </c>
      <c r="F41" s="304">
        <v>10.42</v>
      </c>
      <c r="G41" s="305" t="s">
        <v>268</v>
      </c>
      <c r="H41" s="304">
        <v>0</v>
      </c>
      <c r="I41" s="304">
        <v>0</v>
      </c>
      <c r="J41" s="304">
        <v>31.85</v>
      </c>
      <c r="K41" s="305" t="s">
        <v>268</v>
      </c>
      <c r="N41" s="191"/>
      <c r="O41" s="219"/>
      <c r="P41" s="219"/>
      <c r="Q41" s="290"/>
      <c r="R41" s="290"/>
      <c r="S41" s="191"/>
    </row>
    <row r="42" spans="2:19" s="302" customFormat="1" ht="12.75">
      <c r="B42" s="314" t="s">
        <v>116</v>
      </c>
      <c r="C42" s="315"/>
      <c r="D42" s="309">
        <v>0</v>
      </c>
      <c r="E42" s="310">
        <v>0</v>
      </c>
      <c r="F42" s="310">
        <v>10.42</v>
      </c>
      <c r="G42" s="305" t="s">
        <v>268</v>
      </c>
      <c r="H42" s="310">
        <v>0</v>
      </c>
      <c r="I42" s="310">
        <v>0</v>
      </c>
      <c r="J42" s="310">
        <v>31.85</v>
      </c>
      <c r="K42" s="305" t="s">
        <v>268</v>
      </c>
      <c r="N42" s="191"/>
      <c r="O42" s="219"/>
      <c r="P42" s="219"/>
      <c r="Q42" s="290"/>
      <c r="R42" s="290"/>
      <c r="S42" s="191"/>
    </row>
    <row r="43" spans="2:18" ht="12.75">
      <c r="B43" s="151" t="s">
        <v>93</v>
      </c>
      <c r="C43" s="152"/>
      <c r="D43" s="69">
        <v>1626791.66</v>
      </c>
      <c r="E43" s="70">
        <v>1340393.48</v>
      </c>
      <c r="F43" s="70">
        <v>4020698.28</v>
      </c>
      <c r="G43" s="71">
        <v>199.9640284731913</v>
      </c>
      <c r="H43" s="70">
        <v>4556113.15</v>
      </c>
      <c r="I43" s="70">
        <v>3188984.17</v>
      </c>
      <c r="J43" s="70">
        <v>5158765.06</v>
      </c>
      <c r="K43" s="71">
        <v>61.768286858570384</v>
      </c>
      <c r="O43" s="219">
        <f t="shared" si="0"/>
        <v>2680304.8</v>
      </c>
      <c r="P43" s="219">
        <f t="shared" si="1"/>
        <v>1969780.8899999997</v>
      </c>
      <c r="Q43" s="290">
        <f t="shared" si="2"/>
        <v>2.3791403178117516</v>
      </c>
      <c r="R43" s="290">
        <f t="shared" si="3"/>
        <v>1.2830520224959532</v>
      </c>
    </row>
    <row r="44" spans="2:18" ht="12.75">
      <c r="B44" s="275"/>
      <c r="C44" s="275"/>
      <c r="D44" s="276"/>
      <c r="E44" s="276"/>
      <c r="F44" s="276"/>
      <c r="G44" s="135"/>
      <c r="H44" s="276"/>
      <c r="I44" s="276"/>
      <c r="J44" s="276"/>
      <c r="K44" s="135"/>
      <c r="O44" s="219"/>
      <c r="P44" s="219"/>
      <c r="Q44" s="290"/>
      <c r="R44" s="290"/>
    </row>
    <row r="45" spans="2:11" ht="12.75">
      <c r="B45" s="395" t="s">
        <v>154</v>
      </c>
      <c r="C45" s="395"/>
      <c r="D45" s="395"/>
      <c r="E45" s="395"/>
      <c r="F45" s="395"/>
      <c r="G45" s="395"/>
      <c r="H45" s="395"/>
      <c r="I45" s="395"/>
      <c r="J45" s="395"/>
      <c r="K45" s="395"/>
    </row>
  </sheetData>
  <sheetProtection/>
  <mergeCells count="11">
    <mergeCell ref="B19:B20"/>
    <mergeCell ref="B45:K45"/>
    <mergeCell ref="B27:B30"/>
    <mergeCell ref="B22:B25"/>
    <mergeCell ref="B32:B37"/>
    <mergeCell ref="B6:B17"/>
    <mergeCell ref="B2:K2"/>
    <mergeCell ref="D4:G4"/>
    <mergeCell ref="H4:K4"/>
    <mergeCell ref="B4:B5"/>
    <mergeCell ref="C4:C5"/>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20"/>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3" width="10.8515625" style="39" customWidth="1"/>
    <col min="14" max="14" width="4.57421875" style="191" customWidth="1"/>
    <col min="15" max="15" width="5.00390625" style="291" hidden="1" customWidth="1"/>
    <col min="16" max="16" width="10.8515625" style="291" hidden="1" customWidth="1"/>
    <col min="17" max="17" width="10.8515625" style="322" hidden="1" customWidth="1"/>
    <col min="18" max="18" width="8.57421875" style="322" hidden="1" customWidth="1"/>
    <col min="19" max="19" width="10.8515625" style="191" customWidth="1"/>
    <col min="20" max="16384" width="10.8515625" style="39" customWidth="1"/>
  </cols>
  <sheetData>
    <row r="1" ht="6" customHeight="1"/>
    <row r="2" spans="2:14" ht="15">
      <c r="B2" s="387" t="s">
        <v>226</v>
      </c>
      <c r="C2" s="387"/>
      <c r="D2" s="387"/>
      <c r="E2" s="387"/>
      <c r="F2" s="387"/>
      <c r="G2" s="387"/>
      <c r="H2" s="387"/>
      <c r="I2" s="387"/>
      <c r="J2" s="387"/>
      <c r="K2" s="387"/>
      <c r="L2" s="132"/>
      <c r="M2" s="52" t="s">
        <v>153</v>
      </c>
      <c r="N2" s="193"/>
    </row>
    <row r="3" spans="2:14" ht="15">
      <c r="B3" s="132"/>
      <c r="C3" s="132"/>
      <c r="D3" s="132"/>
      <c r="E3" s="132"/>
      <c r="F3" s="132"/>
      <c r="G3" s="132"/>
      <c r="H3" s="132"/>
      <c r="I3" s="132"/>
      <c r="J3" s="132"/>
      <c r="K3" s="132"/>
      <c r="L3" s="132"/>
      <c r="M3" s="52"/>
      <c r="N3" s="193"/>
    </row>
    <row r="4" spans="2:12" ht="15">
      <c r="B4" s="397" t="s">
        <v>71</v>
      </c>
      <c r="C4" s="397" t="s">
        <v>72</v>
      </c>
      <c r="D4" s="388" t="s">
        <v>73</v>
      </c>
      <c r="E4" s="389"/>
      <c r="F4" s="389"/>
      <c r="G4" s="390"/>
      <c r="H4" s="388" t="s">
        <v>94</v>
      </c>
      <c r="I4" s="389"/>
      <c r="J4" s="389"/>
      <c r="K4" s="390"/>
      <c r="L4" s="132"/>
    </row>
    <row r="5" spans="2:18" ht="25.5">
      <c r="B5" s="398"/>
      <c r="C5" s="398"/>
      <c r="D5" s="40" t="str">
        <f>+export!D5</f>
        <v>2015</v>
      </c>
      <c r="E5" s="41" t="str">
        <f>+export!E5</f>
        <v>ene-ago 2015</v>
      </c>
      <c r="F5" s="41" t="str">
        <f>+export!F5</f>
        <v>ene-ago 2016</v>
      </c>
      <c r="G5" s="42" t="s">
        <v>44</v>
      </c>
      <c r="H5" s="40" t="str">
        <f>+export!H5</f>
        <v>2015</v>
      </c>
      <c r="I5" s="43" t="str">
        <f>+export!I5</f>
        <v>ene-ago 2015</v>
      </c>
      <c r="J5" s="43" t="str">
        <f>+export!J5</f>
        <v>ene-ago 2016</v>
      </c>
      <c r="K5" s="44" t="s">
        <v>44</v>
      </c>
      <c r="L5" s="133"/>
      <c r="P5" s="220" t="s">
        <v>198</v>
      </c>
      <c r="Q5" s="220" t="s">
        <v>192</v>
      </c>
      <c r="R5" s="319" t="s">
        <v>193</v>
      </c>
    </row>
    <row r="6" spans="2:18" ht="12.75" customHeight="1">
      <c r="B6" s="384" t="s">
        <v>88</v>
      </c>
      <c r="C6" s="75" t="s">
        <v>96</v>
      </c>
      <c r="D6" s="45">
        <v>41307358.52</v>
      </c>
      <c r="E6" s="46">
        <v>23714121.32</v>
      </c>
      <c r="F6" s="46">
        <v>29346272.9008</v>
      </c>
      <c r="G6" s="47">
        <v>23.750201429769866</v>
      </c>
      <c r="H6" s="46">
        <v>29075287.24</v>
      </c>
      <c r="I6" s="46">
        <v>16341797.37</v>
      </c>
      <c r="J6" s="46">
        <v>22649414.04</v>
      </c>
      <c r="K6" s="47">
        <v>38.59805948628037</v>
      </c>
      <c r="L6" s="134"/>
      <c r="O6" s="292"/>
      <c r="P6" s="327">
        <f>+F6-E6</f>
        <v>5632151.580800001</v>
      </c>
      <c r="Q6" s="327">
        <f>+J6-I6</f>
        <v>6307616.67</v>
      </c>
      <c r="R6" s="221">
        <f>+IF(F6=0,0,J6/F6)</f>
        <v>0.7717986579271046</v>
      </c>
    </row>
    <row r="7" spans="2:18" ht="15">
      <c r="B7" s="385"/>
      <c r="C7" s="76" t="s">
        <v>129</v>
      </c>
      <c r="D7" s="49">
        <v>17247981.74</v>
      </c>
      <c r="E7" s="50">
        <v>10225218.81</v>
      </c>
      <c r="F7" s="50">
        <v>16468108.0877</v>
      </c>
      <c r="G7" s="51">
        <v>61.05384533771166</v>
      </c>
      <c r="H7" s="50">
        <v>12669707.84</v>
      </c>
      <c r="I7" s="50">
        <v>7402169.61</v>
      </c>
      <c r="J7" s="50">
        <v>13091174</v>
      </c>
      <c r="K7" s="51">
        <v>76.85590427858354</v>
      </c>
      <c r="L7" s="134"/>
      <c r="O7" s="292"/>
      <c r="P7" s="327">
        <f aca="true" t="shared" si="0" ref="P7:P17">+F7-E7</f>
        <v>6242889.2776999995</v>
      </c>
      <c r="Q7" s="327">
        <f aca="true" t="shared" si="1" ref="Q7:Q17">+J7-I7</f>
        <v>5689004.39</v>
      </c>
      <c r="R7" s="221">
        <f aca="true" t="shared" si="2" ref="R7:R17">+IF(F7=0,0,J7/F7)</f>
        <v>0.7949409810941048</v>
      </c>
    </row>
    <row r="8" spans="2:18" ht="15">
      <c r="B8" s="385"/>
      <c r="C8" s="76" t="s">
        <v>79</v>
      </c>
      <c r="D8" s="49">
        <v>10945465.1892</v>
      </c>
      <c r="E8" s="50">
        <v>5128207.7692</v>
      </c>
      <c r="F8" s="50">
        <v>7294997.04</v>
      </c>
      <c r="G8" s="51">
        <v>42.25236902088347</v>
      </c>
      <c r="H8" s="50">
        <v>11825190.35</v>
      </c>
      <c r="I8" s="50">
        <v>6078965.53</v>
      </c>
      <c r="J8" s="50">
        <v>8165674.14</v>
      </c>
      <c r="K8" s="51">
        <v>34.326705747910346</v>
      </c>
      <c r="L8" s="134"/>
      <c r="O8" s="292"/>
      <c r="P8" s="327">
        <f t="shared" si="0"/>
        <v>2166789.2708</v>
      </c>
      <c r="Q8" s="327">
        <f t="shared" si="1"/>
        <v>2086708.6099999994</v>
      </c>
      <c r="R8" s="221">
        <f t="shared" si="2"/>
        <v>1.1193526323898275</v>
      </c>
    </row>
    <row r="9" spans="2:18" ht="15">
      <c r="B9" s="385"/>
      <c r="C9" s="76" t="s">
        <v>95</v>
      </c>
      <c r="D9" s="49">
        <v>7728995.88</v>
      </c>
      <c r="E9" s="50">
        <v>4505749.88</v>
      </c>
      <c r="F9" s="50">
        <v>5817379.54</v>
      </c>
      <c r="G9" s="51">
        <v>29.110130276472425</v>
      </c>
      <c r="H9" s="50">
        <v>5076355.6</v>
      </c>
      <c r="I9" s="50">
        <v>2853002.85</v>
      </c>
      <c r="J9" s="50">
        <v>4415126.91</v>
      </c>
      <c r="K9" s="51">
        <v>54.75368031966741</v>
      </c>
      <c r="L9" s="134"/>
      <c r="O9" s="292"/>
      <c r="P9" s="327">
        <f t="shared" si="0"/>
        <v>1311629.6600000001</v>
      </c>
      <c r="Q9" s="327">
        <f t="shared" si="1"/>
        <v>1562124.06</v>
      </c>
      <c r="R9" s="221">
        <f t="shared" si="2"/>
        <v>0.7589545910906821</v>
      </c>
    </row>
    <row r="10" spans="2:18" ht="15">
      <c r="B10" s="385"/>
      <c r="C10" s="76" t="s">
        <v>127</v>
      </c>
      <c r="D10" s="49">
        <v>1136958.6537</v>
      </c>
      <c r="E10" s="50">
        <v>976344.0047</v>
      </c>
      <c r="F10" s="50">
        <v>304052.2766</v>
      </c>
      <c r="G10" s="51">
        <v>-68.85807920811418</v>
      </c>
      <c r="H10" s="50">
        <v>1576275.06</v>
      </c>
      <c r="I10" s="50">
        <v>1342364.85</v>
      </c>
      <c r="J10" s="50">
        <v>441266.89</v>
      </c>
      <c r="K10" s="51">
        <v>-67.1276486418726</v>
      </c>
      <c r="L10" s="134"/>
      <c r="M10" s="48"/>
      <c r="O10" s="292"/>
      <c r="P10" s="327">
        <f t="shared" si="0"/>
        <v>-672291.7281000001</v>
      </c>
      <c r="Q10" s="327">
        <f t="shared" si="1"/>
        <v>-901097.9600000001</v>
      </c>
      <c r="R10" s="221">
        <f t="shared" si="2"/>
        <v>1.4512862555557002</v>
      </c>
    </row>
    <row r="11" spans="2:18" ht="15">
      <c r="B11" s="385"/>
      <c r="C11" s="76" t="s">
        <v>100</v>
      </c>
      <c r="D11" s="49">
        <v>1540421.6908</v>
      </c>
      <c r="E11" s="50">
        <v>1515237.6154</v>
      </c>
      <c r="F11" s="50">
        <v>248301.4616</v>
      </c>
      <c r="G11" s="51">
        <v>-83.61303474277517</v>
      </c>
      <c r="H11" s="50">
        <v>1338731.27</v>
      </c>
      <c r="I11" s="50">
        <v>1277316.33</v>
      </c>
      <c r="J11" s="50">
        <v>197936.73</v>
      </c>
      <c r="K11" s="51">
        <v>-84.50370316646621</v>
      </c>
      <c r="L11" s="134"/>
      <c r="O11" s="292"/>
      <c r="P11" s="327">
        <f t="shared" si="0"/>
        <v>-1266936.1538</v>
      </c>
      <c r="Q11" s="327">
        <f t="shared" si="1"/>
        <v>-1079379.6</v>
      </c>
      <c r="R11" s="221">
        <f t="shared" si="2"/>
        <v>0.7971629676464216</v>
      </c>
    </row>
    <row r="12" spans="2:18" ht="15">
      <c r="B12" s="385"/>
      <c r="C12" s="76" t="s">
        <v>92</v>
      </c>
      <c r="D12" s="49">
        <v>23625</v>
      </c>
      <c r="E12" s="50">
        <v>23625</v>
      </c>
      <c r="F12" s="50">
        <v>0</v>
      </c>
      <c r="G12" s="51">
        <v>-100</v>
      </c>
      <c r="H12" s="50">
        <v>35516.12</v>
      </c>
      <c r="I12" s="50">
        <v>35516.12</v>
      </c>
      <c r="J12" s="50">
        <v>0</v>
      </c>
      <c r="K12" s="51">
        <v>-100</v>
      </c>
      <c r="L12" s="134"/>
      <c r="O12" s="292"/>
      <c r="P12" s="327">
        <f t="shared" si="0"/>
        <v>-23625</v>
      </c>
      <c r="Q12" s="327">
        <f t="shared" si="1"/>
        <v>-35516.12</v>
      </c>
      <c r="R12" s="221">
        <f t="shared" si="2"/>
        <v>0</v>
      </c>
    </row>
    <row r="13" spans="2:18" ht="15">
      <c r="B13" s="385"/>
      <c r="C13" s="76" t="s">
        <v>77</v>
      </c>
      <c r="D13" s="49">
        <v>19205</v>
      </c>
      <c r="E13" s="50">
        <v>10905</v>
      </c>
      <c r="F13" s="50">
        <v>3510</v>
      </c>
      <c r="G13" s="51">
        <v>-67.81292984869326</v>
      </c>
      <c r="H13" s="50">
        <v>33959.96</v>
      </c>
      <c r="I13" s="50">
        <v>18478.21</v>
      </c>
      <c r="J13" s="50">
        <v>7586.05</v>
      </c>
      <c r="K13" s="51">
        <v>-58.945969333609696</v>
      </c>
      <c r="L13" s="134"/>
      <c r="O13" s="292"/>
      <c r="P13" s="327">
        <f t="shared" si="0"/>
        <v>-7395</v>
      </c>
      <c r="Q13" s="327">
        <f t="shared" si="1"/>
        <v>-10892.16</v>
      </c>
      <c r="R13" s="221">
        <f t="shared" si="2"/>
        <v>2.1612678062678063</v>
      </c>
    </row>
    <row r="14" spans="2:18" ht="15">
      <c r="B14" s="385"/>
      <c r="C14" s="76" t="s">
        <v>99</v>
      </c>
      <c r="D14" s="49">
        <v>10764</v>
      </c>
      <c r="E14" s="50">
        <v>10764</v>
      </c>
      <c r="F14" s="50">
        <v>0</v>
      </c>
      <c r="G14" s="51">
        <v>-100</v>
      </c>
      <c r="H14" s="50">
        <v>31921.1</v>
      </c>
      <c r="I14" s="50">
        <v>31921.1</v>
      </c>
      <c r="J14" s="50">
        <v>0</v>
      </c>
      <c r="K14" s="51">
        <v>-100</v>
      </c>
      <c r="L14" s="134"/>
      <c r="O14" s="292"/>
      <c r="P14" s="327">
        <f t="shared" si="0"/>
        <v>-10764</v>
      </c>
      <c r="Q14" s="327">
        <f t="shared" si="1"/>
        <v>-31921.1</v>
      </c>
      <c r="R14" s="221">
        <f t="shared" si="2"/>
        <v>0</v>
      </c>
    </row>
    <row r="15" spans="2:18" ht="15">
      <c r="B15" s="385"/>
      <c r="C15" s="76" t="s">
        <v>103</v>
      </c>
      <c r="D15" s="49">
        <v>25690.0591</v>
      </c>
      <c r="E15" s="50">
        <v>24000</v>
      </c>
      <c r="F15" s="50">
        <v>875.9782</v>
      </c>
      <c r="G15" s="51">
        <v>-96.35009083333334</v>
      </c>
      <c r="H15" s="50">
        <v>18827.18</v>
      </c>
      <c r="I15" s="50">
        <v>14405.76</v>
      </c>
      <c r="J15" s="50">
        <v>3768.02</v>
      </c>
      <c r="K15" s="51">
        <v>-73.84365698165179</v>
      </c>
      <c r="L15" s="134"/>
      <c r="O15" s="292"/>
      <c r="P15" s="327">
        <f t="shared" si="0"/>
        <v>-23124.0218</v>
      </c>
      <c r="Q15" s="327">
        <f t="shared" si="1"/>
        <v>-10637.74</v>
      </c>
      <c r="R15" s="221">
        <f t="shared" si="2"/>
        <v>4.301499740518657</v>
      </c>
    </row>
    <row r="16" spans="2:18" ht="15">
      <c r="B16" s="385"/>
      <c r="C16" s="76" t="s">
        <v>81</v>
      </c>
      <c r="D16" s="49">
        <v>4487.7431</v>
      </c>
      <c r="E16" s="50">
        <v>2530.7831</v>
      </c>
      <c r="F16" s="50">
        <v>1341.48</v>
      </c>
      <c r="G16" s="51">
        <v>-46.99348197796959</v>
      </c>
      <c r="H16" s="50">
        <v>12581.15</v>
      </c>
      <c r="I16" s="50">
        <v>7194.98</v>
      </c>
      <c r="J16" s="50">
        <v>3581.68</v>
      </c>
      <c r="K16" s="51">
        <v>-50.21973653853102</v>
      </c>
      <c r="L16" s="135"/>
      <c r="O16" s="292"/>
      <c r="P16" s="327">
        <f t="shared" si="0"/>
        <v>-1189.3031</v>
      </c>
      <c r="Q16" s="327">
        <f t="shared" si="1"/>
        <v>-3613.2999999999997</v>
      </c>
      <c r="R16" s="221">
        <f t="shared" si="2"/>
        <v>2.6699466261144407</v>
      </c>
    </row>
    <row r="17" spans="2:18" ht="12.75" customHeight="1">
      <c r="B17" s="385"/>
      <c r="C17" s="76" t="s">
        <v>119</v>
      </c>
      <c r="D17" s="49">
        <v>637</v>
      </c>
      <c r="E17" s="50">
        <v>637</v>
      </c>
      <c r="F17" s="50">
        <v>75600</v>
      </c>
      <c r="G17" s="51">
        <v>11768.131868131868</v>
      </c>
      <c r="H17" s="50">
        <v>2191.07</v>
      </c>
      <c r="I17" s="50">
        <v>2191.07</v>
      </c>
      <c r="J17" s="50">
        <v>55192.78</v>
      </c>
      <c r="K17" s="51">
        <v>2418.987526642234</v>
      </c>
      <c r="L17" s="134"/>
      <c r="O17" s="292"/>
      <c r="P17" s="327">
        <f t="shared" si="0"/>
        <v>74963</v>
      </c>
      <c r="Q17" s="327">
        <f t="shared" si="1"/>
        <v>53001.71</v>
      </c>
      <c r="R17" s="221">
        <f t="shared" si="2"/>
        <v>0.7300632275132275</v>
      </c>
    </row>
    <row r="18" spans="2:18" ht="12.75" customHeight="1">
      <c r="B18" s="385"/>
      <c r="C18" s="76" t="s">
        <v>84</v>
      </c>
      <c r="D18" s="49">
        <v>0</v>
      </c>
      <c r="E18" s="50">
        <v>0</v>
      </c>
      <c r="F18" s="50">
        <v>8976.67</v>
      </c>
      <c r="G18" s="51" t="s">
        <v>148</v>
      </c>
      <c r="H18" s="50">
        <v>0</v>
      </c>
      <c r="I18" s="50">
        <v>0</v>
      </c>
      <c r="J18" s="50">
        <v>51485.8</v>
      </c>
      <c r="K18" s="51" t="s">
        <v>148</v>
      </c>
      <c r="L18" s="134"/>
      <c r="O18" s="292"/>
      <c r="P18" s="327">
        <f>+F20-E20</f>
        <v>8.2</v>
      </c>
      <c r="Q18" s="327">
        <f>+J20-I20</f>
        <v>116.84</v>
      </c>
      <c r="R18" s="221">
        <f>+IF(F20=0,0,J20/F20)</f>
        <v>14.24878048780488</v>
      </c>
    </row>
    <row r="19" spans="2:18" ht="12.75" customHeight="1">
      <c r="B19" s="385"/>
      <c r="C19" s="76" t="s">
        <v>102</v>
      </c>
      <c r="D19" s="49">
        <v>0</v>
      </c>
      <c r="E19" s="50">
        <v>0</v>
      </c>
      <c r="F19" s="50">
        <v>102.4</v>
      </c>
      <c r="G19" s="51" t="s">
        <v>148</v>
      </c>
      <c r="H19" s="50">
        <v>0</v>
      </c>
      <c r="I19" s="50">
        <v>0</v>
      </c>
      <c r="J19" s="50">
        <v>394.73</v>
      </c>
      <c r="K19" s="51" t="s">
        <v>148</v>
      </c>
      <c r="L19" s="134"/>
      <c r="O19" s="292"/>
      <c r="P19" s="327">
        <f>+F18-E18</f>
        <v>8976.67</v>
      </c>
      <c r="Q19" s="327">
        <f>+J18-I18</f>
        <v>51485.8</v>
      </c>
      <c r="R19" s="221">
        <f>+IF(F18=0,0,J18/F18)</f>
        <v>5.7355121665383715</v>
      </c>
    </row>
    <row r="20" spans="2:18" ht="12.75" customHeight="1">
      <c r="B20" s="386"/>
      <c r="C20" s="76" t="s">
        <v>76</v>
      </c>
      <c r="D20" s="49">
        <v>0</v>
      </c>
      <c r="E20" s="50">
        <v>0</v>
      </c>
      <c r="F20" s="50">
        <v>8.2</v>
      </c>
      <c r="G20" s="51" t="s">
        <v>148</v>
      </c>
      <c r="H20" s="50">
        <v>0</v>
      </c>
      <c r="I20" s="50">
        <v>0</v>
      </c>
      <c r="J20" s="50">
        <v>116.84</v>
      </c>
      <c r="K20" s="51" t="s">
        <v>148</v>
      </c>
      <c r="L20" s="134"/>
      <c r="O20" s="292"/>
      <c r="P20" s="327"/>
      <c r="Q20" s="327"/>
      <c r="R20" s="221"/>
    </row>
    <row r="21" spans="2:18" ht="15">
      <c r="B21" s="153" t="s">
        <v>113</v>
      </c>
      <c r="C21" s="154"/>
      <c r="D21" s="69">
        <v>79991590.4759</v>
      </c>
      <c r="E21" s="70">
        <v>46137341.1824</v>
      </c>
      <c r="F21" s="70">
        <v>59569526.03490001</v>
      </c>
      <c r="G21" s="71">
        <v>29.11347838488789</v>
      </c>
      <c r="H21" s="70">
        <v>61696543.94</v>
      </c>
      <c r="I21" s="70">
        <v>35405323.779999994</v>
      </c>
      <c r="J21" s="70">
        <v>49082718.61</v>
      </c>
      <c r="K21" s="71">
        <v>38.63089888681144</v>
      </c>
      <c r="L21" s="134"/>
      <c r="O21" s="293">
        <f>+J21/$J$95</f>
        <v>0.7825061045626783</v>
      </c>
      <c r="P21" s="327">
        <f aca="true" t="shared" si="3" ref="P21:P51">+F21-E21</f>
        <v>13432184.852500007</v>
      </c>
      <c r="Q21" s="327">
        <f aca="true" t="shared" si="4" ref="Q21:Q51">+J21-I21</f>
        <v>13677394.830000006</v>
      </c>
      <c r="R21" s="221">
        <f aca="true" t="shared" si="5" ref="R21:R51">+IF(F21=0,0,J21/F21)</f>
        <v>0.823956842987871</v>
      </c>
    </row>
    <row r="22" spans="2:18" ht="15">
      <c r="B22" s="384" t="s">
        <v>75</v>
      </c>
      <c r="C22" s="176" t="s">
        <v>127</v>
      </c>
      <c r="D22" s="45">
        <v>2700049.9686</v>
      </c>
      <c r="E22" s="46">
        <v>2535746.5384</v>
      </c>
      <c r="F22" s="46">
        <v>561169.884</v>
      </c>
      <c r="G22" s="47">
        <v>-77.86963817156246</v>
      </c>
      <c r="H22" s="45">
        <v>4143123.76</v>
      </c>
      <c r="I22" s="46">
        <v>3890120.01</v>
      </c>
      <c r="J22" s="46">
        <v>794310.18</v>
      </c>
      <c r="K22" s="47">
        <v>-79.5813451009703</v>
      </c>
      <c r="L22" s="134"/>
      <c r="M22" s="48"/>
      <c r="P22" s="327">
        <f t="shared" si="3"/>
        <v>-1974576.6543999999</v>
      </c>
      <c r="Q22" s="327">
        <f t="shared" si="4"/>
        <v>-3095809.8299999996</v>
      </c>
      <c r="R22" s="221">
        <f t="shared" si="5"/>
        <v>1.4154540410083734</v>
      </c>
    </row>
    <row r="23" spans="2:18" ht="15">
      <c r="B23" s="385"/>
      <c r="C23" s="177" t="s">
        <v>95</v>
      </c>
      <c r="D23" s="49">
        <v>2759936.17</v>
      </c>
      <c r="E23" s="50">
        <v>1661594.97</v>
      </c>
      <c r="F23" s="50">
        <v>1811627.816</v>
      </c>
      <c r="G23" s="51">
        <v>9.029447531368007</v>
      </c>
      <c r="H23" s="49">
        <v>3626667.66</v>
      </c>
      <c r="I23" s="50">
        <v>2216313.13</v>
      </c>
      <c r="J23" s="50">
        <v>2245893.53</v>
      </c>
      <c r="K23" s="51">
        <v>1.3346670016795015</v>
      </c>
      <c r="L23" s="134"/>
      <c r="P23" s="327">
        <f t="shared" si="3"/>
        <v>150032.84600000014</v>
      </c>
      <c r="Q23" s="327">
        <f t="shared" si="4"/>
        <v>29580.399999999907</v>
      </c>
      <c r="R23" s="221">
        <f t="shared" si="5"/>
        <v>1.2397102264409037</v>
      </c>
    </row>
    <row r="24" spans="2:18" ht="15">
      <c r="B24" s="385"/>
      <c r="C24" s="177" t="s">
        <v>129</v>
      </c>
      <c r="D24" s="49">
        <v>1869514.77</v>
      </c>
      <c r="E24" s="50">
        <v>883613.27</v>
      </c>
      <c r="F24" s="50">
        <v>1741048.5538</v>
      </c>
      <c r="G24" s="51">
        <v>97.03739327047454</v>
      </c>
      <c r="H24" s="49">
        <v>2492251.77</v>
      </c>
      <c r="I24" s="50">
        <v>1158483.89</v>
      </c>
      <c r="J24" s="50">
        <v>2260545.63</v>
      </c>
      <c r="K24" s="51">
        <v>95.12965605417267</v>
      </c>
      <c r="L24" s="134"/>
      <c r="P24" s="327">
        <f t="shared" si="3"/>
        <v>857435.2838000001</v>
      </c>
      <c r="Q24" s="327">
        <f t="shared" si="4"/>
        <v>1102061.74</v>
      </c>
      <c r="R24" s="221">
        <f t="shared" si="5"/>
        <v>1.298381728106404</v>
      </c>
    </row>
    <row r="25" spans="2:18" ht="15">
      <c r="B25" s="385"/>
      <c r="C25" s="177" t="s">
        <v>99</v>
      </c>
      <c r="D25" s="49">
        <v>437051</v>
      </c>
      <c r="E25" s="50">
        <v>322050</v>
      </c>
      <c r="F25" s="50">
        <v>0</v>
      </c>
      <c r="G25" s="51">
        <v>-100</v>
      </c>
      <c r="H25" s="49">
        <v>503259.09</v>
      </c>
      <c r="I25" s="50">
        <v>372096.94</v>
      </c>
      <c r="J25" s="50">
        <v>0</v>
      </c>
      <c r="K25" s="51">
        <v>-100</v>
      </c>
      <c r="L25" s="134"/>
      <c r="P25" s="327">
        <f t="shared" si="3"/>
        <v>-322050</v>
      </c>
      <c r="Q25" s="327">
        <f t="shared" si="4"/>
        <v>-372096.94</v>
      </c>
      <c r="R25" s="221">
        <f t="shared" si="5"/>
        <v>0</v>
      </c>
    </row>
    <row r="26" spans="2:18" ht="15">
      <c r="B26" s="385"/>
      <c r="C26" s="177" t="s">
        <v>101</v>
      </c>
      <c r="D26" s="49">
        <v>381350</v>
      </c>
      <c r="E26" s="50">
        <v>114750</v>
      </c>
      <c r="F26" s="50">
        <v>604775</v>
      </c>
      <c r="G26" s="51">
        <v>427.03703703703707</v>
      </c>
      <c r="H26" s="49">
        <v>446910.48</v>
      </c>
      <c r="I26" s="50">
        <v>132858.62</v>
      </c>
      <c r="J26" s="50">
        <v>767412.66</v>
      </c>
      <c r="K26" s="51">
        <v>477.6160101617795</v>
      </c>
      <c r="L26" s="134"/>
      <c r="P26" s="327">
        <f t="shared" si="3"/>
        <v>490025</v>
      </c>
      <c r="Q26" s="327">
        <f t="shared" si="4"/>
        <v>634554.04</v>
      </c>
      <c r="R26" s="221">
        <f t="shared" si="5"/>
        <v>1.268922591046257</v>
      </c>
    </row>
    <row r="27" spans="2:18" ht="15">
      <c r="B27" s="385"/>
      <c r="C27" s="177" t="s">
        <v>96</v>
      </c>
      <c r="D27" s="49">
        <v>134726</v>
      </c>
      <c r="E27" s="50">
        <v>118283</v>
      </c>
      <c r="F27" s="50">
        <v>225216.5</v>
      </c>
      <c r="G27" s="51">
        <v>90.40479189739861</v>
      </c>
      <c r="H27" s="49">
        <v>177932.98</v>
      </c>
      <c r="I27" s="50">
        <v>154572.77</v>
      </c>
      <c r="J27" s="50">
        <v>290631.94</v>
      </c>
      <c r="K27" s="51">
        <v>88.02272871217876</v>
      </c>
      <c r="L27" s="134"/>
      <c r="P27" s="327">
        <f t="shared" si="3"/>
        <v>106933.5</v>
      </c>
      <c r="Q27" s="327">
        <f t="shared" si="4"/>
        <v>136059.17</v>
      </c>
      <c r="R27" s="221">
        <f t="shared" si="5"/>
        <v>1.290455805857919</v>
      </c>
    </row>
    <row r="28" spans="2:18" ht="15">
      <c r="B28" s="385"/>
      <c r="C28" s="177" t="s">
        <v>190</v>
      </c>
      <c r="D28" s="49">
        <v>23500</v>
      </c>
      <c r="E28" s="50">
        <v>0</v>
      </c>
      <c r="F28" s="50">
        <v>572011.8538</v>
      </c>
      <c r="G28" s="51" t="s">
        <v>148</v>
      </c>
      <c r="H28" s="49">
        <v>27553.76</v>
      </c>
      <c r="I28" s="50">
        <v>0</v>
      </c>
      <c r="J28" s="50">
        <v>650122.37</v>
      </c>
      <c r="K28" s="51" t="s">
        <v>148</v>
      </c>
      <c r="L28" s="134"/>
      <c r="P28" s="327">
        <f t="shared" si="3"/>
        <v>572011.8538</v>
      </c>
      <c r="Q28" s="327">
        <f t="shared" si="4"/>
        <v>650122.37</v>
      </c>
      <c r="R28" s="221">
        <f t="shared" si="5"/>
        <v>1.1365540166363592</v>
      </c>
    </row>
    <row r="29" spans="2:18" ht="15">
      <c r="B29" s="385"/>
      <c r="C29" s="177" t="s">
        <v>77</v>
      </c>
      <c r="D29" s="49">
        <v>1232.5</v>
      </c>
      <c r="E29" s="50">
        <v>1232.5</v>
      </c>
      <c r="F29" s="50">
        <v>0</v>
      </c>
      <c r="G29" s="51">
        <v>-100</v>
      </c>
      <c r="H29" s="49">
        <v>725.35</v>
      </c>
      <c r="I29" s="50">
        <v>725.35</v>
      </c>
      <c r="J29" s="50">
        <v>0</v>
      </c>
      <c r="K29" s="51">
        <v>-100</v>
      </c>
      <c r="L29" s="134"/>
      <c r="P29" s="327">
        <f t="shared" si="3"/>
        <v>-1232.5</v>
      </c>
      <c r="Q29" s="327">
        <f t="shared" si="4"/>
        <v>-725.35</v>
      </c>
      <c r="R29" s="221">
        <f t="shared" si="5"/>
        <v>0</v>
      </c>
    </row>
    <row r="30" spans="2:18" ht="15">
      <c r="B30" s="385"/>
      <c r="C30" s="76" t="s">
        <v>184</v>
      </c>
      <c r="D30" s="49">
        <v>61</v>
      </c>
      <c r="E30" s="50">
        <v>5</v>
      </c>
      <c r="F30" s="50">
        <v>0</v>
      </c>
      <c r="G30" s="51">
        <v>-100</v>
      </c>
      <c r="H30" s="50">
        <v>540.17</v>
      </c>
      <c r="I30" s="50">
        <v>120.56</v>
      </c>
      <c r="J30" s="50">
        <v>0</v>
      </c>
      <c r="K30" s="51">
        <v>-100</v>
      </c>
      <c r="L30" s="134"/>
      <c r="P30" s="327">
        <f t="shared" si="3"/>
        <v>-5</v>
      </c>
      <c r="Q30" s="327">
        <f t="shared" si="4"/>
        <v>-120.56</v>
      </c>
      <c r="R30" s="221">
        <f t="shared" si="5"/>
        <v>0</v>
      </c>
    </row>
    <row r="31" spans="2:18" ht="15">
      <c r="B31" s="385"/>
      <c r="C31" s="76" t="s">
        <v>98</v>
      </c>
      <c r="D31" s="49">
        <v>20</v>
      </c>
      <c r="E31" s="50">
        <v>20</v>
      </c>
      <c r="F31" s="50">
        <v>0</v>
      </c>
      <c r="G31" s="51">
        <v>-100</v>
      </c>
      <c r="H31" s="50">
        <v>525.56</v>
      </c>
      <c r="I31" s="50">
        <v>525.56</v>
      </c>
      <c r="J31" s="50">
        <v>0</v>
      </c>
      <c r="K31" s="51">
        <v>-100</v>
      </c>
      <c r="L31" s="134"/>
      <c r="P31" s="327">
        <f t="shared" si="3"/>
        <v>-20</v>
      </c>
      <c r="Q31" s="327">
        <f t="shared" si="4"/>
        <v>-525.56</v>
      </c>
      <c r="R31" s="221">
        <f t="shared" si="5"/>
        <v>0</v>
      </c>
    </row>
    <row r="32" spans="2:18" ht="15">
      <c r="B32" s="385"/>
      <c r="C32" s="76" t="s">
        <v>119</v>
      </c>
      <c r="D32" s="49">
        <v>7.8</v>
      </c>
      <c r="E32" s="50">
        <v>0</v>
      </c>
      <c r="F32" s="50">
        <v>5.8</v>
      </c>
      <c r="G32" s="51" t="s">
        <v>148</v>
      </c>
      <c r="H32" s="50">
        <v>129.82</v>
      </c>
      <c r="I32" s="50">
        <v>0</v>
      </c>
      <c r="J32" s="50">
        <v>144.22</v>
      </c>
      <c r="K32" s="51" t="s">
        <v>148</v>
      </c>
      <c r="L32" s="134"/>
      <c r="P32" s="327">
        <f t="shared" si="3"/>
        <v>5.8</v>
      </c>
      <c r="Q32" s="327">
        <f t="shared" si="4"/>
        <v>144.22</v>
      </c>
      <c r="R32" s="221">
        <f t="shared" si="5"/>
        <v>24.86551724137931</v>
      </c>
    </row>
    <row r="33" spans="2:18" ht="15">
      <c r="B33" s="153" t="s">
        <v>115</v>
      </c>
      <c r="C33" s="154"/>
      <c r="D33" s="69">
        <v>8307449.2086</v>
      </c>
      <c r="E33" s="70">
        <v>5637295.2784</v>
      </c>
      <c r="F33" s="70">
        <v>5515855.4076</v>
      </c>
      <c r="G33" s="71">
        <v>-2.1542222786397724</v>
      </c>
      <c r="H33" s="70">
        <v>11419620.399999999</v>
      </c>
      <c r="I33" s="70">
        <v>7925816.829999999</v>
      </c>
      <c r="J33" s="70">
        <v>7009060.529999999</v>
      </c>
      <c r="K33" s="71">
        <v>-11.566710657884327</v>
      </c>
      <c r="L33" s="134"/>
      <c r="O33" s="293">
        <f>+J33/$J$95</f>
        <v>0.11174264195824098</v>
      </c>
      <c r="P33" s="327">
        <f t="shared" si="3"/>
        <v>-121439.87080000062</v>
      </c>
      <c r="Q33" s="327">
        <f t="shared" si="4"/>
        <v>-916756.2999999998</v>
      </c>
      <c r="R33" s="221">
        <f t="shared" si="5"/>
        <v>1.2707114331428255</v>
      </c>
    </row>
    <row r="34" spans="2:18" ht="15" customHeight="1">
      <c r="B34" s="384" t="s">
        <v>91</v>
      </c>
      <c r="C34" s="176" t="s">
        <v>127</v>
      </c>
      <c r="D34" s="45">
        <v>522338.181</v>
      </c>
      <c r="E34" s="46">
        <v>328565.4798</v>
      </c>
      <c r="F34" s="46">
        <v>345492.3661</v>
      </c>
      <c r="G34" s="47">
        <v>5.151754320114077</v>
      </c>
      <c r="H34" s="45">
        <v>3785401.85</v>
      </c>
      <c r="I34" s="46">
        <v>2363094.82</v>
      </c>
      <c r="J34" s="46">
        <v>2399678.5</v>
      </c>
      <c r="K34" s="47">
        <v>1.5481257751646327</v>
      </c>
      <c r="L34" s="134"/>
      <c r="P34" s="327">
        <f t="shared" si="3"/>
        <v>16926.886300000013</v>
      </c>
      <c r="Q34" s="327">
        <f t="shared" si="4"/>
        <v>36583.68000000017</v>
      </c>
      <c r="R34" s="221">
        <f t="shared" si="5"/>
        <v>6.945677344735983</v>
      </c>
    </row>
    <row r="35" spans="2:18" ht="15">
      <c r="B35" s="385"/>
      <c r="C35" s="177" t="s">
        <v>84</v>
      </c>
      <c r="D35" s="49">
        <v>317234.6352</v>
      </c>
      <c r="E35" s="50">
        <v>149843.2138</v>
      </c>
      <c r="F35" s="50">
        <v>121483.15</v>
      </c>
      <c r="G35" s="51">
        <v>-18.926491951682898</v>
      </c>
      <c r="H35" s="49">
        <v>1661288.36</v>
      </c>
      <c r="I35" s="50">
        <v>790413.75</v>
      </c>
      <c r="J35" s="50">
        <v>727336.17</v>
      </c>
      <c r="K35" s="51">
        <v>-7.980324228924407</v>
      </c>
      <c r="L35" s="134"/>
      <c r="P35" s="327">
        <f t="shared" si="3"/>
        <v>-28360.063800000004</v>
      </c>
      <c r="Q35" s="327">
        <f t="shared" si="4"/>
        <v>-63077.57999999996</v>
      </c>
      <c r="R35" s="221">
        <f t="shared" si="5"/>
        <v>5.987136240704987</v>
      </c>
    </row>
    <row r="36" spans="2:18" ht="15">
      <c r="B36" s="385"/>
      <c r="C36" s="177" t="s">
        <v>129</v>
      </c>
      <c r="D36" s="49">
        <v>1652890.08</v>
      </c>
      <c r="E36" s="50">
        <v>1172760</v>
      </c>
      <c r="F36" s="50">
        <v>1628664</v>
      </c>
      <c r="G36" s="51">
        <v>38.874450015348415</v>
      </c>
      <c r="H36" s="49">
        <v>1271855.12</v>
      </c>
      <c r="I36" s="50">
        <v>855915.71</v>
      </c>
      <c r="J36" s="50">
        <v>1580067.23</v>
      </c>
      <c r="K36" s="51">
        <v>84.60547125604225</v>
      </c>
      <c r="L36" s="134"/>
      <c r="P36" s="327">
        <f t="shared" si="3"/>
        <v>455904</v>
      </c>
      <c r="Q36" s="327">
        <f t="shared" si="4"/>
        <v>724151.52</v>
      </c>
      <c r="R36" s="221">
        <f t="shared" si="5"/>
        <v>0.9701615741491185</v>
      </c>
    </row>
    <row r="37" spans="2:18" ht="15">
      <c r="B37" s="385"/>
      <c r="C37" s="76" t="s">
        <v>77</v>
      </c>
      <c r="D37" s="49">
        <v>40728.8433</v>
      </c>
      <c r="E37" s="50">
        <v>25496.9533</v>
      </c>
      <c r="F37" s="50">
        <v>12080.3977</v>
      </c>
      <c r="G37" s="51">
        <v>-52.620230512011815</v>
      </c>
      <c r="H37" s="50">
        <v>243159.43</v>
      </c>
      <c r="I37" s="50">
        <v>152636.21</v>
      </c>
      <c r="J37" s="50">
        <v>66814.73</v>
      </c>
      <c r="K37" s="51">
        <v>-56.22616022764192</v>
      </c>
      <c r="L37" s="134"/>
      <c r="P37" s="327">
        <f t="shared" si="3"/>
        <v>-13416.555600000002</v>
      </c>
      <c r="Q37" s="327">
        <f t="shared" si="4"/>
        <v>-85821.48</v>
      </c>
      <c r="R37" s="221">
        <f t="shared" si="5"/>
        <v>5.530838608069997</v>
      </c>
    </row>
    <row r="38" spans="2:18" ht="15">
      <c r="B38" s="385"/>
      <c r="C38" s="76" t="s">
        <v>90</v>
      </c>
      <c r="D38" s="49">
        <v>12965.68</v>
      </c>
      <c r="E38" s="50">
        <v>12965.68</v>
      </c>
      <c r="F38" s="50">
        <v>0</v>
      </c>
      <c r="G38" s="51">
        <v>-100</v>
      </c>
      <c r="H38" s="50">
        <v>130285.58</v>
      </c>
      <c r="I38" s="50">
        <v>130285.58</v>
      </c>
      <c r="J38" s="50">
        <v>0</v>
      </c>
      <c r="K38" s="51">
        <v>-100</v>
      </c>
      <c r="L38" s="134"/>
      <c r="P38" s="327">
        <f t="shared" si="3"/>
        <v>-12965.68</v>
      </c>
      <c r="Q38" s="327">
        <f t="shared" si="4"/>
        <v>-130285.58</v>
      </c>
      <c r="R38" s="221">
        <f t="shared" si="5"/>
        <v>0</v>
      </c>
    </row>
    <row r="39" spans="2:18" ht="15">
      <c r="B39" s="385"/>
      <c r="C39" s="76" t="s">
        <v>92</v>
      </c>
      <c r="D39" s="49">
        <v>19240</v>
      </c>
      <c r="E39" s="50">
        <v>19240</v>
      </c>
      <c r="F39" s="50">
        <v>0</v>
      </c>
      <c r="G39" s="51">
        <v>-100</v>
      </c>
      <c r="H39" s="50">
        <v>110573.94</v>
      </c>
      <c r="I39" s="50">
        <v>110573.94</v>
      </c>
      <c r="J39" s="50">
        <v>0</v>
      </c>
      <c r="K39" s="51">
        <v>-100</v>
      </c>
      <c r="L39" s="134"/>
      <c r="P39" s="327">
        <f t="shared" si="3"/>
        <v>-19240</v>
      </c>
      <c r="Q39" s="327">
        <f t="shared" si="4"/>
        <v>-110573.94</v>
      </c>
      <c r="R39" s="221">
        <f t="shared" si="5"/>
        <v>0</v>
      </c>
    </row>
    <row r="40" spans="2:18" ht="15">
      <c r="B40" s="385"/>
      <c r="C40" s="76" t="s">
        <v>79</v>
      </c>
      <c r="D40" s="49">
        <v>40000</v>
      </c>
      <c r="E40" s="50">
        <v>40000</v>
      </c>
      <c r="F40" s="50">
        <v>20000</v>
      </c>
      <c r="G40" s="51">
        <v>-50</v>
      </c>
      <c r="H40" s="50">
        <v>84962</v>
      </c>
      <c r="I40" s="50">
        <v>84962</v>
      </c>
      <c r="J40" s="50">
        <v>45606</v>
      </c>
      <c r="K40" s="51">
        <v>-46.32188507803489</v>
      </c>
      <c r="L40" s="134"/>
      <c r="P40" s="327">
        <f t="shared" si="3"/>
        <v>-20000</v>
      </c>
      <c r="Q40" s="327">
        <f t="shared" si="4"/>
        <v>-39356</v>
      </c>
      <c r="R40" s="221">
        <f t="shared" si="5"/>
        <v>2.2803</v>
      </c>
    </row>
    <row r="41" spans="2:18" ht="15">
      <c r="B41" s="385"/>
      <c r="C41" s="76" t="s">
        <v>96</v>
      </c>
      <c r="D41" s="49">
        <v>78000</v>
      </c>
      <c r="E41" s="50">
        <v>78000</v>
      </c>
      <c r="F41" s="50">
        <v>0</v>
      </c>
      <c r="G41" s="51">
        <v>-100</v>
      </c>
      <c r="H41" s="50">
        <v>74619.97</v>
      </c>
      <c r="I41" s="50">
        <v>74619.97</v>
      </c>
      <c r="J41" s="50">
        <v>0</v>
      </c>
      <c r="K41" s="51">
        <v>-100</v>
      </c>
      <c r="L41" s="134"/>
      <c r="P41" s="327">
        <f t="shared" si="3"/>
        <v>-78000</v>
      </c>
      <c r="Q41" s="327">
        <f t="shared" si="4"/>
        <v>-74619.97</v>
      </c>
      <c r="R41" s="221">
        <f t="shared" si="5"/>
        <v>0</v>
      </c>
    </row>
    <row r="42" spans="2:18" ht="15">
      <c r="B42" s="385"/>
      <c r="C42" s="76" t="s">
        <v>78</v>
      </c>
      <c r="D42" s="49">
        <v>3764.76</v>
      </c>
      <c r="E42" s="50">
        <v>3288.24</v>
      </c>
      <c r="F42" s="50">
        <v>578.76</v>
      </c>
      <c r="G42" s="51">
        <v>-82.39909495657251</v>
      </c>
      <c r="H42" s="50">
        <v>42976.84</v>
      </c>
      <c r="I42" s="50">
        <v>37288.83</v>
      </c>
      <c r="J42" s="50">
        <v>7260.14</v>
      </c>
      <c r="K42" s="51">
        <v>-80.52998713019421</v>
      </c>
      <c r="L42" s="134"/>
      <c r="P42" s="327">
        <f t="shared" si="3"/>
        <v>-2709.4799999999996</v>
      </c>
      <c r="Q42" s="327">
        <f t="shared" si="4"/>
        <v>-30028.690000000002</v>
      </c>
      <c r="R42" s="221">
        <f t="shared" si="5"/>
        <v>12.544301610339346</v>
      </c>
    </row>
    <row r="43" spans="2:18" ht="12.75" customHeight="1">
      <c r="B43" s="385"/>
      <c r="C43" s="76" t="s">
        <v>81</v>
      </c>
      <c r="D43" s="49">
        <v>2109.8254</v>
      </c>
      <c r="E43" s="50">
        <v>1492.5854</v>
      </c>
      <c r="F43" s="50">
        <v>3047.2</v>
      </c>
      <c r="G43" s="51">
        <v>104.15582250771043</v>
      </c>
      <c r="H43" s="50">
        <v>11124.47</v>
      </c>
      <c r="I43" s="50">
        <v>7229.36</v>
      </c>
      <c r="J43" s="50">
        <v>19650.08</v>
      </c>
      <c r="K43" s="51">
        <v>171.80939944891392</v>
      </c>
      <c r="L43" s="135"/>
      <c r="P43" s="327">
        <f t="shared" si="3"/>
        <v>1554.6145999999999</v>
      </c>
      <c r="Q43" s="327">
        <f t="shared" si="4"/>
        <v>12420.720000000001</v>
      </c>
      <c r="R43" s="221">
        <f t="shared" si="5"/>
        <v>6.448569178262012</v>
      </c>
    </row>
    <row r="44" spans="2:18" ht="12.75" customHeight="1">
      <c r="B44" s="385"/>
      <c r="C44" s="76" t="s">
        <v>103</v>
      </c>
      <c r="D44" s="49">
        <v>1800</v>
      </c>
      <c r="E44" s="50">
        <v>1200</v>
      </c>
      <c r="F44" s="50">
        <v>2030.88</v>
      </c>
      <c r="G44" s="51">
        <v>69.24000000000001</v>
      </c>
      <c r="H44" s="50">
        <v>7396.43</v>
      </c>
      <c r="I44" s="50">
        <v>4842.71</v>
      </c>
      <c r="J44" s="50">
        <v>4648.64</v>
      </c>
      <c r="K44" s="51">
        <v>-4.007466893536882</v>
      </c>
      <c r="L44" s="134"/>
      <c r="P44" s="327">
        <f t="shared" si="3"/>
        <v>830.8800000000001</v>
      </c>
      <c r="Q44" s="327">
        <f t="shared" si="4"/>
        <v>-194.0699999999997</v>
      </c>
      <c r="R44" s="221">
        <f t="shared" si="5"/>
        <v>2.288978176947924</v>
      </c>
    </row>
    <row r="45" spans="2:18" ht="15">
      <c r="B45" s="385"/>
      <c r="C45" s="76" t="s">
        <v>100</v>
      </c>
      <c r="D45" s="49">
        <v>1140</v>
      </c>
      <c r="E45" s="50">
        <v>0</v>
      </c>
      <c r="F45" s="50">
        <v>0</v>
      </c>
      <c r="G45" s="51" t="s">
        <v>148</v>
      </c>
      <c r="H45" s="50">
        <v>3243.35</v>
      </c>
      <c r="I45" s="50">
        <v>0</v>
      </c>
      <c r="J45" s="50">
        <v>0</v>
      </c>
      <c r="K45" s="51" t="s">
        <v>148</v>
      </c>
      <c r="L45" s="134"/>
      <c r="P45" s="327">
        <f t="shared" si="3"/>
        <v>0</v>
      </c>
      <c r="Q45" s="327">
        <f t="shared" si="4"/>
        <v>0</v>
      </c>
      <c r="R45" s="221">
        <f t="shared" si="5"/>
        <v>0</v>
      </c>
    </row>
    <row r="46" spans="2:18" ht="15">
      <c r="B46" s="385"/>
      <c r="C46" s="76" t="s">
        <v>102</v>
      </c>
      <c r="D46" s="49">
        <v>796</v>
      </c>
      <c r="E46" s="50">
        <v>494</v>
      </c>
      <c r="F46" s="50">
        <v>293</v>
      </c>
      <c r="G46" s="51">
        <v>-40.688259109311744</v>
      </c>
      <c r="H46" s="50">
        <v>2957.06</v>
      </c>
      <c r="I46" s="50">
        <v>1511.26</v>
      </c>
      <c r="J46" s="50">
        <v>1307.96</v>
      </c>
      <c r="K46" s="51">
        <v>-13.452351018355547</v>
      </c>
      <c r="L46" s="134"/>
      <c r="P46" s="327">
        <f t="shared" si="3"/>
        <v>-201</v>
      </c>
      <c r="Q46" s="327">
        <f t="shared" si="4"/>
        <v>-203.29999999999995</v>
      </c>
      <c r="R46" s="221">
        <f t="shared" si="5"/>
        <v>4.464027303754266</v>
      </c>
    </row>
    <row r="47" spans="2:18" ht="15">
      <c r="B47" s="385"/>
      <c r="C47" s="76" t="s">
        <v>99</v>
      </c>
      <c r="D47" s="49">
        <v>447.36</v>
      </c>
      <c r="E47" s="50">
        <v>367.36</v>
      </c>
      <c r="F47" s="50">
        <v>160</v>
      </c>
      <c r="G47" s="51">
        <v>-56.44599303135889</v>
      </c>
      <c r="H47" s="50">
        <v>2632.47</v>
      </c>
      <c r="I47" s="50">
        <v>2054.24</v>
      </c>
      <c r="J47" s="50">
        <v>1123.27</v>
      </c>
      <c r="K47" s="51">
        <v>-45.31943687203053</v>
      </c>
      <c r="L47" s="135"/>
      <c r="P47" s="327">
        <f t="shared" si="3"/>
        <v>-207.36</v>
      </c>
      <c r="Q47" s="327">
        <f t="shared" si="4"/>
        <v>-930.9699999999998</v>
      </c>
      <c r="R47" s="221">
        <f t="shared" si="5"/>
        <v>7.0204375</v>
      </c>
    </row>
    <row r="48" spans="2:18" ht="12.75" customHeight="1">
      <c r="B48" s="385"/>
      <c r="C48" s="76" t="s">
        <v>98</v>
      </c>
      <c r="D48" s="49">
        <v>1162.5232</v>
      </c>
      <c r="E48" s="50">
        <v>1155.3385</v>
      </c>
      <c r="F48" s="50">
        <v>2552.8077</v>
      </c>
      <c r="G48" s="51">
        <v>120.95755486379099</v>
      </c>
      <c r="H48" s="50">
        <v>2451.04</v>
      </c>
      <c r="I48" s="50">
        <v>2298.79</v>
      </c>
      <c r="J48" s="50">
        <v>4271.55</v>
      </c>
      <c r="K48" s="51">
        <v>85.8173212864159</v>
      </c>
      <c r="L48" s="134"/>
      <c r="P48" s="327">
        <f t="shared" si="3"/>
        <v>1397.4691999999998</v>
      </c>
      <c r="Q48" s="327">
        <f t="shared" si="4"/>
        <v>1972.7600000000002</v>
      </c>
      <c r="R48" s="221">
        <f t="shared" si="5"/>
        <v>1.6732752725557827</v>
      </c>
    </row>
    <row r="49" spans="2:18" ht="15">
      <c r="B49" s="385"/>
      <c r="C49" s="76" t="s">
        <v>95</v>
      </c>
      <c r="D49" s="49">
        <v>80</v>
      </c>
      <c r="E49" s="50">
        <v>0</v>
      </c>
      <c r="F49" s="50">
        <v>0</v>
      </c>
      <c r="G49" s="51" t="s">
        <v>148</v>
      </c>
      <c r="H49" s="50">
        <v>547.45</v>
      </c>
      <c r="I49" s="50">
        <v>0</v>
      </c>
      <c r="J49" s="50">
        <v>0</v>
      </c>
      <c r="K49" s="51" t="s">
        <v>148</v>
      </c>
      <c r="L49" s="134"/>
      <c r="P49" s="327">
        <f t="shared" si="3"/>
        <v>0</v>
      </c>
      <c r="Q49" s="327">
        <f t="shared" si="4"/>
        <v>0</v>
      </c>
      <c r="R49" s="221">
        <f t="shared" si="5"/>
        <v>0</v>
      </c>
    </row>
    <row r="50" spans="2:18" ht="15">
      <c r="B50" s="385"/>
      <c r="C50" s="76" t="s">
        <v>171</v>
      </c>
      <c r="D50" s="49">
        <v>43.4692</v>
      </c>
      <c r="E50" s="50">
        <v>0</v>
      </c>
      <c r="F50" s="50">
        <v>18.45</v>
      </c>
      <c r="G50" s="51" t="s">
        <v>148</v>
      </c>
      <c r="H50" s="50">
        <v>83.1</v>
      </c>
      <c r="I50" s="50">
        <v>0</v>
      </c>
      <c r="J50" s="50">
        <v>231.42</v>
      </c>
      <c r="K50" s="51" t="s">
        <v>148</v>
      </c>
      <c r="L50" s="134"/>
      <c r="P50" s="327">
        <f t="shared" si="3"/>
        <v>18.45</v>
      </c>
      <c r="Q50" s="327">
        <f t="shared" si="4"/>
        <v>231.42</v>
      </c>
      <c r="R50" s="221">
        <f t="shared" si="5"/>
        <v>12.543089430894309</v>
      </c>
    </row>
    <row r="51" spans="2:18" ht="15">
      <c r="B51" s="385"/>
      <c r="C51" s="76" t="s">
        <v>184</v>
      </c>
      <c r="D51" s="49">
        <v>0.4231</v>
      </c>
      <c r="E51" s="50">
        <v>0</v>
      </c>
      <c r="F51" s="50">
        <v>4933.5</v>
      </c>
      <c r="G51" s="51" t="s">
        <v>148</v>
      </c>
      <c r="H51" s="50">
        <v>74.3</v>
      </c>
      <c r="I51" s="50">
        <v>0</v>
      </c>
      <c r="J51" s="50">
        <v>11618.94</v>
      </c>
      <c r="K51" s="51" t="s">
        <v>148</v>
      </c>
      <c r="L51" s="134"/>
      <c r="P51" s="327">
        <f t="shared" si="3"/>
        <v>4933.5</v>
      </c>
      <c r="Q51" s="327">
        <f t="shared" si="4"/>
        <v>11618.94</v>
      </c>
      <c r="R51" s="221">
        <f t="shared" si="5"/>
        <v>2.355110975980541</v>
      </c>
    </row>
    <row r="52" spans="2:18" ht="15">
      <c r="B52" s="385"/>
      <c r="C52" s="312" t="s">
        <v>119</v>
      </c>
      <c r="D52" s="306">
        <v>0</v>
      </c>
      <c r="E52" s="307">
        <v>0</v>
      </c>
      <c r="F52" s="307">
        <v>63.55</v>
      </c>
      <c r="G52" s="308" t="s">
        <v>148</v>
      </c>
      <c r="H52" s="307">
        <v>0</v>
      </c>
      <c r="I52" s="307">
        <v>0</v>
      </c>
      <c r="J52" s="307">
        <v>1802.19</v>
      </c>
      <c r="K52" s="308" t="s">
        <v>148</v>
      </c>
      <c r="L52" s="134"/>
      <c r="P52" s="327">
        <f>+F54-E54</f>
        <v>10.05</v>
      </c>
      <c r="Q52" s="327">
        <f>+J54-I54</f>
        <v>51.27</v>
      </c>
      <c r="R52" s="221">
        <f>+IF(F54=0,0,J54/F54)</f>
        <v>5.101492537313433</v>
      </c>
    </row>
    <row r="53" spans="2:18" ht="15">
      <c r="B53" s="385"/>
      <c r="C53" s="76" t="s">
        <v>212</v>
      </c>
      <c r="D53" s="49">
        <v>0</v>
      </c>
      <c r="E53" s="50">
        <v>0</v>
      </c>
      <c r="F53" s="50">
        <v>3</v>
      </c>
      <c r="G53" s="51" t="s">
        <v>148</v>
      </c>
      <c r="H53" s="50">
        <v>0</v>
      </c>
      <c r="I53" s="50">
        <v>0</v>
      </c>
      <c r="J53" s="50">
        <v>230.91</v>
      </c>
      <c r="K53" s="51" t="s">
        <v>148</v>
      </c>
      <c r="L53" s="134"/>
      <c r="P53" s="327"/>
      <c r="Q53" s="327"/>
      <c r="R53" s="221"/>
    </row>
    <row r="54" spans="2:19" s="302" customFormat="1" ht="15">
      <c r="B54" s="386"/>
      <c r="C54" s="76" t="s">
        <v>204</v>
      </c>
      <c r="D54" s="49">
        <v>0</v>
      </c>
      <c r="E54" s="50">
        <v>0</v>
      </c>
      <c r="F54" s="50">
        <v>10.05</v>
      </c>
      <c r="G54" s="51" t="s">
        <v>148</v>
      </c>
      <c r="H54" s="50">
        <v>0</v>
      </c>
      <c r="I54" s="50">
        <v>0</v>
      </c>
      <c r="J54" s="50">
        <v>51.27</v>
      </c>
      <c r="K54" s="51" t="s">
        <v>148</v>
      </c>
      <c r="L54" s="313"/>
      <c r="N54" s="191"/>
      <c r="O54" s="291"/>
      <c r="P54" s="327"/>
      <c r="Q54" s="327"/>
      <c r="R54" s="221"/>
      <c r="S54" s="191"/>
    </row>
    <row r="55" spans="2:18" ht="15">
      <c r="B55" s="153" t="s">
        <v>114</v>
      </c>
      <c r="C55" s="154"/>
      <c r="D55" s="69">
        <v>2694741.7803999996</v>
      </c>
      <c r="E55" s="70">
        <v>1834868.8508000001</v>
      </c>
      <c r="F55" s="70">
        <v>2141411.1115</v>
      </c>
      <c r="G55" s="71">
        <v>16.70649433970979</v>
      </c>
      <c r="H55" s="70">
        <v>7435632.760000001</v>
      </c>
      <c r="I55" s="70">
        <v>4617727.170000001</v>
      </c>
      <c r="J55" s="70">
        <v>4871699.000000001</v>
      </c>
      <c r="K55" s="71">
        <v>5.499931473864006</v>
      </c>
      <c r="L55" s="134"/>
      <c r="O55" s="293">
        <f>+J55/$J$95</f>
        <v>0.07766754399613107</v>
      </c>
      <c r="P55" s="327">
        <f aca="true" t="shared" si="6" ref="P55:P73">+F55-E55</f>
        <v>306542.2607</v>
      </c>
      <c r="Q55" s="327">
        <f aca="true" t="shared" si="7" ref="Q55:Q73">+J55-I55</f>
        <v>253971.83000000007</v>
      </c>
      <c r="R55" s="221">
        <f aca="true" t="shared" si="8" ref="R55:R73">+IF(F55=0,0,J55/F55)</f>
        <v>2.2749947330699656</v>
      </c>
    </row>
    <row r="56" spans="2:18" ht="15">
      <c r="B56" s="384" t="s">
        <v>83</v>
      </c>
      <c r="C56" s="76" t="s">
        <v>129</v>
      </c>
      <c r="D56" s="49">
        <v>527825</v>
      </c>
      <c r="E56" s="50">
        <v>264300</v>
      </c>
      <c r="F56" s="50">
        <v>405500</v>
      </c>
      <c r="G56" s="51">
        <v>53.424139235716986</v>
      </c>
      <c r="H56" s="50">
        <v>614862.91</v>
      </c>
      <c r="I56" s="50">
        <v>265603.39</v>
      </c>
      <c r="J56" s="50">
        <v>506501.57</v>
      </c>
      <c r="K56" s="51">
        <v>90.69845832916515</v>
      </c>
      <c r="L56" s="134"/>
      <c r="P56" s="327">
        <f t="shared" si="6"/>
        <v>141200</v>
      </c>
      <c r="Q56" s="327">
        <f t="shared" si="7"/>
        <v>240898.18</v>
      </c>
      <c r="R56" s="221">
        <f t="shared" si="8"/>
        <v>1.2490790875462392</v>
      </c>
    </row>
    <row r="57" spans="2:18" ht="12.75" customHeight="1">
      <c r="B57" s="385"/>
      <c r="C57" s="76" t="s">
        <v>127</v>
      </c>
      <c r="D57" s="49">
        <v>419530</v>
      </c>
      <c r="E57" s="50">
        <v>303862</v>
      </c>
      <c r="F57" s="50">
        <v>192780</v>
      </c>
      <c r="G57" s="51">
        <v>-36.55672640869868</v>
      </c>
      <c r="H57" s="50">
        <v>561780.2</v>
      </c>
      <c r="I57" s="50">
        <v>418942.92</v>
      </c>
      <c r="J57" s="50">
        <v>256217.93</v>
      </c>
      <c r="K57" s="51">
        <v>-38.841804511220765</v>
      </c>
      <c r="L57" s="134"/>
      <c r="O57" s="322"/>
      <c r="P57" s="327">
        <f t="shared" si="6"/>
        <v>-111082</v>
      </c>
      <c r="Q57" s="327">
        <f t="shared" si="7"/>
        <v>-162724.99</v>
      </c>
      <c r="R57" s="221">
        <f t="shared" si="8"/>
        <v>1.3290690424317875</v>
      </c>
    </row>
    <row r="58" spans="2:18" ht="12.75" customHeight="1">
      <c r="B58" s="385"/>
      <c r="C58" s="76" t="s">
        <v>101</v>
      </c>
      <c r="D58" s="49">
        <v>441336</v>
      </c>
      <c r="E58" s="50">
        <v>252336</v>
      </c>
      <c r="F58" s="50">
        <v>211000</v>
      </c>
      <c r="G58" s="51">
        <v>-16.38133282607317</v>
      </c>
      <c r="H58" s="50">
        <v>303623.02</v>
      </c>
      <c r="I58" s="50">
        <v>191282.06</v>
      </c>
      <c r="J58" s="50">
        <v>147615.4</v>
      </c>
      <c r="K58" s="51">
        <v>-22.82841370487123</v>
      </c>
      <c r="L58" s="134"/>
      <c r="O58" s="322"/>
      <c r="P58" s="327">
        <f t="shared" si="6"/>
        <v>-41336</v>
      </c>
      <c r="Q58" s="327">
        <f t="shared" si="7"/>
        <v>-43666.66</v>
      </c>
      <c r="R58" s="221">
        <f t="shared" si="8"/>
        <v>0.6995990521327013</v>
      </c>
    </row>
    <row r="59" spans="2:18" ht="12.75" customHeight="1">
      <c r="B59" s="385"/>
      <c r="C59" s="76" t="s">
        <v>95</v>
      </c>
      <c r="D59" s="49">
        <v>444036</v>
      </c>
      <c r="E59" s="50">
        <v>324086</v>
      </c>
      <c r="F59" s="50">
        <v>260025</v>
      </c>
      <c r="G59" s="51">
        <v>-19.766666872373385</v>
      </c>
      <c r="H59" s="50">
        <v>293163.52</v>
      </c>
      <c r="I59" s="50">
        <v>217114.77</v>
      </c>
      <c r="J59" s="50">
        <v>191371.89</v>
      </c>
      <c r="K59" s="51">
        <v>-11.85680734663974</v>
      </c>
      <c r="L59" s="134"/>
      <c r="O59" s="322"/>
      <c r="P59" s="327">
        <f t="shared" si="6"/>
        <v>-64061</v>
      </c>
      <c r="Q59" s="327">
        <f t="shared" si="7"/>
        <v>-25742.879999999976</v>
      </c>
      <c r="R59" s="221">
        <f t="shared" si="8"/>
        <v>0.7359749639457746</v>
      </c>
    </row>
    <row r="60" spans="2:18" ht="12.75">
      <c r="B60" s="385"/>
      <c r="C60" s="76" t="s">
        <v>99</v>
      </c>
      <c r="D60" s="49">
        <v>124320</v>
      </c>
      <c r="E60" s="50">
        <v>124320</v>
      </c>
      <c r="F60" s="50">
        <v>252004.325</v>
      </c>
      <c r="G60" s="51">
        <v>102.70618162805664</v>
      </c>
      <c r="H60" s="50">
        <v>83268.54</v>
      </c>
      <c r="I60" s="50">
        <v>83268.54</v>
      </c>
      <c r="J60" s="50">
        <v>183921.17</v>
      </c>
      <c r="K60" s="51">
        <v>120.87714039419933</v>
      </c>
      <c r="L60" s="134"/>
      <c r="O60" s="322"/>
      <c r="P60" s="327">
        <f t="shared" si="6"/>
        <v>127684.32500000001</v>
      </c>
      <c r="Q60" s="327">
        <f t="shared" si="7"/>
        <v>100652.63000000002</v>
      </c>
      <c r="R60" s="221">
        <f t="shared" si="8"/>
        <v>0.7298333867881037</v>
      </c>
    </row>
    <row r="61" spans="2:18" ht="12.75">
      <c r="B61" s="385"/>
      <c r="C61" s="76" t="s">
        <v>100</v>
      </c>
      <c r="D61" s="49">
        <v>52050</v>
      </c>
      <c r="E61" s="50">
        <v>2050</v>
      </c>
      <c r="F61" s="50">
        <v>43000</v>
      </c>
      <c r="G61" s="51">
        <v>1997.5609756097563</v>
      </c>
      <c r="H61" s="50">
        <v>36152.24</v>
      </c>
      <c r="I61" s="50">
        <v>2950</v>
      </c>
      <c r="J61" s="50">
        <v>30153.47</v>
      </c>
      <c r="K61" s="51">
        <v>922.1515254237289</v>
      </c>
      <c r="L61" s="135"/>
      <c r="O61" s="322"/>
      <c r="P61" s="327">
        <f t="shared" si="6"/>
        <v>40950</v>
      </c>
      <c r="Q61" s="327">
        <f t="shared" si="7"/>
        <v>27203.47</v>
      </c>
      <c r="R61" s="221">
        <f t="shared" si="8"/>
        <v>0.701243488372093</v>
      </c>
    </row>
    <row r="62" spans="2:18" ht="12.75">
      <c r="B62" s="385"/>
      <c r="C62" s="76" t="s">
        <v>182</v>
      </c>
      <c r="D62" s="49">
        <v>60000</v>
      </c>
      <c r="E62" s="50">
        <v>60000</v>
      </c>
      <c r="F62" s="50">
        <v>40000</v>
      </c>
      <c r="G62" s="51">
        <v>-33.333333333333336</v>
      </c>
      <c r="H62" s="50">
        <v>35415.13</v>
      </c>
      <c r="I62" s="50">
        <v>35415.13</v>
      </c>
      <c r="J62" s="50">
        <v>25635.99</v>
      </c>
      <c r="K62" s="51">
        <v>-27.612887486224103</v>
      </c>
      <c r="L62" s="135"/>
      <c r="O62" s="322"/>
      <c r="P62" s="327">
        <f t="shared" si="6"/>
        <v>-20000</v>
      </c>
      <c r="Q62" s="327">
        <f t="shared" si="7"/>
        <v>-9779.139999999996</v>
      </c>
      <c r="R62" s="221">
        <f t="shared" si="8"/>
        <v>0.64089975</v>
      </c>
    </row>
    <row r="63" spans="2:18" ht="12.75">
      <c r="B63" s="385"/>
      <c r="C63" s="76" t="s">
        <v>110</v>
      </c>
      <c r="D63" s="49">
        <v>17500</v>
      </c>
      <c r="E63" s="50">
        <v>17500</v>
      </c>
      <c r="F63" s="50">
        <v>0</v>
      </c>
      <c r="G63" s="51">
        <v>-100</v>
      </c>
      <c r="H63" s="50">
        <v>11423.48</v>
      </c>
      <c r="I63" s="50">
        <v>11423.48</v>
      </c>
      <c r="J63" s="50">
        <v>0</v>
      </c>
      <c r="K63" s="51">
        <v>-100</v>
      </c>
      <c r="L63" s="135"/>
      <c r="O63" s="322"/>
      <c r="P63" s="327">
        <f t="shared" si="6"/>
        <v>-17500</v>
      </c>
      <c r="Q63" s="327">
        <f t="shared" si="7"/>
        <v>-11423.48</v>
      </c>
      <c r="R63" s="221">
        <f t="shared" si="8"/>
        <v>0</v>
      </c>
    </row>
    <row r="64" spans="2:18" ht="12.75" customHeight="1">
      <c r="B64" s="385"/>
      <c r="C64" s="76" t="s">
        <v>102</v>
      </c>
      <c r="D64" s="49">
        <v>3971.6363</v>
      </c>
      <c r="E64" s="50">
        <v>3000</v>
      </c>
      <c r="F64" s="50">
        <v>3000</v>
      </c>
      <c r="G64" s="51">
        <v>0</v>
      </c>
      <c r="H64" s="50">
        <v>4352.71</v>
      </c>
      <c r="I64" s="50">
        <v>2194.87</v>
      </c>
      <c r="J64" s="50">
        <v>2188.74</v>
      </c>
      <c r="K64" s="51">
        <v>-0.2792876115669807</v>
      </c>
      <c r="L64" s="134"/>
      <c r="O64" s="322"/>
      <c r="P64" s="327">
        <f t="shared" si="6"/>
        <v>0</v>
      </c>
      <c r="Q64" s="327">
        <f t="shared" si="7"/>
        <v>-6.130000000000109</v>
      </c>
      <c r="R64" s="221">
        <f t="shared" si="8"/>
        <v>0.7295799999999999</v>
      </c>
    </row>
    <row r="65" spans="2:18" ht="12.75">
      <c r="B65" s="385"/>
      <c r="C65" s="76" t="s">
        <v>97</v>
      </c>
      <c r="D65" s="49">
        <v>10</v>
      </c>
      <c r="E65" s="50">
        <v>10</v>
      </c>
      <c r="F65" s="50">
        <v>92000</v>
      </c>
      <c r="G65" s="51">
        <v>919900</v>
      </c>
      <c r="H65" s="50">
        <v>950.23</v>
      </c>
      <c r="I65" s="50">
        <v>950.23</v>
      </c>
      <c r="J65" s="50">
        <v>52440</v>
      </c>
      <c r="K65" s="51">
        <v>5418.663902423624</v>
      </c>
      <c r="L65" s="134"/>
      <c r="O65" s="322"/>
      <c r="P65" s="327">
        <f t="shared" si="6"/>
        <v>91990</v>
      </c>
      <c r="Q65" s="327">
        <f t="shared" si="7"/>
        <v>51489.77</v>
      </c>
      <c r="R65" s="221">
        <f t="shared" si="8"/>
        <v>0.57</v>
      </c>
    </row>
    <row r="66" spans="2:18" ht="12.75">
      <c r="B66" s="385"/>
      <c r="C66" s="76" t="s">
        <v>80</v>
      </c>
      <c r="D66" s="49">
        <v>4725</v>
      </c>
      <c r="E66" s="50">
        <v>3825</v>
      </c>
      <c r="F66" s="50">
        <v>1125</v>
      </c>
      <c r="G66" s="51">
        <v>-70.58823529411764</v>
      </c>
      <c r="H66" s="50">
        <v>851.47</v>
      </c>
      <c r="I66" s="50">
        <v>601.54</v>
      </c>
      <c r="J66" s="50">
        <v>161.86</v>
      </c>
      <c r="K66" s="51">
        <v>-73.09239618312998</v>
      </c>
      <c r="L66" s="134"/>
      <c r="O66" s="322"/>
      <c r="P66" s="327">
        <f t="shared" si="6"/>
        <v>-2700</v>
      </c>
      <c r="Q66" s="327">
        <f t="shared" si="7"/>
        <v>-439.67999999999995</v>
      </c>
      <c r="R66" s="221">
        <f t="shared" si="8"/>
        <v>0.14387555555555556</v>
      </c>
    </row>
    <row r="67" spans="2:18" ht="12.75" customHeight="1">
      <c r="B67" s="385"/>
      <c r="C67" s="76" t="s">
        <v>189</v>
      </c>
      <c r="D67" s="49">
        <v>1.628</v>
      </c>
      <c r="E67" s="50">
        <v>0.8709</v>
      </c>
      <c r="F67" s="50">
        <v>0</v>
      </c>
      <c r="G67" s="51">
        <v>-100</v>
      </c>
      <c r="H67" s="50">
        <v>381.74</v>
      </c>
      <c r="I67" s="50">
        <v>256.1</v>
      </c>
      <c r="J67" s="50">
        <v>0</v>
      </c>
      <c r="K67" s="51">
        <v>-100</v>
      </c>
      <c r="L67" s="134"/>
      <c r="O67" s="322"/>
      <c r="P67" s="327">
        <f t="shared" si="6"/>
        <v>-0.8709</v>
      </c>
      <c r="Q67" s="327">
        <f t="shared" si="7"/>
        <v>-256.1</v>
      </c>
      <c r="R67" s="221">
        <f t="shared" si="8"/>
        <v>0</v>
      </c>
    </row>
    <row r="68" spans="2:18" ht="12.75" customHeight="1">
      <c r="B68" s="385"/>
      <c r="C68" s="76" t="s">
        <v>171</v>
      </c>
      <c r="D68" s="49">
        <v>30</v>
      </c>
      <c r="E68" s="50">
        <v>30</v>
      </c>
      <c r="F68" s="50">
        <v>112.9692</v>
      </c>
      <c r="G68" s="51">
        <v>276.56399999999996</v>
      </c>
      <c r="H68" s="50">
        <v>139.98</v>
      </c>
      <c r="I68" s="50">
        <v>139.98</v>
      </c>
      <c r="J68" s="50">
        <v>724.35</v>
      </c>
      <c r="K68" s="51">
        <v>417.4667809687099</v>
      </c>
      <c r="L68" s="134"/>
      <c r="O68" s="322"/>
      <c r="P68" s="327">
        <f t="shared" si="6"/>
        <v>82.9692</v>
      </c>
      <c r="Q68" s="327">
        <f t="shared" si="7"/>
        <v>584.37</v>
      </c>
      <c r="R68" s="221">
        <f t="shared" si="8"/>
        <v>6.411924666192201</v>
      </c>
    </row>
    <row r="69" spans="2:18" ht="12.75">
      <c r="B69" s="385"/>
      <c r="C69" s="76" t="s">
        <v>96</v>
      </c>
      <c r="D69" s="49">
        <v>0.5</v>
      </c>
      <c r="E69" s="50">
        <v>0</v>
      </c>
      <c r="F69" s="50">
        <v>0</v>
      </c>
      <c r="G69" s="51" t="s">
        <v>148</v>
      </c>
      <c r="H69" s="50">
        <v>69.4</v>
      </c>
      <c r="I69" s="50">
        <v>0</v>
      </c>
      <c r="J69" s="50">
        <v>0</v>
      </c>
      <c r="K69" s="51" t="s">
        <v>148</v>
      </c>
      <c r="L69" s="134"/>
      <c r="O69" s="322"/>
      <c r="P69" s="327">
        <f t="shared" si="6"/>
        <v>0</v>
      </c>
      <c r="Q69" s="327">
        <f t="shared" si="7"/>
        <v>0</v>
      </c>
      <c r="R69" s="221">
        <f t="shared" si="8"/>
        <v>0</v>
      </c>
    </row>
    <row r="70" spans="2:18" ht="12.75" customHeight="1">
      <c r="B70" s="385"/>
      <c r="C70" s="76" t="s">
        <v>98</v>
      </c>
      <c r="D70" s="49">
        <v>40</v>
      </c>
      <c r="E70" s="50">
        <v>40</v>
      </c>
      <c r="F70" s="50">
        <v>0</v>
      </c>
      <c r="G70" s="51">
        <v>-100</v>
      </c>
      <c r="H70" s="50">
        <v>60.4</v>
      </c>
      <c r="I70" s="50">
        <v>60.4</v>
      </c>
      <c r="J70" s="50">
        <v>0</v>
      </c>
      <c r="K70" s="51">
        <v>-100</v>
      </c>
      <c r="L70" s="135"/>
      <c r="O70" s="322"/>
      <c r="P70" s="327">
        <f t="shared" si="6"/>
        <v>-40</v>
      </c>
      <c r="Q70" s="327">
        <f t="shared" si="7"/>
        <v>-60.4</v>
      </c>
      <c r="R70" s="221">
        <f t="shared" si="8"/>
        <v>0</v>
      </c>
    </row>
    <row r="71" spans="2:18" ht="12.75" customHeight="1">
      <c r="B71" s="153" t="s">
        <v>116</v>
      </c>
      <c r="C71" s="154"/>
      <c r="D71" s="69">
        <v>2095375.7643</v>
      </c>
      <c r="E71" s="70">
        <v>1355359.8709</v>
      </c>
      <c r="F71" s="70">
        <v>1500547.2942</v>
      </c>
      <c r="G71" s="71">
        <v>10.712093991951456</v>
      </c>
      <c r="H71" s="70">
        <v>1946494.97</v>
      </c>
      <c r="I71" s="70">
        <v>1230203.41</v>
      </c>
      <c r="J71" s="70">
        <v>1396932.37</v>
      </c>
      <c r="K71" s="71">
        <v>13.552958693229456</v>
      </c>
      <c r="L71" s="134"/>
      <c r="O71" s="293">
        <f>+J71/$J$95</f>
        <v>0.022270732716983262</v>
      </c>
      <c r="P71" s="327">
        <f t="shared" si="6"/>
        <v>145187.4232999999</v>
      </c>
      <c r="Q71" s="327">
        <f t="shared" si="7"/>
        <v>166728.9600000002</v>
      </c>
      <c r="R71" s="221">
        <f t="shared" si="8"/>
        <v>0.9309485781617827</v>
      </c>
    </row>
    <row r="72" spans="2:18" ht="12.75" customHeight="1">
      <c r="B72" s="384" t="s">
        <v>86</v>
      </c>
      <c r="C72" s="76" t="s">
        <v>79</v>
      </c>
      <c r="D72" s="49">
        <v>2700351.2</v>
      </c>
      <c r="E72" s="50">
        <v>1493800</v>
      </c>
      <c r="F72" s="50">
        <v>0</v>
      </c>
      <c r="G72" s="51">
        <v>-100</v>
      </c>
      <c r="H72" s="50">
        <v>526560.05</v>
      </c>
      <c r="I72" s="50">
        <v>290295.41</v>
      </c>
      <c r="J72" s="50">
        <v>0</v>
      </c>
      <c r="K72" s="51">
        <v>-100</v>
      </c>
      <c r="L72" s="134"/>
      <c r="O72" s="322"/>
      <c r="P72" s="327">
        <f t="shared" si="6"/>
        <v>-1493800</v>
      </c>
      <c r="Q72" s="327">
        <f t="shared" si="7"/>
        <v>-290295.41</v>
      </c>
      <c r="R72" s="221">
        <f t="shared" si="8"/>
        <v>0</v>
      </c>
    </row>
    <row r="73" spans="2:18" ht="12.75">
      <c r="B73" s="385"/>
      <c r="C73" s="76" t="s">
        <v>96</v>
      </c>
      <c r="D73" s="49">
        <v>103976</v>
      </c>
      <c r="E73" s="50">
        <v>0</v>
      </c>
      <c r="F73" s="50">
        <v>57323.0769</v>
      </c>
      <c r="G73" s="51" t="s">
        <v>148</v>
      </c>
      <c r="H73" s="50">
        <v>75689.76</v>
      </c>
      <c r="I73" s="50">
        <v>0</v>
      </c>
      <c r="J73" s="50">
        <v>58523.86</v>
      </c>
      <c r="K73" s="51" t="s">
        <v>148</v>
      </c>
      <c r="L73" s="134"/>
      <c r="O73" s="322"/>
      <c r="P73" s="327">
        <f t="shared" si="6"/>
        <v>57323.0769</v>
      </c>
      <c r="Q73" s="327">
        <f t="shared" si="7"/>
        <v>58523.86</v>
      </c>
      <c r="R73" s="221">
        <f t="shared" si="8"/>
        <v>1.0209476386289376</v>
      </c>
    </row>
    <row r="74" spans="2:18" ht="12.75" customHeight="1">
      <c r="B74" s="385"/>
      <c r="C74" s="76" t="s">
        <v>127</v>
      </c>
      <c r="D74" s="49">
        <v>704</v>
      </c>
      <c r="E74" s="50">
        <v>0</v>
      </c>
      <c r="F74" s="50">
        <v>0</v>
      </c>
      <c r="G74" s="51" t="s">
        <v>148</v>
      </c>
      <c r="H74" s="50">
        <v>52908.14</v>
      </c>
      <c r="I74" s="50">
        <v>0</v>
      </c>
      <c r="J74" s="50">
        <v>0</v>
      </c>
      <c r="K74" s="51" t="s">
        <v>148</v>
      </c>
      <c r="L74" s="134"/>
      <c r="O74" s="322"/>
      <c r="P74" s="327">
        <f aca="true" t="shared" si="9" ref="P74:P89">+F74-E74</f>
        <v>0</v>
      </c>
      <c r="Q74" s="327">
        <f aca="true" t="shared" si="10" ref="Q74:Q89">+J74-I74</f>
        <v>0</v>
      </c>
      <c r="R74" s="221">
        <f aca="true" t="shared" si="11" ref="R74:R89">+IF(F74=0,0,J74/F74)</f>
        <v>0</v>
      </c>
    </row>
    <row r="75" spans="2:18" ht="12.75" customHeight="1">
      <c r="B75" s="385"/>
      <c r="C75" s="76" t="s">
        <v>77</v>
      </c>
      <c r="D75" s="49">
        <v>10598.4346</v>
      </c>
      <c r="E75" s="50">
        <v>6485.9346</v>
      </c>
      <c r="F75" s="50">
        <v>34586.69</v>
      </c>
      <c r="G75" s="51">
        <v>433.2568416585638</v>
      </c>
      <c r="H75" s="50">
        <v>9606.6</v>
      </c>
      <c r="I75" s="50">
        <v>2147.17</v>
      </c>
      <c r="J75" s="50">
        <v>4078.52</v>
      </c>
      <c r="K75" s="51">
        <v>89.94863005723812</v>
      </c>
      <c r="L75" s="134"/>
      <c r="O75" s="322"/>
      <c r="P75" s="327">
        <f t="shared" si="9"/>
        <v>28100.755400000002</v>
      </c>
      <c r="Q75" s="327">
        <f t="shared" si="10"/>
        <v>1931.35</v>
      </c>
      <c r="R75" s="221">
        <f t="shared" si="11"/>
        <v>0.11792166292871621</v>
      </c>
    </row>
    <row r="76" spans="2:18" ht="12.75" customHeight="1">
      <c r="B76" s="385"/>
      <c r="C76" s="76" t="s">
        <v>76</v>
      </c>
      <c r="D76" s="49">
        <v>2880</v>
      </c>
      <c r="E76" s="50">
        <v>0</v>
      </c>
      <c r="F76" s="50">
        <v>0</v>
      </c>
      <c r="G76" s="51" t="s">
        <v>148</v>
      </c>
      <c r="H76" s="50">
        <v>5350</v>
      </c>
      <c r="I76" s="50">
        <v>0</v>
      </c>
      <c r="J76" s="50">
        <v>0</v>
      </c>
      <c r="K76" s="51" t="s">
        <v>148</v>
      </c>
      <c r="L76" s="134"/>
      <c r="O76" s="322"/>
      <c r="P76" s="327">
        <f t="shared" si="9"/>
        <v>0</v>
      </c>
      <c r="Q76" s="327">
        <f t="shared" si="10"/>
        <v>0</v>
      </c>
      <c r="R76" s="221">
        <f t="shared" si="11"/>
        <v>0</v>
      </c>
    </row>
    <row r="77" spans="2:18" ht="15" customHeight="1">
      <c r="B77" s="385"/>
      <c r="C77" s="76" t="s">
        <v>98</v>
      </c>
      <c r="D77" s="49">
        <v>297.4182</v>
      </c>
      <c r="E77" s="50">
        <v>0</v>
      </c>
      <c r="F77" s="50">
        <v>0</v>
      </c>
      <c r="G77" s="51" t="s">
        <v>148</v>
      </c>
      <c r="H77" s="50">
        <v>465.57</v>
      </c>
      <c r="I77" s="50">
        <v>0</v>
      </c>
      <c r="J77" s="50">
        <v>0</v>
      </c>
      <c r="K77" s="51" t="s">
        <v>148</v>
      </c>
      <c r="L77" s="134"/>
      <c r="O77" s="322"/>
      <c r="P77" s="327">
        <f t="shared" si="9"/>
        <v>0</v>
      </c>
      <c r="Q77" s="327">
        <f t="shared" si="10"/>
        <v>0</v>
      </c>
      <c r="R77" s="221">
        <f t="shared" si="11"/>
        <v>0</v>
      </c>
    </row>
    <row r="78" spans="2:18" ht="15">
      <c r="B78" s="153" t="s">
        <v>118</v>
      </c>
      <c r="C78" s="154"/>
      <c r="D78" s="69">
        <v>2818807.0528</v>
      </c>
      <c r="E78" s="70">
        <v>1500285.9346</v>
      </c>
      <c r="F78" s="70">
        <v>91909.7669</v>
      </c>
      <c r="G78" s="71">
        <v>-93.87384999216802</v>
      </c>
      <c r="H78" s="70">
        <v>670580.12</v>
      </c>
      <c r="I78" s="70">
        <v>292442.57999999996</v>
      </c>
      <c r="J78" s="70">
        <v>62602.38</v>
      </c>
      <c r="K78" s="71">
        <v>-78.59327461821735</v>
      </c>
      <c r="L78" s="135"/>
      <c r="O78" s="293">
        <f>+J78/$J$95</f>
        <v>0.00099804464580273</v>
      </c>
      <c r="P78" s="327">
        <f t="shared" si="9"/>
        <v>-1408376.1677</v>
      </c>
      <c r="Q78" s="327">
        <f t="shared" si="10"/>
        <v>-229840.19999999995</v>
      </c>
      <c r="R78" s="221">
        <f t="shared" si="11"/>
        <v>0.6811286995005967</v>
      </c>
    </row>
    <row r="79" spans="2:18" ht="12.75">
      <c r="B79" s="396" t="s">
        <v>125</v>
      </c>
      <c r="C79" s="75" t="s">
        <v>96</v>
      </c>
      <c r="D79" s="45">
        <v>166088</v>
      </c>
      <c r="E79" s="46">
        <v>165638</v>
      </c>
      <c r="F79" s="46">
        <v>234151.75</v>
      </c>
      <c r="G79" s="47">
        <v>41.363545804706646</v>
      </c>
      <c r="H79" s="46">
        <v>123699.09</v>
      </c>
      <c r="I79" s="46">
        <v>123648.53</v>
      </c>
      <c r="J79" s="46">
        <v>175201.97</v>
      </c>
      <c r="K79" s="47">
        <v>41.693532466580876</v>
      </c>
      <c r="L79" s="134"/>
      <c r="O79" s="322"/>
      <c r="P79" s="327">
        <f t="shared" si="9"/>
        <v>68513.75</v>
      </c>
      <c r="Q79" s="327">
        <f t="shared" si="10"/>
        <v>51553.44</v>
      </c>
      <c r="R79" s="221">
        <f t="shared" si="11"/>
        <v>0.7482411299509827</v>
      </c>
    </row>
    <row r="80" spans="2:18" ht="12.75">
      <c r="B80" s="396"/>
      <c r="C80" s="76" t="s">
        <v>127</v>
      </c>
      <c r="D80" s="49">
        <v>6853.01</v>
      </c>
      <c r="E80" s="50">
        <v>2335.91</v>
      </c>
      <c r="F80" s="50">
        <v>312.06</v>
      </c>
      <c r="G80" s="51">
        <v>-86.6407524262493</v>
      </c>
      <c r="H80" s="50">
        <v>53289.97</v>
      </c>
      <c r="I80" s="50">
        <v>23986.93</v>
      </c>
      <c r="J80" s="50">
        <v>21065.7</v>
      </c>
      <c r="K80" s="51">
        <v>-12.178423833312557</v>
      </c>
      <c r="L80" s="135"/>
      <c r="O80" s="322"/>
      <c r="P80" s="327">
        <f t="shared" si="9"/>
        <v>-2023.85</v>
      </c>
      <c r="Q80" s="327">
        <f t="shared" si="10"/>
        <v>-2921.2299999999996</v>
      </c>
      <c r="R80" s="221">
        <f t="shared" si="11"/>
        <v>67.50528744472217</v>
      </c>
    </row>
    <row r="81" spans="2:18" ht="12.75">
      <c r="B81" s="396"/>
      <c r="C81" s="76" t="s">
        <v>77</v>
      </c>
      <c r="D81" s="49">
        <v>42294.58</v>
      </c>
      <c r="E81" s="50">
        <v>29905.42</v>
      </c>
      <c r="F81" s="50">
        <v>42886.6538</v>
      </c>
      <c r="G81" s="51">
        <v>43.40762911873502</v>
      </c>
      <c r="H81" s="50">
        <v>36314.46</v>
      </c>
      <c r="I81" s="50">
        <v>28748.81</v>
      </c>
      <c r="J81" s="50">
        <v>82450.84</v>
      </c>
      <c r="K81" s="51">
        <v>186.79740135330815</v>
      </c>
      <c r="L81" s="135"/>
      <c r="O81" s="322"/>
      <c r="P81" s="327">
        <f t="shared" si="9"/>
        <v>12981.233800000002</v>
      </c>
      <c r="Q81" s="327">
        <f t="shared" si="10"/>
        <v>53702.03</v>
      </c>
      <c r="R81" s="221">
        <f t="shared" si="11"/>
        <v>1.9225291015826467</v>
      </c>
    </row>
    <row r="82" spans="2:18" ht="12.75">
      <c r="B82" s="396"/>
      <c r="C82" s="76" t="s">
        <v>119</v>
      </c>
      <c r="D82" s="49">
        <v>21212</v>
      </c>
      <c r="E82" s="50">
        <v>21212</v>
      </c>
      <c r="F82" s="50">
        <v>0</v>
      </c>
      <c r="G82" s="51">
        <v>-100</v>
      </c>
      <c r="H82" s="50">
        <v>16478.15</v>
      </c>
      <c r="I82" s="50">
        <v>16478.15</v>
      </c>
      <c r="J82" s="50">
        <v>0</v>
      </c>
      <c r="K82" s="51">
        <v>-100</v>
      </c>
      <c r="L82" s="136"/>
      <c r="O82" s="322"/>
      <c r="P82" s="327">
        <f t="shared" si="9"/>
        <v>-21212</v>
      </c>
      <c r="Q82" s="327">
        <f t="shared" si="10"/>
        <v>-16478.15</v>
      </c>
      <c r="R82" s="221">
        <f t="shared" si="11"/>
        <v>0</v>
      </c>
    </row>
    <row r="83" spans="2:18" ht="12.75" customHeight="1">
      <c r="B83" s="153" t="s">
        <v>126</v>
      </c>
      <c r="C83" s="154"/>
      <c r="D83" s="69">
        <v>236447.59000000003</v>
      </c>
      <c r="E83" s="70">
        <v>219091.33</v>
      </c>
      <c r="F83" s="70">
        <v>277350.46379999997</v>
      </c>
      <c r="G83" s="71">
        <v>26.591254797713802</v>
      </c>
      <c r="H83" s="70">
        <v>229781.66999999998</v>
      </c>
      <c r="I83" s="70">
        <v>192862.41999999998</v>
      </c>
      <c r="J83" s="70">
        <v>278718.51</v>
      </c>
      <c r="K83" s="71">
        <v>44.51675448228849</v>
      </c>
      <c r="O83" s="293">
        <f>+J83/$J$95</f>
        <v>0.0044434974611446834</v>
      </c>
      <c r="P83" s="327">
        <f t="shared" si="9"/>
        <v>58259.13379999998</v>
      </c>
      <c r="Q83" s="327">
        <f t="shared" si="10"/>
        <v>85856.09000000003</v>
      </c>
      <c r="R83" s="221">
        <f t="shared" si="11"/>
        <v>1.0049325542177083</v>
      </c>
    </row>
    <row r="84" spans="2:18" ht="12.75">
      <c r="B84" s="384" t="s">
        <v>85</v>
      </c>
      <c r="C84" s="76" t="s">
        <v>127</v>
      </c>
      <c r="D84" s="49">
        <v>17045.3933</v>
      </c>
      <c r="E84" s="50">
        <v>2061.5329</v>
      </c>
      <c r="F84" s="50">
        <v>13608</v>
      </c>
      <c r="G84" s="51">
        <v>560.0913330075886</v>
      </c>
      <c r="H84" s="50">
        <v>34035.93</v>
      </c>
      <c r="I84" s="50">
        <v>7442.18</v>
      </c>
      <c r="J84" s="50">
        <v>22676</v>
      </c>
      <c r="K84" s="51">
        <v>204.69566712979258</v>
      </c>
      <c r="O84" s="322"/>
      <c r="P84" s="327">
        <f t="shared" si="9"/>
        <v>11546.4671</v>
      </c>
      <c r="Q84" s="327">
        <f t="shared" si="10"/>
        <v>15233.82</v>
      </c>
      <c r="R84" s="221">
        <f t="shared" si="11"/>
        <v>1.6663727219282776</v>
      </c>
    </row>
    <row r="85" spans="2:18" ht="12.75" customHeight="1">
      <c r="B85" s="385"/>
      <c r="C85" s="76" t="s">
        <v>129</v>
      </c>
      <c r="D85" s="49">
        <v>20000</v>
      </c>
      <c r="E85" s="50">
        <v>20000</v>
      </c>
      <c r="F85" s="50">
        <v>0</v>
      </c>
      <c r="G85" s="51">
        <v>-100</v>
      </c>
      <c r="H85" s="50">
        <v>14500</v>
      </c>
      <c r="I85" s="50">
        <v>14500</v>
      </c>
      <c r="J85" s="50">
        <v>0</v>
      </c>
      <c r="K85" s="51">
        <v>-100</v>
      </c>
      <c r="O85" s="322"/>
      <c r="P85" s="327">
        <f t="shared" si="9"/>
        <v>-20000</v>
      </c>
      <c r="Q85" s="327">
        <f t="shared" si="10"/>
        <v>-14500</v>
      </c>
      <c r="R85" s="221">
        <f t="shared" si="11"/>
        <v>0</v>
      </c>
    </row>
    <row r="86" spans="2:18" ht="12.75">
      <c r="B86" s="385"/>
      <c r="C86" s="76" t="s">
        <v>100</v>
      </c>
      <c r="D86" s="49">
        <v>541.8</v>
      </c>
      <c r="E86" s="50">
        <v>541.8</v>
      </c>
      <c r="F86" s="50">
        <v>0</v>
      </c>
      <c r="G86" s="51">
        <v>-100</v>
      </c>
      <c r="H86" s="50">
        <v>1443.24</v>
      </c>
      <c r="I86" s="50">
        <v>1443.24</v>
      </c>
      <c r="J86" s="50">
        <v>0</v>
      </c>
      <c r="K86" s="51">
        <v>-100</v>
      </c>
      <c r="O86" s="322"/>
      <c r="P86" s="327">
        <f t="shared" si="9"/>
        <v>-541.8</v>
      </c>
      <c r="Q86" s="327">
        <f t="shared" si="10"/>
        <v>-1443.24</v>
      </c>
      <c r="R86" s="221">
        <f t="shared" si="11"/>
        <v>0</v>
      </c>
    </row>
    <row r="87" spans="2:18" ht="12.75">
      <c r="B87" s="385"/>
      <c r="C87" s="76" t="s">
        <v>98</v>
      </c>
      <c r="D87" s="49">
        <v>152.6277</v>
      </c>
      <c r="E87" s="50">
        <v>152.6277</v>
      </c>
      <c r="F87" s="50">
        <v>21</v>
      </c>
      <c r="G87" s="51">
        <v>-86.24102964271884</v>
      </c>
      <c r="H87" s="50">
        <v>212.45</v>
      </c>
      <c r="I87" s="50">
        <v>212.45</v>
      </c>
      <c r="J87" s="50">
        <v>34.5</v>
      </c>
      <c r="K87" s="51">
        <v>-83.76088491409743</v>
      </c>
      <c r="O87" s="322"/>
      <c r="P87" s="327">
        <f t="shared" si="9"/>
        <v>-131.6277</v>
      </c>
      <c r="Q87" s="327">
        <f t="shared" si="10"/>
        <v>-177.95</v>
      </c>
      <c r="R87" s="221">
        <f t="shared" si="11"/>
        <v>1.6428571428571428</v>
      </c>
    </row>
    <row r="88" spans="2:18" ht="12.75">
      <c r="B88" s="385"/>
      <c r="C88" s="76" t="s">
        <v>101</v>
      </c>
      <c r="D88" s="49">
        <v>6.3</v>
      </c>
      <c r="E88" s="50">
        <v>0</v>
      </c>
      <c r="F88" s="50">
        <v>0</v>
      </c>
      <c r="G88" s="51" t="s">
        <v>148</v>
      </c>
      <c r="H88" s="50">
        <v>117.95</v>
      </c>
      <c r="I88" s="50">
        <v>0</v>
      </c>
      <c r="J88" s="50">
        <v>0</v>
      </c>
      <c r="K88" s="51" t="s">
        <v>148</v>
      </c>
      <c r="O88" s="322"/>
      <c r="P88" s="327">
        <f t="shared" si="9"/>
        <v>0</v>
      </c>
      <c r="Q88" s="327">
        <f t="shared" si="10"/>
        <v>0</v>
      </c>
      <c r="R88" s="221">
        <f t="shared" si="11"/>
        <v>0</v>
      </c>
    </row>
    <row r="89" spans="2:18" ht="12.75">
      <c r="B89" s="385"/>
      <c r="C89" s="76" t="s">
        <v>84</v>
      </c>
      <c r="D89" s="49">
        <v>30</v>
      </c>
      <c r="E89" s="50">
        <v>30</v>
      </c>
      <c r="F89" s="50">
        <v>0</v>
      </c>
      <c r="G89" s="51">
        <v>-100</v>
      </c>
      <c r="H89" s="50">
        <v>113.08</v>
      </c>
      <c r="I89" s="50">
        <v>113.08</v>
      </c>
      <c r="J89" s="50">
        <v>0</v>
      </c>
      <c r="K89" s="51">
        <v>-100</v>
      </c>
      <c r="O89" s="322"/>
      <c r="P89" s="327">
        <f t="shared" si="9"/>
        <v>-30</v>
      </c>
      <c r="Q89" s="327">
        <f t="shared" si="10"/>
        <v>-113.08</v>
      </c>
      <c r="R89" s="221">
        <f t="shared" si="11"/>
        <v>0</v>
      </c>
    </row>
    <row r="90" spans="2:18" ht="12.75">
      <c r="B90" s="385"/>
      <c r="C90" s="76" t="s">
        <v>77</v>
      </c>
      <c r="D90" s="49">
        <v>0</v>
      </c>
      <c r="E90" s="50">
        <v>0</v>
      </c>
      <c r="F90" s="50">
        <v>964.6308</v>
      </c>
      <c r="G90" s="51" t="s">
        <v>148</v>
      </c>
      <c r="H90" s="50">
        <v>0</v>
      </c>
      <c r="I90" s="50">
        <v>0</v>
      </c>
      <c r="J90" s="50">
        <v>216.91</v>
      </c>
      <c r="K90" s="51" t="s">
        <v>148</v>
      </c>
      <c r="O90" s="322"/>
      <c r="P90" s="327">
        <f>+F91-E91</f>
        <v>1.38</v>
      </c>
      <c r="Q90" s="327">
        <f>+J91-I91</f>
        <v>167.27</v>
      </c>
      <c r="R90" s="221">
        <f>+IF(F91=0,0,J91/F91)</f>
        <v>121.21014492753625</v>
      </c>
    </row>
    <row r="91" spans="2:18" ht="12.75">
      <c r="B91" s="386"/>
      <c r="C91" s="76" t="s">
        <v>95</v>
      </c>
      <c r="D91" s="49">
        <v>0</v>
      </c>
      <c r="E91" s="50">
        <v>0</v>
      </c>
      <c r="F91" s="50">
        <v>1.38</v>
      </c>
      <c r="G91" s="51" t="s">
        <v>148</v>
      </c>
      <c r="H91" s="50">
        <v>0</v>
      </c>
      <c r="I91" s="50">
        <v>0</v>
      </c>
      <c r="J91" s="50">
        <v>167.27</v>
      </c>
      <c r="K91" s="51" t="s">
        <v>148</v>
      </c>
      <c r="O91" s="322"/>
      <c r="P91" s="327"/>
      <c r="Q91" s="327"/>
      <c r="R91" s="221"/>
    </row>
    <row r="92" spans="2:18" ht="15">
      <c r="B92" s="153" t="s">
        <v>117</v>
      </c>
      <c r="C92" s="154"/>
      <c r="D92" s="69">
        <v>37776.121</v>
      </c>
      <c r="E92" s="70">
        <v>22785.9606</v>
      </c>
      <c r="F92" s="70">
        <v>14595.0108</v>
      </c>
      <c r="G92" s="71">
        <v>-35.947353476947555</v>
      </c>
      <c r="H92" s="70">
        <v>50422.65</v>
      </c>
      <c r="I92" s="70">
        <v>23710.95</v>
      </c>
      <c r="J92" s="70">
        <v>23094.68</v>
      </c>
      <c r="K92" s="71">
        <v>-2.599094511185762</v>
      </c>
      <c r="O92" s="293">
        <f>+J92/$J$95</f>
        <v>0.000368189224124185</v>
      </c>
      <c r="P92" s="327">
        <f>+F92-E92</f>
        <v>-8190.9497999999985</v>
      </c>
      <c r="Q92" s="327">
        <f>+J92-I92</f>
        <v>-616.2700000000004</v>
      </c>
      <c r="R92" s="221">
        <f>+IF(F92=0,0,J92/F92)</f>
        <v>1.5823681336364617</v>
      </c>
    </row>
    <row r="93" spans="2:18" ht="25.5">
      <c r="B93" s="269" t="s">
        <v>200</v>
      </c>
      <c r="C93" s="209" t="s">
        <v>95</v>
      </c>
      <c r="D93" s="210">
        <v>0.8</v>
      </c>
      <c r="E93" s="210">
        <v>0.8</v>
      </c>
      <c r="F93" s="210">
        <v>1.339</v>
      </c>
      <c r="G93" s="211">
        <v>67.37499999999999</v>
      </c>
      <c r="H93" s="210">
        <v>101.4</v>
      </c>
      <c r="I93" s="210">
        <v>101.4</v>
      </c>
      <c r="J93" s="210">
        <v>203.57</v>
      </c>
      <c r="K93" s="211">
        <v>100.75936883629191</v>
      </c>
      <c r="O93" s="322"/>
      <c r="P93" s="327">
        <f>+F93-E93</f>
        <v>0.5389999999999999</v>
      </c>
      <c r="Q93" s="327">
        <f>+J93-I93</f>
        <v>102.16999999999999</v>
      </c>
      <c r="R93" s="221">
        <f>+IF(F93=0,0,J93/F93)</f>
        <v>152.03136669156086</v>
      </c>
    </row>
    <row r="94" spans="2:18" ht="15">
      <c r="B94" s="153" t="s">
        <v>201</v>
      </c>
      <c r="C94" s="154"/>
      <c r="D94" s="69">
        <v>0.8</v>
      </c>
      <c r="E94" s="70">
        <v>0.8</v>
      </c>
      <c r="F94" s="70">
        <v>1.339</v>
      </c>
      <c r="G94" s="71">
        <v>67.37499999999999</v>
      </c>
      <c r="H94" s="70">
        <v>101.4</v>
      </c>
      <c r="I94" s="70">
        <v>101.4</v>
      </c>
      <c r="J94" s="70">
        <v>203.57</v>
      </c>
      <c r="K94" s="71">
        <v>100.75936883629191</v>
      </c>
      <c r="O94" s="293">
        <f>+J94/$J$95</f>
        <v>3.2454348947446055E-06</v>
      </c>
      <c r="P94" s="327">
        <f>+F94-E94</f>
        <v>0.5389999999999999</v>
      </c>
      <c r="Q94" s="327">
        <f>+J94-I94</f>
        <v>102.16999999999999</v>
      </c>
      <c r="R94" s="221">
        <f>+IF(F94=0,0,J94/F94)</f>
        <v>152.03136669156086</v>
      </c>
    </row>
    <row r="95" spans="2:18" ht="12.75">
      <c r="B95" s="153" t="s">
        <v>93</v>
      </c>
      <c r="C95" s="154"/>
      <c r="D95" s="69">
        <v>96182188.79299998</v>
      </c>
      <c r="E95" s="70">
        <v>56707029.2077</v>
      </c>
      <c r="F95" s="70">
        <v>69111196.4287</v>
      </c>
      <c r="G95" s="71">
        <v>21.87412635489587</v>
      </c>
      <c r="H95" s="70">
        <v>83449177.91</v>
      </c>
      <c r="I95" s="70">
        <v>49688188.53999999</v>
      </c>
      <c r="J95" s="70">
        <v>62725029.65</v>
      </c>
      <c r="K95" s="71">
        <v>26.23730406171898</v>
      </c>
      <c r="O95" s="322"/>
      <c r="P95" s="327">
        <f>+F95-E95</f>
        <v>12404167.221</v>
      </c>
      <c r="Q95" s="327">
        <f>+J95-I95</f>
        <v>13036841.110000007</v>
      </c>
      <c r="R95" s="221">
        <f>+IF(F95=0,0,J95/F95)</f>
        <v>0.9075957716158419</v>
      </c>
    </row>
    <row r="96" spans="2:18" ht="12.75">
      <c r="B96" s="136" t="s">
        <v>154</v>
      </c>
      <c r="C96" s="136"/>
      <c r="D96" s="136"/>
      <c r="E96" s="136"/>
      <c r="F96" s="136"/>
      <c r="G96" s="136"/>
      <c r="H96" s="136"/>
      <c r="I96" s="136"/>
      <c r="J96" s="136"/>
      <c r="K96" s="136"/>
      <c r="O96" s="322"/>
      <c r="P96" s="327"/>
      <c r="Q96" s="327"/>
      <c r="R96" s="221"/>
    </row>
    <row r="97" spans="15:16" ht="12.75">
      <c r="O97" s="322"/>
      <c r="P97" s="322"/>
    </row>
    <row r="98" spans="15:16" ht="12.75">
      <c r="O98" s="322"/>
      <c r="P98" s="322"/>
    </row>
    <row r="99" spans="15:16" ht="12.75">
      <c r="O99" s="322"/>
      <c r="P99" s="322"/>
    </row>
    <row r="100" spans="15:16" ht="12.75">
      <c r="O100" s="322"/>
      <c r="P100" s="322"/>
    </row>
    <row r="101" spans="15:16" ht="12.75">
      <c r="O101" s="322"/>
      <c r="P101" s="322"/>
    </row>
    <row r="102" spans="15:16" ht="12.75">
      <c r="O102" s="322"/>
      <c r="P102" s="322"/>
    </row>
    <row r="103" spans="15:16" ht="12.75">
      <c r="O103" s="322"/>
      <c r="P103" s="322"/>
    </row>
    <row r="104" spans="15:16" ht="12.75">
      <c r="O104" s="322"/>
      <c r="P104" s="322"/>
    </row>
    <row r="105" spans="15:16" ht="12.75">
      <c r="O105" s="322"/>
      <c r="P105" s="322"/>
    </row>
    <row r="106" spans="15:16" ht="12.75">
      <c r="O106" s="322"/>
      <c r="P106" s="322"/>
    </row>
    <row r="107" spans="15:16" ht="12.75">
      <c r="O107" s="322"/>
      <c r="P107" s="322"/>
    </row>
    <row r="108" spans="15:16" ht="12.75">
      <c r="O108" s="322"/>
      <c r="P108" s="322"/>
    </row>
    <row r="109" spans="15:16" ht="12.75">
      <c r="O109" s="322"/>
      <c r="P109" s="322"/>
    </row>
    <row r="110" spans="15:16" ht="12.75">
      <c r="O110" s="322"/>
      <c r="P110" s="322"/>
    </row>
    <row r="111" spans="15:16" ht="12.75">
      <c r="O111" s="322"/>
      <c r="P111" s="322"/>
    </row>
    <row r="112" spans="15:16" ht="12.75">
      <c r="O112" s="322"/>
      <c r="P112" s="322"/>
    </row>
    <row r="113" spans="15:16" ht="12.75">
      <c r="O113" s="322"/>
      <c r="P113" s="322"/>
    </row>
    <row r="114" spans="15:16" ht="12.75">
      <c r="O114" s="322"/>
      <c r="P114" s="322"/>
    </row>
    <row r="115" spans="15:16" ht="12.75">
      <c r="O115" s="322"/>
      <c r="P115" s="322"/>
    </row>
    <row r="116" spans="15:16" ht="12.75">
      <c r="O116" s="322"/>
      <c r="P116" s="322"/>
    </row>
    <row r="117" spans="15:16" ht="12.75">
      <c r="O117" s="322"/>
      <c r="P117" s="322"/>
    </row>
    <row r="118" spans="15:16" ht="12.75">
      <c r="O118" s="322"/>
      <c r="P118" s="322"/>
    </row>
    <row r="119" spans="15:16" ht="12.75">
      <c r="O119" s="322"/>
      <c r="P119" s="322"/>
    </row>
    <row r="120" spans="15:16" ht="12.75">
      <c r="O120" s="322"/>
      <c r="P120" s="322"/>
    </row>
  </sheetData>
  <sheetProtection/>
  <mergeCells count="12">
    <mergeCell ref="B6:B20"/>
    <mergeCell ref="B2:K2"/>
    <mergeCell ref="D4:G4"/>
    <mergeCell ref="H4:K4"/>
    <mergeCell ref="B4:B5"/>
    <mergeCell ref="C4:C5"/>
    <mergeCell ref="B84:B91"/>
    <mergeCell ref="B72:B77"/>
    <mergeCell ref="B22:B32"/>
    <mergeCell ref="B79:B82"/>
    <mergeCell ref="B56:B70"/>
    <mergeCell ref="B34:B54"/>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4" customWidth="1"/>
    <col min="10" max="23" width="10.8515625" style="124" customWidth="1"/>
    <col min="24" max="16384" width="10.8515625" style="124" customWidth="1"/>
  </cols>
  <sheetData>
    <row r="1" spans="2:3" ht="15">
      <c r="B1" s="123"/>
      <c r="C1" s="123"/>
    </row>
    <row r="5" spans="2:8" ht="15.75">
      <c r="B5" s="85"/>
      <c r="C5" s="85"/>
      <c r="D5" s="86"/>
      <c r="E5" s="259" t="s">
        <v>111</v>
      </c>
      <c r="F5" s="86"/>
      <c r="G5" s="85"/>
      <c r="H5" s="85"/>
    </row>
    <row r="6" spans="2:8" ht="15" customHeight="1">
      <c r="B6" s="85"/>
      <c r="C6" s="85"/>
      <c r="E6" s="161" t="str">
        <f>+Portada!E42</f>
        <v>Septiembre 2016</v>
      </c>
      <c r="F6" s="160"/>
      <c r="G6" s="85"/>
      <c r="H6" s="85"/>
    </row>
    <row r="7" spans="2:8" ht="15">
      <c r="B7" s="85"/>
      <c r="C7" s="85"/>
      <c r="D7" s="86"/>
      <c r="E7" s="126" t="s">
        <v>263</v>
      </c>
      <c r="F7" s="86"/>
      <c r="G7" s="85"/>
      <c r="H7" s="85"/>
    </row>
    <row r="8" spans="2:8" ht="15">
      <c r="B8" s="85"/>
      <c r="D8" s="127"/>
      <c r="F8" s="127"/>
      <c r="G8" s="127"/>
      <c r="H8" s="85"/>
    </row>
    <row r="9" spans="2:8" ht="15">
      <c r="B9" s="85"/>
      <c r="C9" s="85"/>
      <c r="D9" s="85"/>
      <c r="E9" s="85"/>
      <c r="F9" s="85"/>
      <c r="G9" s="85"/>
      <c r="H9" s="85"/>
    </row>
    <row r="10" spans="2:8" ht="15">
      <c r="B10" s="85"/>
      <c r="C10" s="85"/>
      <c r="D10" s="86"/>
      <c r="E10" s="118" t="s">
        <v>146</v>
      </c>
      <c r="F10" s="86"/>
      <c r="G10" s="85"/>
      <c r="H10" s="85"/>
    </row>
    <row r="11" spans="2:8" ht="15">
      <c r="B11" s="85"/>
      <c r="C11" s="85"/>
      <c r="D11" s="85"/>
      <c r="E11" s="85"/>
      <c r="F11" s="85"/>
      <c r="G11" s="85"/>
      <c r="H11" s="85"/>
    </row>
    <row r="12" spans="2:8" ht="15">
      <c r="B12" s="85"/>
      <c r="C12" s="85"/>
      <c r="D12" s="85"/>
      <c r="E12" s="85"/>
      <c r="F12" s="85"/>
      <c r="G12" s="85"/>
      <c r="H12" s="85"/>
    </row>
    <row r="13" spans="2:8" ht="15">
      <c r="B13" s="85"/>
      <c r="C13" s="85"/>
      <c r="D13" s="85"/>
      <c r="E13" s="85"/>
      <c r="F13" s="85"/>
      <c r="G13" s="85"/>
      <c r="H13" s="85"/>
    </row>
    <row r="14" spans="2:8" ht="15">
      <c r="B14" s="85"/>
      <c r="C14" s="85"/>
      <c r="D14" s="85"/>
      <c r="E14" s="85"/>
      <c r="F14" s="85"/>
      <c r="G14" s="85"/>
      <c r="H14" s="85"/>
    </row>
    <row r="15" spans="2:8" ht="15">
      <c r="B15" s="85"/>
      <c r="C15" s="85"/>
      <c r="D15" s="85"/>
      <c r="E15" s="85"/>
      <c r="F15" s="85"/>
      <c r="G15" s="85"/>
      <c r="H15" s="85"/>
    </row>
    <row r="16" spans="2:8" ht="15">
      <c r="B16" s="86"/>
      <c r="D16" s="128"/>
      <c r="E16" s="126" t="s">
        <v>120</v>
      </c>
      <c r="F16" s="128"/>
      <c r="G16" s="128"/>
      <c r="H16" s="86"/>
    </row>
    <row r="17" spans="2:8" ht="15">
      <c r="B17" s="85"/>
      <c r="D17" s="128"/>
      <c r="E17" s="126" t="s">
        <v>0</v>
      </c>
      <c r="F17" s="128"/>
      <c r="G17" s="128"/>
      <c r="H17" s="85"/>
    </row>
    <row r="18" spans="2:8" ht="15">
      <c r="B18" s="86"/>
      <c r="D18" s="129"/>
      <c r="E18" s="130" t="s">
        <v>1</v>
      </c>
      <c r="F18" s="129"/>
      <c r="G18" s="129"/>
      <c r="H18" s="86"/>
    </row>
    <row r="19" spans="2:8" ht="15">
      <c r="B19" s="86"/>
      <c r="C19" s="86"/>
      <c r="D19" s="86"/>
      <c r="E19" s="86"/>
      <c r="F19" s="86"/>
      <c r="G19" s="86"/>
      <c r="H19" s="86"/>
    </row>
    <row r="20" spans="2:8" ht="15">
      <c r="B20" s="86"/>
      <c r="E20" s="150" t="s">
        <v>163</v>
      </c>
      <c r="F20" s="150"/>
      <c r="G20" s="150"/>
      <c r="H20" s="125"/>
    </row>
    <row r="21" spans="2:8" ht="15">
      <c r="B21" s="86"/>
      <c r="E21" s="150" t="s">
        <v>145</v>
      </c>
      <c r="F21" s="150"/>
      <c r="G21" s="150"/>
      <c r="H21" s="125"/>
    </row>
    <row r="22" spans="2:8" ht="15">
      <c r="B22" s="86"/>
      <c r="C22" s="86"/>
      <c r="D22" s="86"/>
      <c r="E22" s="86"/>
      <c r="F22" s="86"/>
      <c r="G22" s="86"/>
      <c r="H22" s="86"/>
    </row>
    <row r="23" spans="2:8" ht="15">
      <c r="B23" s="86"/>
      <c r="C23" s="86"/>
      <c r="D23" s="85"/>
      <c r="E23" s="85"/>
      <c r="F23" s="85"/>
      <c r="G23" s="86"/>
      <c r="H23" s="86"/>
    </row>
    <row r="24" spans="2:8" ht="15">
      <c r="B24" s="86"/>
      <c r="C24" s="86"/>
      <c r="D24" s="85"/>
      <c r="E24" s="85"/>
      <c r="F24" s="85"/>
      <c r="G24" s="86"/>
      <c r="H24" s="86"/>
    </row>
    <row r="25" spans="2:8" ht="15">
      <c r="B25" s="86"/>
      <c r="C25" s="86"/>
      <c r="D25" s="86"/>
      <c r="E25" s="86"/>
      <c r="F25" s="86"/>
      <c r="G25" s="86"/>
      <c r="H25" s="86"/>
    </row>
    <row r="26" spans="2:8" ht="15">
      <c r="B26" s="85"/>
      <c r="C26" s="85"/>
      <c r="D26" s="85"/>
      <c r="E26" s="85"/>
      <c r="F26" s="85"/>
      <c r="G26" s="85"/>
      <c r="H26" s="85"/>
    </row>
    <row r="27" spans="2:8" ht="15">
      <c r="B27" s="85"/>
      <c r="C27" s="85"/>
      <c r="D27" s="85"/>
      <c r="E27" s="85"/>
      <c r="F27" s="85"/>
      <c r="G27" s="85"/>
      <c r="H27" s="85"/>
    </row>
    <row r="28" spans="4:8" ht="15">
      <c r="D28" s="131"/>
      <c r="E28" s="260" t="s">
        <v>108</v>
      </c>
      <c r="F28" s="131"/>
      <c r="G28" s="131"/>
      <c r="H28" s="125"/>
    </row>
    <row r="29" spans="2:8" ht="15">
      <c r="B29" s="85"/>
      <c r="C29" s="85"/>
      <c r="D29" s="85"/>
      <c r="E29" s="85"/>
      <c r="F29" s="85"/>
      <c r="G29" s="85"/>
      <c r="H29" s="85"/>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62" customWidth="1"/>
    <col min="2" max="9" width="11.00390625" style="262" customWidth="1"/>
    <col min="10" max="10" width="2.00390625" style="262" customWidth="1"/>
    <col min="11" max="26" width="10.8515625" style="262" customWidth="1"/>
    <col min="27" max="16384" width="10.8515625" style="262" customWidth="1"/>
  </cols>
  <sheetData>
    <row r="2" spans="2:11" ht="15">
      <c r="B2" s="332" t="s">
        <v>167</v>
      </c>
      <c r="C2" s="332"/>
      <c r="D2" s="332"/>
      <c r="E2" s="332"/>
      <c r="F2" s="332"/>
      <c r="G2" s="332"/>
      <c r="H2" s="332"/>
      <c r="I2" s="332"/>
      <c r="J2" s="261"/>
      <c r="K2" s="77" t="s">
        <v>153</v>
      </c>
    </row>
    <row r="3" spans="2:10" ht="14.25">
      <c r="B3" s="263"/>
      <c r="C3" s="263"/>
      <c r="D3" s="263"/>
      <c r="E3" s="263"/>
      <c r="F3" s="263"/>
      <c r="G3" s="263"/>
      <c r="H3" s="263"/>
      <c r="I3" s="263"/>
      <c r="J3" s="263"/>
    </row>
    <row r="4" spans="2:10" ht="34.5" customHeight="1">
      <c r="B4" s="333" t="s">
        <v>203</v>
      </c>
      <c r="C4" s="333"/>
      <c r="D4" s="333"/>
      <c r="E4" s="333"/>
      <c r="F4" s="333"/>
      <c r="G4" s="333"/>
      <c r="H4" s="333"/>
      <c r="I4" s="333"/>
      <c r="J4" s="264"/>
    </row>
    <row r="5" spans="2:10" ht="29.25" customHeight="1">
      <c r="B5" s="333" t="s">
        <v>169</v>
      </c>
      <c r="C5" s="333"/>
      <c r="D5" s="333"/>
      <c r="E5" s="333"/>
      <c r="F5" s="333"/>
      <c r="G5" s="333"/>
      <c r="H5" s="333"/>
      <c r="I5" s="333"/>
      <c r="J5" s="264"/>
    </row>
    <row r="6" spans="2:10" ht="18" customHeight="1">
      <c r="B6" s="331" t="s">
        <v>168</v>
      </c>
      <c r="C6" s="331"/>
      <c r="D6" s="331"/>
      <c r="E6" s="331"/>
      <c r="F6" s="331"/>
      <c r="G6" s="331"/>
      <c r="H6" s="331"/>
      <c r="I6" s="331"/>
      <c r="J6" s="264"/>
    </row>
    <row r="7" spans="2:10" ht="34.5" customHeight="1">
      <c r="B7" s="331" t="s">
        <v>170</v>
      </c>
      <c r="C7" s="331"/>
      <c r="D7" s="331"/>
      <c r="E7" s="331"/>
      <c r="F7" s="331"/>
      <c r="G7" s="331"/>
      <c r="H7" s="331"/>
      <c r="I7" s="331"/>
      <c r="J7" s="264"/>
    </row>
    <row r="8" spans="2:10" ht="34.5" customHeight="1">
      <c r="B8" s="331" t="s">
        <v>172</v>
      </c>
      <c r="C8" s="331"/>
      <c r="D8" s="331"/>
      <c r="E8" s="331"/>
      <c r="F8" s="331"/>
      <c r="G8" s="331"/>
      <c r="H8" s="331"/>
      <c r="I8" s="331"/>
      <c r="J8" s="264"/>
    </row>
    <row r="9" spans="2:9" ht="14.25">
      <c r="B9" s="331" t="s">
        <v>185</v>
      </c>
      <c r="C9" s="331"/>
      <c r="D9" s="331"/>
      <c r="E9" s="331"/>
      <c r="F9" s="331"/>
      <c r="G9" s="331"/>
      <c r="H9" s="331"/>
      <c r="I9" s="331"/>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34" t="s">
        <v>56</v>
      </c>
      <c r="C2" s="334"/>
      <c r="D2" s="334"/>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76" t="s">
        <v>249</v>
      </c>
      <c r="D9" s="30">
        <v>5</v>
      </c>
    </row>
    <row r="10" spans="2:4" ht="12.75">
      <c r="B10" s="11">
        <v>5</v>
      </c>
      <c r="C10" s="103" t="s">
        <v>208</v>
      </c>
      <c r="D10" s="30">
        <v>5</v>
      </c>
    </row>
    <row r="11" spans="2:4" ht="7.5" customHeight="1">
      <c r="B11" s="19"/>
      <c r="C11" s="18"/>
      <c r="D11" s="17"/>
    </row>
    <row r="12" spans="2:4" ht="12.75">
      <c r="B12" s="24" t="s">
        <v>54</v>
      </c>
      <c r="C12" s="24" t="s">
        <v>52</v>
      </c>
      <c r="D12" s="23" t="s">
        <v>51</v>
      </c>
    </row>
    <row r="13" spans="2:4" ht="8.25" customHeight="1">
      <c r="B13" s="12"/>
      <c r="C13" s="14"/>
      <c r="D13" s="16"/>
    </row>
    <row r="14" spans="2:4" ht="12.75">
      <c r="B14" s="12">
        <v>1</v>
      </c>
      <c r="C14" s="10" t="s">
        <v>247</v>
      </c>
      <c r="D14" s="31">
        <v>6</v>
      </c>
    </row>
    <row r="15" spans="2:4" ht="12.75">
      <c r="B15" s="12">
        <v>2</v>
      </c>
      <c r="C15" s="10" t="s">
        <v>142</v>
      </c>
      <c r="D15" s="32">
        <v>7</v>
      </c>
    </row>
    <row r="16" spans="2:4" ht="12.75">
      <c r="B16" s="12">
        <v>3</v>
      </c>
      <c r="C16" s="10" t="s">
        <v>141</v>
      </c>
      <c r="D16" s="32">
        <v>8</v>
      </c>
    </row>
    <row r="17" spans="2:4" ht="12.75">
      <c r="B17" s="12">
        <v>4</v>
      </c>
      <c r="C17" s="10" t="s">
        <v>106</v>
      </c>
      <c r="D17" s="32">
        <v>9</v>
      </c>
    </row>
    <row r="18" spans="2:4" ht="12.75">
      <c r="B18" s="12">
        <v>5</v>
      </c>
      <c r="C18" s="10" t="s">
        <v>149</v>
      </c>
      <c r="D18" s="32">
        <v>10</v>
      </c>
    </row>
    <row r="19" spans="2:4" ht="12.75">
      <c r="B19" s="12">
        <v>6</v>
      </c>
      <c r="C19" s="10" t="s">
        <v>123</v>
      </c>
      <c r="D19" s="32">
        <v>11</v>
      </c>
    </row>
    <row r="20" spans="2:4" ht="12.75">
      <c r="B20" s="12">
        <v>7</v>
      </c>
      <c r="C20" s="10" t="s">
        <v>49</v>
      </c>
      <c r="D20" s="31">
        <v>12</v>
      </c>
    </row>
    <row r="21" spans="2:4" ht="12.75">
      <c r="B21" s="12">
        <v>8</v>
      </c>
      <c r="C21" s="10" t="s">
        <v>48</v>
      </c>
      <c r="D21" s="31">
        <v>13</v>
      </c>
    </row>
    <row r="22" spans="2:4" ht="12.75">
      <c r="B22" s="12">
        <v>9</v>
      </c>
      <c r="C22" s="10" t="s">
        <v>47</v>
      </c>
      <c r="D22" s="31">
        <v>14</v>
      </c>
    </row>
    <row r="23" spans="2:4" ht="15">
      <c r="B23" s="12">
        <v>10</v>
      </c>
      <c r="C23" s="10" t="s">
        <v>227</v>
      </c>
      <c r="D23" s="238">
        <v>15</v>
      </c>
    </row>
    <row r="24" spans="2:4" ht="12.75">
      <c r="B24" s="12">
        <v>11</v>
      </c>
      <c r="C24" s="10" t="s">
        <v>209</v>
      </c>
      <c r="D24" s="31">
        <v>16</v>
      </c>
    </row>
    <row r="25" spans="2:4" ht="12.75">
      <c r="B25" s="12">
        <v>12</v>
      </c>
      <c r="C25" s="10" t="s">
        <v>210</v>
      </c>
      <c r="D25" s="31">
        <v>17</v>
      </c>
    </row>
    <row r="26" spans="2:4" ht="6.75" customHeight="1">
      <c r="B26" s="12"/>
      <c r="C26" s="14"/>
      <c r="D26" s="13"/>
    </row>
    <row r="27" spans="2:4" ht="12.75">
      <c r="B27" s="24" t="s">
        <v>53</v>
      </c>
      <c r="C27" s="25" t="s">
        <v>52</v>
      </c>
      <c r="D27" s="23" t="s">
        <v>51</v>
      </c>
    </row>
    <row r="28" spans="2:4" ht="7.5" customHeight="1">
      <c r="B28" s="15"/>
      <c r="C28" s="14"/>
      <c r="D28" s="13"/>
    </row>
    <row r="29" spans="2:4" ht="12.75">
      <c r="B29" s="12">
        <v>1</v>
      </c>
      <c r="C29" s="26" t="s">
        <v>138</v>
      </c>
      <c r="D29" s="31">
        <v>6</v>
      </c>
    </row>
    <row r="30" spans="2:4" ht="12.75">
      <c r="B30" s="12">
        <v>2</v>
      </c>
      <c r="C30" s="8" t="s">
        <v>248</v>
      </c>
      <c r="D30" s="31">
        <v>7</v>
      </c>
    </row>
    <row r="31" spans="2:4" ht="12.75">
      <c r="B31" s="12">
        <v>3</v>
      </c>
      <c r="C31" s="8" t="s">
        <v>144</v>
      </c>
      <c r="D31" s="31">
        <v>8</v>
      </c>
    </row>
    <row r="32" spans="2:4" ht="12.75">
      <c r="B32" s="12">
        <v>4</v>
      </c>
      <c r="C32" s="8" t="s">
        <v>106</v>
      </c>
      <c r="D32" s="32">
        <v>9</v>
      </c>
    </row>
    <row r="33" spans="2:4" ht="12.75">
      <c r="B33" s="12">
        <v>5</v>
      </c>
      <c r="C33" s="10" t="s">
        <v>150</v>
      </c>
      <c r="D33" s="32">
        <v>10</v>
      </c>
    </row>
    <row r="34" spans="2:4" ht="12.75">
      <c r="B34" s="12">
        <v>6</v>
      </c>
      <c r="C34" s="10" t="s">
        <v>151</v>
      </c>
      <c r="D34" s="32">
        <v>10</v>
      </c>
    </row>
    <row r="35" spans="2:4" ht="12.75">
      <c r="B35" s="12">
        <v>7</v>
      </c>
      <c r="C35" s="8" t="s">
        <v>50</v>
      </c>
      <c r="D35" s="32">
        <v>11</v>
      </c>
    </row>
    <row r="36" spans="2:4" ht="12.75">
      <c r="B36" s="12">
        <v>8</v>
      </c>
      <c r="C36" s="8" t="s">
        <v>49</v>
      </c>
      <c r="D36" s="31">
        <v>12</v>
      </c>
    </row>
    <row r="37" spans="2:4" ht="12.75">
      <c r="B37" s="12">
        <v>9</v>
      </c>
      <c r="C37" s="8" t="s">
        <v>48</v>
      </c>
      <c r="D37" s="31">
        <v>13</v>
      </c>
    </row>
    <row r="38" spans="2:4" ht="12.75">
      <c r="B38" s="12">
        <v>10</v>
      </c>
      <c r="C38" s="8" t="s">
        <v>47</v>
      </c>
      <c r="D38" s="31">
        <v>14</v>
      </c>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4" ht="12.75">
      <c r="B51" s="12"/>
      <c r="C51" s="10"/>
      <c r="D51" s="33"/>
    </row>
    <row r="52" spans="2:3" ht="12.75">
      <c r="B52" s="7"/>
      <c r="C52" s="7"/>
    </row>
    <row r="53" spans="2:3" ht="12.75">
      <c r="B53" s="7"/>
      <c r="C53" s="7"/>
    </row>
    <row r="54" spans="2:3" ht="12.75">
      <c r="B54" s="7"/>
      <c r="C54" s="7"/>
    </row>
    <row r="55" spans="2:3" ht="12.75">
      <c r="B55" s="7"/>
      <c r="C55" s="7"/>
    </row>
    <row r="56" spans="2:3" ht="12.75">
      <c r="B56" s="7"/>
      <c r="C56" s="7"/>
    </row>
    <row r="57" spans="2:4" ht="12.75">
      <c r="B57" s="11"/>
      <c r="C57" s="10"/>
      <c r="D57" s="10"/>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N6" sqref="N6"/>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35" t="s">
        <v>161</v>
      </c>
      <c r="C2" s="336"/>
      <c r="D2" s="336"/>
      <c r="E2" s="336"/>
      <c r="F2" s="336"/>
      <c r="G2" s="336"/>
      <c r="H2" s="336"/>
      <c r="I2" s="336"/>
      <c r="J2" s="337"/>
      <c r="K2" s="214"/>
      <c r="L2" s="77" t="s">
        <v>153</v>
      </c>
    </row>
    <row r="3" spans="2:11" ht="12.75">
      <c r="B3" s="68"/>
      <c r="C3" s="2"/>
      <c r="D3" s="2"/>
      <c r="E3" s="2"/>
      <c r="F3" s="2"/>
      <c r="G3" s="2"/>
      <c r="H3" s="2"/>
      <c r="I3" s="2"/>
      <c r="J3" s="225"/>
      <c r="K3" s="2"/>
    </row>
    <row r="4" spans="2:11" ht="270.75" customHeight="1">
      <c r="B4" s="338" t="s">
        <v>272</v>
      </c>
      <c r="C4" s="339"/>
      <c r="D4" s="339"/>
      <c r="E4" s="339"/>
      <c r="F4" s="339"/>
      <c r="G4" s="339"/>
      <c r="H4" s="339"/>
      <c r="I4" s="339"/>
      <c r="J4" s="340"/>
      <c r="K4" s="215"/>
    </row>
    <row r="5" spans="2:11" ht="234.75" customHeight="1">
      <c r="B5" s="338" t="s">
        <v>273</v>
      </c>
      <c r="C5" s="339"/>
      <c r="D5" s="339"/>
      <c r="E5" s="339"/>
      <c r="F5" s="339"/>
      <c r="G5" s="339"/>
      <c r="H5" s="339"/>
      <c r="I5" s="339"/>
      <c r="J5" s="340"/>
      <c r="K5" s="215"/>
    </row>
    <row r="6" spans="2:11" ht="237" customHeight="1">
      <c r="B6" s="341" t="s">
        <v>275</v>
      </c>
      <c r="C6" s="342"/>
      <c r="D6" s="342"/>
      <c r="E6" s="342"/>
      <c r="F6" s="342"/>
      <c r="G6" s="342"/>
      <c r="H6" s="342"/>
      <c r="I6" s="342"/>
      <c r="J6" s="343"/>
      <c r="K6" s="215"/>
    </row>
    <row r="7" spans="2:11" ht="106.5" customHeight="1">
      <c r="B7" s="341" t="s">
        <v>271</v>
      </c>
      <c r="C7" s="342"/>
      <c r="D7" s="342"/>
      <c r="E7" s="342"/>
      <c r="F7" s="342"/>
      <c r="G7" s="342"/>
      <c r="H7" s="342"/>
      <c r="I7" s="342"/>
      <c r="J7" s="343"/>
      <c r="K7" s="215"/>
    </row>
    <row r="8" spans="2:10" ht="213" customHeight="1">
      <c r="B8" s="344" t="s">
        <v>274</v>
      </c>
      <c r="C8" s="345"/>
      <c r="D8" s="345"/>
      <c r="E8" s="345"/>
      <c r="F8" s="345"/>
      <c r="G8" s="345"/>
      <c r="H8" s="345"/>
      <c r="I8" s="345"/>
      <c r="J8" s="346"/>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51" t="s">
        <v>57</v>
      </c>
      <c r="C2" s="351"/>
      <c r="D2" s="351"/>
      <c r="E2" s="351"/>
      <c r="F2" s="351"/>
      <c r="G2" s="351"/>
      <c r="I2" s="52" t="s">
        <v>153</v>
      </c>
    </row>
    <row r="3" spans="2:7" ht="12.75" customHeight="1">
      <c r="B3" s="351" t="s">
        <v>137</v>
      </c>
      <c r="C3" s="351"/>
      <c r="D3" s="351"/>
      <c r="E3" s="351"/>
      <c r="F3" s="351"/>
      <c r="G3" s="351"/>
    </row>
    <row r="4" spans="2:7" ht="12.75">
      <c r="B4" s="351" t="s">
        <v>194</v>
      </c>
      <c r="C4" s="351"/>
      <c r="D4" s="351"/>
      <c r="E4" s="351"/>
      <c r="F4" s="351"/>
      <c r="G4" s="351"/>
    </row>
    <row r="5" spans="2:7" ht="12.75">
      <c r="B5" s="2"/>
      <c r="C5" s="2"/>
      <c r="D5" s="2"/>
      <c r="E5" s="2"/>
      <c r="F5" s="2"/>
      <c r="G5" s="2"/>
    </row>
    <row r="6" spans="2:7" ht="12.75">
      <c r="B6" s="349" t="s">
        <v>46</v>
      </c>
      <c r="C6" s="348" t="s">
        <v>45</v>
      </c>
      <c r="D6" s="348"/>
      <c r="E6" s="348"/>
      <c r="F6" s="348" t="s">
        <v>44</v>
      </c>
      <c r="G6" s="348"/>
    </row>
    <row r="7" spans="2:7" ht="12.75">
      <c r="B7" s="350"/>
      <c r="C7" s="197">
        <v>2014</v>
      </c>
      <c r="D7" s="198">
        <v>2015</v>
      </c>
      <c r="E7" s="198">
        <v>2016</v>
      </c>
      <c r="F7" s="198" t="s">
        <v>43</v>
      </c>
      <c r="G7" s="198" t="s">
        <v>42</v>
      </c>
    </row>
    <row r="8" spans="2:7" ht="12.75">
      <c r="B8" s="114" t="s">
        <v>41</v>
      </c>
      <c r="C8" s="201">
        <v>184.19</v>
      </c>
      <c r="D8" s="201">
        <v>212.69</v>
      </c>
      <c r="E8" s="201">
        <v>196.24</v>
      </c>
      <c r="F8" s="201">
        <f>(E8/D19-1)*100</f>
        <v>-29.282882882882877</v>
      </c>
      <c r="G8" s="201">
        <f aca="true" t="shared" si="0" ref="G8:G13">(E8/D8-1)*100</f>
        <v>-7.734261131223841</v>
      </c>
    </row>
    <row r="9" spans="2:7" ht="12.75">
      <c r="B9" s="115" t="s">
        <v>40</v>
      </c>
      <c r="C9" s="202">
        <v>244.16</v>
      </c>
      <c r="D9" s="202">
        <v>200.61</v>
      </c>
      <c r="E9" s="202">
        <v>180.84</v>
      </c>
      <c r="F9" s="202">
        <f aca="true" t="shared" si="1" ref="F9:F14">(E9/E8-1)*100</f>
        <v>-7.847533632286996</v>
      </c>
      <c r="G9" s="202">
        <f t="shared" si="0"/>
        <v>-9.85494242560192</v>
      </c>
    </row>
    <row r="10" spans="2:7" ht="12.75">
      <c r="B10" s="115" t="s">
        <v>39</v>
      </c>
      <c r="C10" s="202">
        <v>208.75</v>
      </c>
      <c r="D10" s="202">
        <v>210.48</v>
      </c>
      <c r="E10" s="202">
        <v>181.1</v>
      </c>
      <c r="F10" s="202">
        <f t="shared" si="1"/>
        <v>0.14377350143772727</v>
      </c>
      <c r="G10" s="202">
        <f t="shared" si="0"/>
        <v>-13.958570885594835</v>
      </c>
    </row>
    <row r="11" spans="2:7" ht="12.75">
      <c r="B11" s="115" t="s">
        <v>38</v>
      </c>
      <c r="C11" s="202">
        <v>203.36</v>
      </c>
      <c r="D11" s="202">
        <v>252.76</v>
      </c>
      <c r="E11" s="203">
        <v>174.37</v>
      </c>
      <c r="F11" s="202">
        <f t="shared" si="1"/>
        <v>-3.716178906681389</v>
      </c>
      <c r="G11" s="202">
        <f t="shared" si="0"/>
        <v>-31.013609748377903</v>
      </c>
    </row>
    <row r="12" spans="2:7" ht="12.75">
      <c r="B12" s="115" t="s">
        <v>37</v>
      </c>
      <c r="C12" s="202">
        <v>199.75</v>
      </c>
      <c r="D12" s="202">
        <v>235.08</v>
      </c>
      <c r="E12" s="203">
        <v>217.98</v>
      </c>
      <c r="F12" s="202">
        <f t="shared" si="1"/>
        <v>25.010036130068247</v>
      </c>
      <c r="G12" s="202">
        <f t="shared" si="0"/>
        <v>-7.274119448698324</v>
      </c>
    </row>
    <row r="13" spans="2:7" ht="12.75">
      <c r="B13" s="115" t="s">
        <v>36</v>
      </c>
      <c r="C13" s="202">
        <v>210.52</v>
      </c>
      <c r="D13" s="202">
        <v>228.59</v>
      </c>
      <c r="E13" s="202">
        <v>243.56</v>
      </c>
      <c r="F13" s="202">
        <f t="shared" si="1"/>
        <v>11.73502156161117</v>
      </c>
      <c r="G13" s="202">
        <f t="shared" si="0"/>
        <v>6.548842906513852</v>
      </c>
    </row>
    <row r="14" spans="2:7" ht="12.75">
      <c r="B14" s="115" t="s">
        <v>35</v>
      </c>
      <c r="C14" s="202">
        <v>222.21</v>
      </c>
      <c r="D14" s="202">
        <v>268.59</v>
      </c>
      <c r="E14" s="202">
        <v>245.19</v>
      </c>
      <c r="F14" s="202">
        <f t="shared" si="1"/>
        <v>0.6692396124158284</v>
      </c>
      <c r="G14" s="202">
        <f>(E14/D14-1)*100</f>
        <v>-8.712163520607607</v>
      </c>
    </row>
    <row r="15" spans="2:7" ht="12.75">
      <c r="B15" s="115" t="s">
        <v>34</v>
      </c>
      <c r="C15" s="202">
        <v>226.64</v>
      </c>
      <c r="D15" s="202">
        <v>374.35</v>
      </c>
      <c r="E15" s="202">
        <v>266.75</v>
      </c>
      <c r="F15" s="202">
        <f>(E15/E14-1)*100</f>
        <v>8.793180798564372</v>
      </c>
      <c r="G15" s="202">
        <f>(E15/D15-1)*100</f>
        <v>-28.74315480165621</v>
      </c>
    </row>
    <row r="16" spans="2:7" ht="12.75">
      <c r="B16" s="115" t="s">
        <v>33</v>
      </c>
      <c r="C16" s="202">
        <v>227.61</v>
      </c>
      <c r="D16" s="202">
        <v>344.46</v>
      </c>
      <c r="E16" s="202"/>
      <c r="F16" s="202"/>
      <c r="G16" s="202"/>
    </row>
    <row r="17" spans="2:25" ht="12.75">
      <c r="B17" s="115" t="s">
        <v>32</v>
      </c>
      <c r="C17" s="202">
        <v>214.22</v>
      </c>
      <c r="D17" s="202">
        <v>386.05</v>
      </c>
      <c r="E17" s="202"/>
      <c r="F17" s="202"/>
      <c r="G17" s="202"/>
      <c r="N17" s="200"/>
      <c r="O17" s="200"/>
      <c r="P17" s="200"/>
      <c r="Q17" s="200"/>
      <c r="R17" s="200"/>
      <c r="S17" s="200"/>
      <c r="T17" s="200"/>
      <c r="U17" s="200"/>
      <c r="V17" s="200"/>
      <c r="W17" s="200"/>
      <c r="X17" s="200"/>
      <c r="Y17" s="200"/>
    </row>
    <row r="18" spans="2:19" ht="12.75">
      <c r="B18" s="115" t="s">
        <v>31</v>
      </c>
      <c r="C18" s="202">
        <v>197.11</v>
      </c>
      <c r="D18" s="202">
        <v>396.11</v>
      </c>
      <c r="E18" s="202"/>
      <c r="F18" s="202"/>
      <c r="G18" s="202"/>
      <c r="Q18" s="200"/>
      <c r="R18" s="200"/>
      <c r="S18" s="200"/>
    </row>
    <row r="19" spans="2:19" ht="12.75">
      <c r="B19" s="2" t="s">
        <v>30</v>
      </c>
      <c r="C19" s="204">
        <v>192.42</v>
      </c>
      <c r="D19" s="204">
        <v>277.5</v>
      </c>
      <c r="E19" s="204"/>
      <c r="F19" s="202"/>
      <c r="G19" s="202"/>
      <c r="Q19" s="200"/>
      <c r="R19" s="200"/>
      <c r="S19" s="200"/>
    </row>
    <row r="20" spans="2:19" ht="12.75">
      <c r="B20" s="6" t="s">
        <v>152</v>
      </c>
      <c r="C20" s="205">
        <v>210.91</v>
      </c>
      <c r="D20" s="205">
        <v>282.27</v>
      </c>
      <c r="E20" s="206">
        <v>213.25</v>
      </c>
      <c r="F20" s="205"/>
      <c r="G20" s="205">
        <f>(E20/D20-1)*100</f>
        <v>-24.45176603960746</v>
      </c>
      <c r="Q20" s="200"/>
      <c r="R20" s="200"/>
      <c r="S20" s="200"/>
    </row>
    <row r="21" spans="2:7" ht="12.75">
      <c r="B21" s="5" t="s">
        <v>253</v>
      </c>
      <c r="C21" s="207">
        <f>AVERAGE(C8:C15)</f>
        <v>212.4475</v>
      </c>
      <c r="D21" s="207">
        <f>AVERAGE(D8:D15)</f>
        <v>247.89374999999995</v>
      </c>
      <c r="E21" s="207">
        <f>AVERAGE(E8:E19)</f>
        <v>213.25375000000003</v>
      </c>
      <c r="F21" s="207"/>
      <c r="G21" s="207">
        <f>(E21/D21-1)*100</f>
        <v>-13.973728663994123</v>
      </c>
    </row>
    <row r="22" spans="2:8" ht="121.5" customHeight="1">
      <c r="B22" s="347" t="s">
        <v>202</v>
      </c>
      <c r="C22" s="347"/>
      <c r="D22" s="347"/>
      <c r="E22" s="347"/>
      <c r="F22" s="347"/>
      <c r="G22" s="347"/>
      <c r="H22" s="120"/>
    </row>
    <row r="40" ht="12.75"/>
    <row r="41" ht="12.75"/>
    <row r="60" ht="12.75">
      <c r="E60" s="204"/>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1" customWidth="1"/>
    <col min="16" max="26" width="10.8515625" style="322" hidden="1" customWidth="1"/>
    <col min="27" max="27" width="10.8515625" style="191" customWidth="1"/>
    <col min="28" max="16384" width="10.8515625" style="39" customWidth="1"/>
  </cols>
  <sheetData>
    <row r="1" ht="6.75" customHeight="1"/>
    <row r="2" spans="2:15" ht="12.75">
      <c r="B2" s="354" t="s">
        <v>58</v>
      </c>
      <c r="C2" s="354"/>
      <c r="D2" s="354"/>
      <c r="E2" s="354"/>
      <c r="F2" s="354"/>
      <c r="G2" s="354"/>
      <c r="H2" s="354"/>
      <c r="I2" s="354"/>
      <c r="J2" s="354"/>
      <c r="K2" s="354"/>
      <c r="L2" s="354"/>
      <c r="M2" s="178"/>
      <c r="N2" s="52" t="s">
        <v>153</v>
      </c>
      <c r="O2" s="193"/>
    </row>
    <row r="3" spans="2:15" ht="12.75">
      <c r="B3" s="354" t="s">
        <v>142</v>
      </c>
      <c r="C3" s="354"/>
      <c r="D3" s="354"/>
      <c r="E3" s="354"/>
      <c r="F3" s="354"/>
      <c r="G3" s="354"/>
      <c r="H3" s="354"/>
      <c r="I3" s="354"/>
      <c r="J3" s="354"/>
      <c r="K3" s="354"/>
      <c r="L3" s="354"/>
      <c r="M3" s="175"/>
      <c r="N3" s="119"/>
      <c r="O3" s="277"/>
    </row>
    <row r="4" spans="2:15" ht="12.75">
      <c r="B4" s="354" t="s">
        <v>134</v>
      </c>
      <c r="C4" s="354"/>
      <c r="D4" s="354"/>
      <c r="E4" s="354"/>
      <c r="F4" s="354"/>
      <c r="G4" s="354"/>
      <c r="H4" s="354"/>
      <c r="I4" s="354"/>
      <c r="J4" s="354"/>
      <c r="K4" s="354"/>
      <c r="L4" s="354"/>
      <c r="M4" s="175"/>
      <c r="N4" s="119"/>
      <c r="O4" s="277"/>
    </row>
    <row r="5" spans="2:25" ht="25.5">
      <c r="B5" s="65" t="s">
        <v>65</v>
      </c>
      <c r="C5" s="66" t="s">
        <v>61</v>
      </c>
      <c r="D5" s="66" t="s">
        <v>124</v>
      </c>
      <c r="E5" s="66" t="s">
        <v>62</v>
      </c>
      <c r="F5" s="66" t="s">
        <v>63</v>
      </c>
      <c r="G5" s="66" t="s">
        <v>64</v>
      </c>
      <c r="H5" s="66" t="s">
        <v>130</v>
      </c>
      <c r="I5" s="66" t="s">
        <v>158</v>
      </c>
      <c r="J5" s="66" t="s">
        <v>188</v>
      </c>
      <c r="K5" s="66" t="s">
        <v>165</v>
      </c>
      <c r="L5" s="104" t="s">
        <v>70</v>
      </c>
      <c r="M5" s="76"/>
      <c r="Q5" s="325" t="str">
        <f aca="true" t="shared" si="0" ref="Q5:Y5">+C5</f>
        <v>Asterix</v>
      </c>
      <c r="R5" s="325" t="str">
        <f t="shared" si="0"/>
        <v>Cardinal</v>
      </c>
      <c r="S5" s="325" t="str">
        <f t="shared" si="0"/>
        <v>Désirée</v>
      </c>
      <c r="T5" s="325" t="str">
        <f t="shared" si="0"/>
        <v>Karu</v>
      </c>
      <c r="U5" s="325" t="str">
        <f t="shared" si="0"/>
        <v>Pukará</v>
      </c>
      <c r="V5" s="325" t="str">
        <f t="shared" si="0"/>
        <v>Rodeo</v>
      </c>
      <c r="W5" s="325" t="str">
        <f t="shared" si="0"/>
        <v>Patagonia</v>
      </c>
      <c r="X5" s="325" t="str">
        <f t="shared" si="0"/>
        <v>Yagana</v>
      </c>
      <c r="Y5" s="325" t="str">
        <f t="shared" si="0"/>
        <v>Rosara</v>
      </c>
    </row>
    <row r="6" spans="2:26" ht="12.75">
      <c r="B6" s="112">
        <v>42571</v>
      </c>
      <c r="C6" s="189">
        <v>14797.295</v>
      </c>
      <c r="D6" s="189">
        <v>14075.63</v>
      </c>
      <c r="E6" s="189">
        <v>14588.24</v>
      </c>
      <c r="F6" s="189">
        <v>10530.79</v>
      </c>
      <c r="G6" s="189">
        <v>10084.03</v>
      </c>
      <c r="H6" s="189">
        <v>14497.116666666669</v>
      </c>
      <c r="I6" s="189">
        <v>11186.54</v>
      </c>
      <c r="J6" s="189"/>
      <c r="K6" s="189">
        <v>15126.05</v>
      </c>
      <c r="L6" s="189">
        <v>13016.91714285714</v>
      </c>
      <c r="Q6" s="298">
        <f aca="true" t="shared" si="1" ref="Q6:Q35">+IF(C6="","",((C6-$L6)/$L6))</f>
        <v>0.13677415609269802</v>
      </c>
      <c r="R6" s="298">
        <f aca="true" t="shared" si="2" ref="R6:R35">+IF(D6="","",((D6-$L6)/$L6))</f>
        <v>0.08133360960385408</v>
      </c>
      <c r="S6" s="298">
        <f aca="true" t="shared" si="3" ref="S6:S35">+IF(E6="","",((E6-$L6)/$L6))</f>
        <v>0.12071390175553982</v>
      </c>
      <c r="T6" s="298">
        <f aca="true" t="shared" si="4" ref="T6:T35">+IF(F6="","",((F6-$L6)/$L6))</f>
        <v>-0.19099200798257895</v>
      </c>
      <c r="U6" s="298">
        <f aca="true" t="shared" si="5" ref="U6:U35">+IF(G6="","",((G6-$L6)/$L6))</f>
        <v>-0.22531349863178032</v>
      </c>
      <c r="V6" s="298">
        <f aca="true" t="shared" si="6" ref="V6:V35">+IF(H6="","",((H6-$L6)/$L6))</f>
        <v>0.11371352429801457</v>
      </c>
      <c r="W6" s="298">
        <f aca="true" t="shared" si="7" ref="W6:W35">+IF(I6="","",((I6-$L6)/$L6))</f>
        <v>-0.14061525649808218</v>
      </c>
      <c r="X6" s="298">
        <f aca="true" t="shared" si="8" ref="X6:X35">+IF(J6="","",((J6-$L6)/$L6))</f>
      </c>
      <c r="Y6" s="298">
        <f aca="true" t="shared" si="9" ref="Y6:Y35">+IF(K6="","",((K6-$L6)/$L6))</f>
        <v>0.1620301361678573</v>
      </c>
      <c r="Z6" s="321"/>
    </row>
    <row r="7" spans="2:26" ht="12.75">
      <c r="B7" s="113">
        <v>42572</v>
      </c>
      <c r="C7" s="109">
        <v>13762.69</v>
      </c>
      <c r="D7" s="109">
        <v>17752.1</v>
      </c>
      <c r="E7" s="109">
        <v>11822.695</v>
      </c>
      <c r="F7" s="109">
        <v>9352.45</v>
      </c>
      <c r="G7" s="109">
        <v>10084.03</v>
      </c>
      <c r="H7" s="109">
        <v>10625.875</v>
      </c>
      <c r="I7" s="109">
        <v>11730.810000000001</v>
      </c>
      <c r="J7" s="109"/>
      <c r="K7" s="109">
        <v>12605.04</v>
      </c>
      <c r="L7" s="109">
        <v>12612.756470588234</v>
      </c>
      <c r="Q7" s="298">
        <f t="shared" si="1"/>
        <v>0.09117226136041741</v>
      </c>
      <c r="R7" s="298">
        <f t="shared" si="2"/>
        <v>0.40747187511280597</v>
      </c>
      <c r="S7" s="298">
        <f t="shared" si="3"/>
        <v>-0.06263987356218156</v>
      </c>
      <c r="T7" s="298">
        <f t="shared" si="4"/>
        <v>-0.2584927789726982</v>
      </c>
      <c r="U7" s="298">
        <f t="shared" si="5"/>
        <v>-0.2004895976930171</v>
      </c>
      <c r="V7" s="298">
        <f t="shared" si="6"/>
        <v>-0.15752951983346825</v>
      </c>
      <c r="W7" s="298">
        <f t="shared" si="7"/>
        <v>-0.06992495832650454</v>
      </c>
      <c r="X7" s="298">
        <f t="shared" si="8"/>
      </c>
      <c r="Y7" s="298">
        <f t="shared" si="9"/>
        <v>-0.0006117989042464559</v>
      </c>
      <c r="Z7" s="321"/>
    </row>
    <row r="8" spans="2:26" ht="12.75">
      <c r="B8" s="113">
        <v>42573</v>
      </c>
      <c r="C8" s="109">
        <v>11750.57</v>
      </c>
      <c r="D8" s="109">
        <v>12920.169999999998</v>
      </c>
      <c r="E8" s="109"/>
      <c r="F8" s="109">
        <v>11284.51</v>
      </c>
      <c r="G8" s="109">
        <v>10407.24</v>
      </c>
      <c r="H8" s="109">
        <v>11775.76</v>
      </c>
      <c r="I8" s="109">
        <v>11335.27</v>
      </c>
      <c r="J8" s="109"/>
      <c r="K8" s="109">
        <v>11764.71</v>
      </c>
      <c r="L8" s="109">
        <v>11732.395384615384</v>
      </c>
      <c r="Q8" s="298">
        <f t="shared" si="1"/>
        <v>0.001549096735049381</v>
      </c>
      <c r="R8" s="298">
        <f t="shared" si="2"/>
        <v>0.10123888399994907</v>
      </c>
      <c r="S8" s="298">
        <f t="shared" si="3"/>
      </c>
      <c r="T8" s="298">
        <f t="shared" si="4"/>
        <v>-0.03817510149740544</v>
      </c>
      <c r="U8" s="298">
        <f t="shared" si="5"/>
        <v>-0.11294840833211706</v>
      </c>
      <c r="V8" s="298">
        <f t="shared" si="6"/>
        <v>0.003696143367404782</v>
      </c>
      <c r="W8" s="298">
        <f t="shared" si="7"/>
        <v>-0.03384861927992396</v>
      </c>
      <c r="X8" s="298">
        <f t="shared" si="8"/>
      </c>
      <c r="Y8" s="298">
        <f t="shared" si="9"/>
        <v>0.0027543067144659554</v>
      </c>
      <c r="Z8" s="321"/>
    </row>
    <row r="9" spans="2:26" ht="12.75">
      <c r="B9" s="113">
        <v>42576</v>
      </c>
      <c r="C9" s="109">
        <v>14313.485</v>
      </c>
      <c r="D9" s="109">
        <v>14075.63</v>
      </c>
      <c r="E9" s="109">
        <v>12375.86</v>
      </c>
      <c r="F9" s="109">
        <v>12184.875</v>
      </c>
      <c r="G9" s="109">
        <v>10407.24</v>
      </c>
      <c r="H9" s="109">
        <v>13717.25</v>
      </c>
      <c r="I9" s="109">
        <v>11488.38</v>
      </c>
      <c r="J9" s="109"/>
      <c r="K9" s="109">
        <v>12605.04</v>
      </c>
      <c r="L9" s="109">
        <v>12719.812857142857</v>
      </c>
      <c r="Q9" s="298">
        <f t="shared" si="1"/>
        <v>0.1252905338117621</v>
      </c>
      <c r="R9" s="298">
        <f t="shared" si="2"/>
        <v>0.10659096624175396</v>
      </c>
      <c r="S9" s="298">
        <f t="shared" si="3"/>
        <v>-0.027040716794013868</v>
      </c>
      <c r="T9" s="298">
        <f t="shared" si="4"/>
        <v>-0.042055481723731546</v>
      </c>
      <c r="U9" s="298">
        <f t="shared" si="5"/>
        <v>-0.1818087170869203</v>
      </c>
      <c r="V9" s="298">
        <f t="shared" si="6"/>
        <v>0.07841602341633734</v>
      </c>
      <c r="W9" s="298">
        <f t="shared" si="7"/>
        <v>-0.09681218355750747</v>
      </c>
      <c r="X9" s="298">
        <f t="shared" si="8"/>
      </c>
      <c r="Y9" s="298">
        <f t="shared" si="9"/>
        <v>-0.009023156113370408</v>
      </c>
      <c r="Z9" s="321"/>
    </row>
    <row r="10" spans="2:26" ht="12.75">
      <c r="B10" s="113">
        <v>42577</v>
      </c>
      <c r="C10" s="109">
        <v>12865.466</v>
      </c>
      <c r="D10" s="109">
        <v>13540.169999999998</v>
      </c>
      <c r="E10" s="109">
        <v>12154.13</v>
      </c>
      <c r="F10" s="109">
        <v>12605.04</v>
      </c>
      <c r="G10" s="109">
        <v>11635.716666666667</v>
      </c>
      <c r="H10" s="109">
        <v>10294.12</v>
      </c>
      <c r="I10" s="109">
        <v>11284.365</v>
      </c>
      <c r="J10" s="109"/>
      <c r="K10" s="109">
        <v>12209.59</v>
      </c>
      <c r="L10" s="109">
        <v>12259.151875000001</v>
      </c>
      <c r="Q10" s="298">
        <f t="shared" si="1"/>
        <v>0.04945808088375599</v>
      </c>
      <c r="R10" s="298">
        <f t="shared" si="2"/>
        <v>0.10449484092063234</v>
      </c>
      <c r="S10" s="298">
        <f t="shared" si="3"/>
        <v>-0.008566814088841865</v>
      </c>
      <c r="T10" s="298">
        <f t="shared" si="4"/>
        <v>0.028214686344278563</v>
      </c>
      <c r="U10" s="298">
        <f t="shared" si="5"/>
        <v>-0.05085467695401515</v>
      </c>
      <c r="V10" s="298">
        <f t="shared" si="6"/>
        <v>-0.16029101319865982</v>
      </c>
      <c r="W10" s="298">
        <f t="shared" si="7"/>
        <v>-0.07951503374290332</v>
      </c>
      <c r="X10" s="298">
        <f t="shared" si="8"/>
      </c>
      <c r="Y10" s="298">
        <f t="shared" si="9"/>
        <v>-0.00404284696897119</v>
      </c>
      <c r="Z10" s="321"/>
    </row>
    <row r="11" spans="2:26" ht="12.75">
      <c r="B11" s="113">
        <v>42578</v>
      </c>
      <c r="C11" s="109">
        <v>13089.803333333335</v>
      </c>
      <c r="D11" s="109">
        <v>15882.35</v>
      </c>
      <c r="E11" s="109">
        <v>12204.88</v>
      </c>
      <c r="F11" s="109">
        <v>13445.38</v>
      </c>
      <c r="G11" s="109">
        <v>11129.86</v>
      </c>
      <c r="H11" s="109">
        <v>13032.39</v>
      </c>
      <c r="I11" s="109">
        <v>12404.39</v>
      </c>
      <c r="J11" s="109"/>
      <c r="K11" s="109">
        <v>12605.04</v>
      </c>
      <c r="L11" s="109">
        <v>12664.446923076923</v>
      </c>
      <c r="Q11" s="298">
        <f t="shared" si="1"/>
        <v>0.0335866550541055</v>
      </c>
      <c r="R11" s="298">
        <f t="shared" si="2"/>
        <v>0.25408950714298256</v>
      </c>
      <c r="S11" s="298">
        <f t="shared" si="3"/>
        <v>-0.03628795839789175</v>
      </c>
      <c r="T11" s="298">
        <f t="shared" si="4"/>
        <v>0.06166341741304743</v>
      </c>
      <c r="U11" s="298">
        <f t="shared" si="5"/>
        <v>-0.12117283387090723</v>
      </c>
      <c r="V11" s="298">
        <f t="shared" si="6"/>
        <v>0.029053229024365648</v>
      </c>
      <c r="W11" s="298">
        <f t="shared" si="7"/>
        <v>-0.020534408226154148</v>
      </c>
      <c r="X11" s="298">
        <f t="shared" si="8"/>
      </c>
      <c r="Y11" s="298">
        <f t="shared" si="9"/>
        <v>-0.004690842279789707</v>
      </c>
      <c r="Z11" s="321"/>
    </row>
    <row r="12" spans="2:26" ht="12.75">
      <c r="B12" s="113">
        <v>42579</v>
      </c>
      <c r="C12" s="109">
        <v>14583.025</v>
      </c>
      <c r="D12" s="109">
        <v>16070.86</v>
      </c>
      <c r="E12" s="109"/>
      <c r="F12" s="109"/>
      <c r="G12" s="109">
        <v>11162.356666666668</v>
      </c>
      <c r="H12" s="109">
        <v>14751.995</v>
      </c>
      <c r="I12" s="109">
        <v>13456.8675</v>
      </c>
      <c r="J12" s="109"/>
      <c r="K12" s="109">
        <v>12605.04</v>
      </c>
      <c r="L12" s="109">
        <v>13954.436842105262</v>
      </c>
      <c r="Q12" s="298">
        <f t="shared" si="1"/>
        <v>0.045045756056458976</v>
      </c>
      <c r="R12" s="298">
        <f t="shared" si="2"/>
        <v>0.1516666836391973</v>
      </c>
      <c r="S12" s="298">
        <f t="shared" si="3"/>
      </c>
      <c r="T12" s="298">
        <f t="shared" si="4"/>
      </c>
      <c r="U12" s="298">
        <f t="shared" si="5"/>
        <v>-0.20008547869262214</v>
      </c>
      <c r="V12" s="298">
        <f t="shared" si="6"/>
        <v>0.05715444965061116</v>
      </c>
      <c r="W12" s="298">
        <f t="shared" si="7"/>
        <v>-0.035656712466097286</v>
      </c>
      <c r="X12" s="298">
        <f t="shared" si="8"/>
      </c>
      <c r="Y12" s="298">
        <f t="shared" si="9"/>
        <v>-0.09670020061531069</v>
      </c>
      <c r="Z12" s="321"/>
    </row>
    <row r="13" spans="2:26" ht="12.75">
      <c r="B13" s="113">
        <v>42580</v>
      </c>
      <c r="C13" s="109">
        <v>12274.753333333334</v>
      </c>
      <c r="D13" s="109">
        <v>14446.855</v>
      </c>
      <c r="E13" s="109">
        <v>12148.86</v>
      </c>
      <c r="F13" s="109"/>
      <c r="G13" s="109">
        <v>11334.633333333333</v>
      </c>
      <c r="H13" s="109">
        <v>11634.655</v>
      </c>
      <c r="I13" s="109">
        <v>12177.135</v>
      </c>
      <c r="J13" s="109"/>
      <c r="K13" s="109">
        <v>12605.04</v>
      </c>
      <c r="L13" s="109">
        <v>12277.783157894737</v>
      </c>
      <c r="Q13" s="298">
        <f t="shared" si="1"/>
        <v>-0.00024677293306445694</v>
      </c>
      <c r="R13" s="298">
        <f t="shared" si="2"/>
        <v>0.1766664074622077</v>
      </c>
      <c r="S13" s="298">
        <f t="shared" si="3"/>
        <v>-0.010500524095983697</v>
      </c>
      <c r="T13" s="298">
        <f t="shared" si="4"/>
      </c>
      <c r="U13" s="298">
        <f t="shared" si="5"/>
        <v>-0.0768175991082681</v>
      </c>
      <c r="V13" s="298">
        <f t="shared" si="6"/>
        <v>-0.05238145597002164</v>
      </c>
      <c r="W13" s="298">
        <f t="shared" si="7"/>
        <v>-0.008197583928660533</v>
      </c>
      <c r="X13" s="298">
        <f t="shared" si="8"/>
      </c>
      <c r="Y13" s="298">
        <f t="shared" si="9"/>
        <v>0.02665439174944496</v>
      </c>
      <c r="Z13" s="321"/>
    </row>
    <row r="14" spans="2:26" ht="12.75">
      <c r="B14" s="113">
        <v>42583</v>
      </c>
      <c r="C14" s="109">
        <v>12580.9225</v>
      </c>
      <c r="D14" s="109">
        <v>19222.685</v>
      </c>
      <c r="E14" s="109">
        <v>12930.33</v>
      </c>
      <c r="F14" s="109">
        <v>13043.48</v>
      </c>
      <c r="G14" s="109">
        <v>11409.950000000003</v>
      </c>
      <c r="H14" s="109">
        <v>13445.38</v>
      </c>
      <c r="I14" s="109">
        <v>12403.835</v>
      </c>
      <c r="J14" s="109"/>
      <c r="K14" s="109">
        <v>12605.04</v>
      </c>
      <c r="L14" s="109">
        <v>13322.054000000002</v>
      </c>
      <c r="Q14" s="298">
        <f t="shared" si="1"/>
        <v>-0.055631924326383995</v>
      </c>
      <c r="R14" s="298">
        <f t="shared" si="2"/>
        <v>0.44292201487848637</v>
      </c>
      <c r="S14" s="298">
        <f t="shared" si="3"/>
        <v>-0.029404174461385754</v>
      </c>
      <c r="T14" s="298">
        <f t="shared" si="4"/>
        <v>-0.020910739440029465</v>
      </c>
      <c r="U14" s="298">
        <f t="shared" si="5"/>
        <v>-0.1435292185424259</v>
      </c>
      <c r="V14" s="298">
        <f t="shared" si="6"/>
        <v>0.009257281197028422</v>
      </c>
      <c r="W14" s="298">
        <f t="shared" si="7"/>
        <v>-0.06892473187693149</v>
      </c>
      <c r="X14" s="298">
        <f t="shared" si="8"/>
      </c>
      <c r="Y14" s="298">
        <f t="shared" si="9"/>
        <v>-0.053821580365910615</v>
      </c>
      <c r="Z14" s="321"/>
    </row>
    <row r="15" spans="2:26" ht="12.75">
      <c r="B15" s="113">
        <v>42584</v>
      </c>
      <c r="C15" s="109">
        <v>13606.893333333333</v>
      </c>
      <c r="D15" s="109">
        <v>17436.97</v>
      </c>
      <c r="E15" s="109">
        <v>11344.54</v>
      </c>
      <c r="F15" s="109"/>
      <c r="G15" s="109">
        <v>10924.37</v>
      </c>
      <c r="H15" s="109">
        <v>12324.93</v>
      </c>
      <c r="I15" s="109">
        <v>13045.22</v>
      </c>
      <c r="J15" s="109"/>
      <c r="K15" s="109">
        <v>13091.55</v>
      </c>
      <c r="L15" s="109">
        <v>13175.628571428571</v>
      </c>
      <c r="Q15" s="298">
        <f t="shared" si="1"/>
        <v>0.032732006641410814</v>
      </c>
      <c r="R15" s="298">
        <f t="shared" si="2"/>
        <v>0.32342604418981374</v>
      </c>
      <c r="S15" s="298">
        <f t="shared" si="3"/>
        <v>-0.13897542432239604</v>
      </c>
      <c r="T15" s="298">
        <f t="shared" si="4"/>
      </c>
      <c r="U15" s="298">
        <f t="shared" si="5"/>
        <v>-0.17086536397287627</v>
      </c>
      <c r="V15" s="298">
        <f t="shared" si="6"/>
        <v>-0.06456607112265718</v>
      </c>
      <c r="W15" s="298">
        <f t="shared" si="7"/>
        <v>-0.009897711575701504</v>
      </c>
      <c r="X15" s="298">
        <f t="shared" si="8"/>
      </c>
      <c r="Y15" s="298">
        <f t="shared" si="9"/>
        <v>-0.006381370799333019</v>
      </c>
      <c r="Z15" s="321"/>
    </row>
    <row r="16" spans="2:26" ht="12.75">
      <c r="B16" s="113">
        <v>42585</v>
      </c>
      <c r="C16" s="109">
        <v>14353.24</v>
      </c>
      <c r="D16" s="109">
        <v>13011.94</v>
      </c>
      <c r="E16" s="109"/>
      <c r="F16" s="109"/>
      <c r="G16" s="109">
        <v>11531.28</v>
      </c>
      <c r="H16" s="109"/>
      <c r="I16" s="109">
        <v>13653.119999999999</v>
      </c>
      <c r="J16" s="109">
        <v>12167.12</v>
      </c>
      <c r="K16" s="109"/>
      <c r="L16" s="109">
        <v>12843.014285714287</v>
      </c>
      <c r="Q16" s="298">
        <f t="shared" si="1"/>
        <v>0.1175912196847423</v>
      </c>
      <c r="R16" s="298">
        <f t="shared" si="2"/>
        <v>0.013153120484621347</v>
      </c>
      <c r="S16" s="298">
        <f t="shared" si="3"/>
      </c>
      <c r="T16" s="298">
        <f t="shared" si="4"/>
      </c>
      <c r="U16" s="298">
        <f t="shared" si="5"/>
        <v>-0.10213601390861742</v>
      </c>
      <c r="V16" s="298">
        <f t="shared" si="6"/>
      </c>
      <c r="W16" s="298">
        <f t="shared" si="7"/>
        <v>0.06307753742723927</v>
      </c>
      <c r="X16" s="298">
        <f t="shared" si="8"/>
        <v>-0.05262738720660821</v>
      </c>
      <c r="Y16" s="298">
        <f t="shared" si="9"/>
      </c>
      <c r="Z16" s="321"/>
    </row>
    <row r="17" spans="2:26" ht="12.75">
      <c r="B17" s="113">
        <v>42586</v>
      </c>
      <c r="C17" s="109">
        <v>14299.76</v>
      </c>
      <c r="D17" s="109">
        <v>12906.91</v>
      </c>
      <c r="E17" s="109"/>
      <c r="F17" s="109"/>
      <c r="G17" s="109">
        <v>12160.63</v>
      </c>
      <c r="H17" s="109">
        <v>13109.24</v>
      </c>
      <c r="I17" s="109">
        <v>14148</v>
      </c>
      <c r="J17" s="109"/>
      <c r="K17" s="109">
        <v>13042.96</v>
      </c>
      <c r="L17" s="109">
        <v>13533.377500000002</v>
      </c>
      <c r="Q17" s="298">
        <f t="shared" si="1"/>
        <v>0.05662906395687239</v>
      </c>
      <c r="R17" s="298">
        <f t="shared" si="2"/>
        <v>-0.04629055089906436</v>
      </c>
      <c r="S17" s="298">
        <f t="shared" si="3"/>
      </c>
      <c r="T17" s="298">
        <f t="shared" si="4"/>
      </c>
      <c r="U17" s="298">
        <f t="shared" si="5"/>
        <v>-0.10143421329967356</v>
      </c>
      <c r="V17" s="298">
        <f t="shared" si="6"/>
        <v>-0.03134010707969998</v>
      </c>
      <c r="W17" s="298">
        <f t="shared" si="7"/>
        <v>0.04541530745004324</v>
      </c>
      <c r="X17" s="298">
        <f t="shared" si="8"/>
      </c>
      <c r="Y17" s="298">
        <f t="shared" si="9"/>
        <v>-0.03623762804222398</v>
      </c>
      <c r="Z17" s="321"/>
    </row>
    <row r="18" spans="2:26" ht="12.75">
      <c r="B18" s="113">
        <v>42587</v>
      </c>
      <c r="C18" s="109"/>
      <c r="D18" s="109"/>
      <c r="E18" s="109"/>
      <c r="F18" s="109"/>
      <c r="G18" s="109">
        <v>11764.71</v>
      </c>
      <c r="H18" s="109">
        <v>13445.38</v>
      </c>
      <c r="I18" s="109"/>
      <c r="J18" s="109"/>
      <c r="K18" s="109"/>
      <c r="L18" s="109">
        <v>12605.044999999998</v>
      </c>
      <c r="Q18" s="298">
        <f t="shared" si="1"/>
      </c>
      <c r="R18" s="298">
        <f t="shared" si="2"/>
      </c>
      <c r="S18" s="298">
        <f t="shared" si="3"/>
      </c>
      <c r="T18" s="298">
        <f t="shared" si="4"/>
      </c>
      <c r="U18" s="298">
        <f t="shared" si="5"/>
        <v>-0.06666656088891386</v>
      </c>
      <c r="V18" s="298">
        <f t="shared" si="6"/>
        <v>0.06666656088891401</v>
      </c>
      <c r="W18" s="298">
        <f t="shared" si="7"/>
      </c>
      <c r="X18" s="298">
        <f t="shared" si="8"/>
      </c>
      <c r="Y18" s="298">
        <f t="shared" si="9"/>
      </c>
      <c r="Z18" s="321"/>
    </row>
    <row r="19" spans="2:26" ht="12.75">
      <c r="B19" s="113">
        <v>42590</v>
      </c>
      <c r="C19" s="109">
        <v>13783.332</v>
      </c>
      <c r="D19" s="109">
        <v>16722.69</v>
      </c>
      <c r="E19" s="109">
        <v>10924.37</v>
      </c>
      <c r="F19" s="109">
        <v>12605.04</v>
      </c>
      <c r="G19" s="109">
        <v>11301.550000000001</v>
      </c>
      <c r="H19" s="109">
        <v>13070.326666666666</v>
      </c>
      <c r="I19" s="109">
        <v>13263.029999999999</v>
      </c>
      <c r="J19" s="109"/>
      <c r="K19" s="109">
        <v>13445.38</v>
      </c>
      <c r="L19" s="109">
        <v>13073.872352941178</v>
      </c>
      <c r="Q19" s="298">
        <f t="shared" si="1"/>
        <v>0.054265456163736965</v>
      </c>
      <c r="R19" s="298">
        <f t="shared" si="2"/>
        <v>0.27909234146973755</v>
      </c>
      <c r="S19" s="298">
        <f t="shared" si="3"/>
        <v>-0.1644120651413284</v>
      </c>
      <c r="T19" s="298">
        <f t="shared" si="4"/>
        <v>-0.035860251674838015</v>
      </c>
      <c r="U19" s="298">
        <f t="shared" si="5"/>
        <v>-0.13556215825699602</v>
      </c>
      <c r="V19" s="298">
        <f t="shared" si="6"/>
        <v>-0.00027120398446559745</v>
      </c>
      <c r="W19" s="298">
        <f t="shared" si="7"/>
        <v>0.014468371875779144</v>
      </c>
      <c r="X19" s="298">
        <f t="shared" si="8"/>
      </c>
      <c r="Y19" s="298">
        <f t="shared" si="9"/>
        <v>0.028416037500568404</v>
      </c>
      <c r="Z19" s="321"/>
    </row>
    <row r="20" spans="2:26" ht="12.75">
      <c r="B20" s="113">
        <v>42591</v>
      </c>
      <c r="C20" s="109">
        <v>14203.6925</v>
      </c>
      <c r="D20" s="109">
        <v>14453.779999999999</v>
      </c>
      <c r="E20" s="109"/>
      <c r="F20" s="109">
        <v>13445.38</v>
      </c>
      <c r="G20" s="109">
        <v>10709.545</v>
      </c>
      <c r="H20" s="109">
        <v>12620.055</v>
      </c>
      <c r="I20" s="109">
        <v>12684.0425</v>
      </c>
      <c r="J20" s="109"/>
      <c r="K20" s="109">
        <v>13202.12</v>
      </c>
      <c r="L20" s="109">
        <v>13322.956666666665</v>
      </c>
      <c r="Q20" s="298">
        <f t="shared" si="1"/>
        <v>0.06610663498868001</v>
      </c>
      <c r="R20" s="298">
        <f t="shared" si="2"/>
        <v>0.08487780615263833</v>
      </c>
      <c r="S20" s="298">
        <f t="shared" si="3"/>
      </c>
      <c r="T20" s="298">
        <f t="shared" si="4"/>
        <v>0.009188901262407526</v>
      </c>
      <c r="U20" s="298">
        <f t="shared" si="5"/>
        <v>-0.1961585353801595</v>
      </c>
      <c r="V20" s="298">
        <f t="shared" si="6"/>
        <v>-0.0527586844461701</v>
      </c>
      <c r="W20" s="298">
        <f t="shared" si="7"/>
        <v>-0.04795588416685277</v>
      </c>
      <c r="X20" s="298">
        <f t="shared" si="8"/>
      </c>
      <c r="Y20" s="298">
        <f t="shared" si="9"/>
        <v>-0.009069808578526063</v>
      </c>
      <c r="Z20" s="321"/>
    </row>
    <row r="21" spans="2:26" ht="12.75">
      <c r="B21" s="113">
        <v>42592</v>
      </c>
      <c r="C21" s="109">
        <v>14691.315</v>
      </c>
      <c r="D21" s="109">
        <v>17016.81</v>
      </c>
      <c r="E21" s="109">
        <v>17527.01</v>
      </c>
      <c r="F21" s="109">
        <v>13445.38</v>
      </c>
      <c r="G21" s="109">
        <v>10707.650000000001</v>
      </c>
      <c r="H21" s="109">
        <v>13690.01</v>
      </c>
      <c r="I21" s="109">
        <v>13650.255</v>
      </c>
      <c r="J21" s="109">
        <v>12196.55</v>
      </c>
      <c r="K21" s="109">
        <v>13247.650000000001</v>
      </c>
      <c r="L21" s="109">
        <v>13805.365714285717</v>
      </c>
      <c r="Q21" s="298">
        <f t="shared" si="1"/>
        <v>0.06417427137026205</v>
      </c>
      <c r="R21" s="298">
        <f t="shared" si="2"/>
        <v>0.2326229056279979</v>
      </c>
      <c r="S21" s="298">
        <f t="shared" si="3"/>
        <v>0.26957955064262756</v>
      </c>
      <c r="T21" s="298">
        <f t="shared" si="4"/>
        <v>-0.026075782542523077</v>
      </c>
      <c r="U21" s="298">
        <f t="shared" si="5"/>
        <v>-0.22438490789709514</v>
      </c>
      <c r="V21" s="298">
        <f t="shared" si="6"/>
        <v>-0.008355860806088437</v>
      </c>
      <c r="W21" s="298">
        <f t="shared" si="7"/>
        <v>-0.011235538231718875</v>
      </c>
      <c r="X21" s="298">
        <f t="shared" si="8"/>
        <v>-0.1165355375280587</v>
      </c>
      <c r="Y21" s="298">
        <f t="shared" si="9"/>
        <v>-0.040398474464794124</v>
      </c>
      <c r="Z21" s="321"/>
    </row>
    <row r="22" spans="2:26" ht="12.75">
      <c r="B22" s="113">
        <v>42593</v>
      </c>
      <c r="C22" s="109">
        <v>14280.84</v>
      </c>
      <c r="D22" s="109">
        <v>16722.69</v>
      </c>
      <c r="E22" s="109"/>
      <c r="F22" s="109">
        <v>13445.38</v>
      </c>
      <c r="G22" s="109">
        <v>10289.645</v>
      </c>
      <c r="H22" s="109">
        <v>12039.58</v>
      </c>
      <c r="I22" s="109">
        <v>12762.266666666665</v>
      </c>
      <c r="J22" s="109">
        <v>11327.73</v>
      </c>
      <c r="K22" s="109">
        <v>12896</v>
      </c>
      <c r="L22" s="109">
        <v>13037.696666666667</v>
      </c>
      <c r="Q22" s="298">
        <f t="shared" si="1"/>
        <v>0.09534991993728954</v>
      </c>
      <c r="R22" s="298">
        <f t="shared" si="2"/>
        <v>0.28264143794315394</v>
      </c>
      <c r="S22" s="298">
        <f t="shared" si="3"/>
      </c>
      <c r="T22" s="298">
        <f t="shared" si="4"/>
        <v>0.03126958263844655</v>
      </c>
      <c r="U22" s="298">
        <f t="shared" si="5"/>
        <v>-0.21077738935993037</v>
      </c>
      <c r="V22" s="298">
        <f t="shared" si="6"/>
        <v>-0.07655621174394558</v>
      </c>
      <c r="W22" s="298">
        <f t="shared" si="7"/>
        <v>-0.021125664067963085</v>
      </c>
      <c r="X22" s="298">
        <f t="shared" si="8"/>
        <v>-0.1311555798838701</v>
      </c>
      <c r="Y22" s="298">
        <f t="shared" si="9"/>
        <v>-0.010868228513778895</v>
      </c>
      <c r="Z22" s="321"/>
    </row>
    <row r="23" spans="2:26" ht="12.75">
      <c r="B23" s="113">
        <v>42594</v>
      </c>
      <c r="C23" s="109">
        <v>13869.898888888889</v>
      </c>
      <c r="D23" s="109">
        <v>16326.65</v>
      </c>
      <c r="E23" s="109"/>
      <c r="F23" s="109"/>
      <c r="G23" s="109">
        <v>10278.955</v>
      </c>
      <c r="H23" s="109">
        <v>12647.332499999999</v>
      </c>
      <c r="I23" s="109">
        <v>11909.04</v>
      </c>
      <c r="J23" s="109"/>
      <c r="K23" s="109">
        <v>12304.336666666668</v>
      </c>
      <c r="L23" s="109">
        <v>13180.218000000003</v>
      </c>
      <c r="Q23" s="298">
        <f t="shared" si="1"/>
        <v>0.05232697129052692</v>
      </c>
      <c r="R23" s="298">
        <f t="shared" si="2"/>
        <v>0.2387238208047846</v>
      </c>
      <c r="S23" s="298">
        <f t="shared" si="3"/>
      </c>
      <c r="T23" s="298">
        <f t="shared" si="4"/>
      </c>
      <c r="U23" s="298">
        <f t="shared" si="5"/>
        <v>-0.22012253515078445</v>
      </c>
      <c r="V23" s="298">
        <f t="shared" si="6"/>
        <v>-0.04043070456042562</v>
      </c>
      <c r="W23" s="298">
        <f t="shared" si="7"/>
        <v>-0.09644590097068208</v>
      </c>
      <c r="X23" s="298">
        <f t="shared" si="8"/>
      </c>
      <c r="Y23" s="298">
        <f t="shared" si="9"/>
        <v>-0.06645423720103373</v>
      </c>
      <c r="Z23" s="321"/>
    </row>
    <row r="24" spans="2:26" ht="12.75">
      <c r="B24" s="113">
        <v>42598</v>
      </c>
      <c r="C24" s="109">
        <v>15972.144</v>
      </c>
      <c r="D24" s="109">
        <v>17860.98</v>
      </c>
      <c r="E24" s="109">
        <v>11391.22</v>
      </c>
      <c r="F24" s="109">
        <v>11869.745</v>
      </c>
      <c r="G24" s="109">
        <v>9878.42</v>
      </c>
      <c r="H24" s="109">
        <v>13710.267500000002</v>
      </c>
      <c r="I24" s="109">
        <v>12879.713333333333</v>
      </c>
      <c r="J24" s="109">
        <v>11332.87</v>
      </c>
      <c r="K24" s="109">
        <v>13297.08</v>
      </c>
      <c r="L24" s="109">
        <v>13776.420400000003</v>
      </c>
      <c r="Q24" s="298">
        <f t="shared" si="1"/>
        <v>0.15938273776836812</v>
      </c>
      <c r="R24" s="298">
        <f t="shared" si="2"/>
        <v>0.29648918089055964</v>
      </c>
      <c r="S24" s="298">
        <f t="shared" si="3"/>
        <v>-0.17313644116145024</v>
      </c>
      <c r="T24" s="298">
        <f t="shared" si="4"/>
        <v>-0.13840136585843457</v>
      </c>
      <c r="U24" s="298">
        <f t="shared" si="5"/>
        <v>-0.2829472596524422</v>
      </c>
      <c r="V24" s="298">
        <f t="shared" si="6"/>
        <v>-0.004801893240714471</v>
      </c>
      <c r="W24" s="298">
        <f t="shared" si="7"/>
        <v>-0.06508999004318054</v>
      </c>
      <c r="X24" s="298">
        <f t="shared" si="8"/>
        <v>-0.1773719390851343</v>
      </c>
      <c r="Y24" s="298">
        <f t="shared" si="9"/>
        <v>-0.03479426339225265</v>
      </c>
      <c r="Z24" s="321"/>
    </row>
    <row r="25" spans="2:26" ht="12.75">
      <c r="B25" s="113">
        <v>42599</v>
      </c>
      <c r="C25" s="109">
        <v>14285.355714285715</v>
      </c>
      <c r="D25" s="109">
        <v>14303.994999999999</v>
      </c>
      <c r="E25" s="109"/>
      <c r="F25" s="109"/>
      <c r="G25" s="109">
        <v>9808.165</v>
      </c>
      <c r="H25" s="109">
        <v>12049.51</v>
      </c>
      <c r="I25" s="109">
        <v>12706.044999999998</v>
      </c>
      <c r="J25" s="109"/>
      <c r="K25" s="109">
        <v>12563.196666666669</v>
      </c>
      <c r="L25" s="109">
        <v>13079.028333333334</v>
      </c>
      <c r="Q25" s="298">
        <f t="shared" si="1"/>
        <v>0.09223371570179449</v>
      </c>
      <c r="R25" s="298">
        <f t="shared" si="2"/>
        <v>0.0936588434130618</v>
      </c>
      <c r="S25" s="298">
        <f t="shared" si="3"/>
      </c>
      <c r="T25" s="298">
        <f t="shared" si="4"/>
      </c>
      <c r="U25" s="298">
        <f t="shared" si="5"/>
        <v>-0.25008458197136707</v>
      </c>
      <c r="V25" s="298">
        <f t="shared" si="6"/>
        <v>-0.07871520017350933</v>
      </c>
      <c r="W25" s="298">
        <f t="shared" si="7"/>
        <v>-0.028517663837668017</v>
      </c>
      <c r="X25" s="298">
        <f t="shared" si="8"/>
      </c>
      <c r="Y25" s="298">
        <f t="shared" si="9"/>
        <v>-0.039439601591198616</v>
      </c>
      <c r="Z25" s="321"/>
    </row>
    <row r="26" spans="2:26" ht="12.75">
      <c r="B26" s="113">
        <v>42600</v>
      </c>
      <c r="C26" s="109">
        <v>15008.438333333334</v>
      </c>
      <c r="D26" s="109">
        <v>16870.266666666666</v>
      </c>
      <c r="E26" s="109">
        <v>10924.37</v>
      </c>
      <c r="F26" s="109">
        <v>11958.630000000001</v>
      </c>
      <c r="G26" s="109">
        <v>9447.51</v>
      </c>
      <c r="H26" s="109">
        <v>12806.61</v>
      </c>
      <c r="I26" s="109">
        <v>12426.619999999999</v>
      </c>
      <c r="J26" s="109"/>
      <c r="K26" s="109">
        <v>12619.783333333333</v>
      </c>
      <c r="L26" s="109">
        <v>13347.648181818182</v>
      </c>
      <c r="Q26" s="298">
        <f t="shared" si="1"/>
        <v>0.1244256762608889</v>
      </c>
      <c r="R26" s="298">
        <f t="shared" si="2"/>
        <v>0.2639130457189382</v>
      </c>
      <c r="S26" s="298">
        <f t="shared" si="3"/>
        <v>-0.1815509480628286</v>
      </c>
      <c r="T26" s="298">
        <f t="shared" si="4"/>
        <v>-0.104064638421491</v>
      </c>
      <c r="U26" s="298">
        <f t="shared" si="5"/>
        <v>-0.2921966573205644</v>
      </c>
      <c r="V26" s="298">
        <f t="shared" si="6"/>
        <v>-0.04053434541038993</v>
      </c>
      <c r="W26" s="298">
        <f t="shared" si="7"/>
        <v>-0.06900303104128737</v>
      </c>
      <c r="X26" s="298">
        <f t="shared" si="8"/>
      </c>
      <c r="Y26" s="298">
        <f t="shared" si="9"/>
        <v>-0.05453131806967519</v>
      </c>
      <c r="Z26" s="321"/>
    </row>
    <row r="27" spans="2:26" ht="12.75">
      <c r="B27" s="113">
        <v>42601</v>
      </c>
      <c r="C27" s="109">
        <v>13040.571428571431</v>
      </c>
      <c r="D27" s="109">
        <v>13963.395</v>
      </c>
      <c r="E27" s="109">
        <v>10905.27</v>
      </c>
      <c r="F27" s="109">
        <v>11958.630000000001</v>
      </c>
      <c r="G27" s="109">
        <v>9861.09</v>
      </c>
      <c r="H27" s="109">
        <v>12967.59</v>
      </c>
      <c r="I27" s="109">
        <v>12848.775</v>
      </c>
      <c r="J27" s="109"/>
      <c r="K27" s="109">
        <v>13294.4625</v>
      </c>
      <c r="L27" s="109">
        <v>12585.710869565219</v>
      </c>
      <c r="Q27" s="298">
        <f t="shared" si="1"/>
        <v>0.036141030389165926</v>
      </c>
      <c r="R27" s="298">
        <f t="shared" si="2"/>
        <v>0.10946414904272903</v>
      </c>
      <c r="S27" s="298">
        <f t="shared" si="3"/>
        <v>-0.13351974210919323</v>
      </c>
      <c r="T27" s="298">
        <f t="shared" si="4"/>
        <v>-0.049824827223834085</v>
      </c>
      <c r="U27" s="298">
        <f t="shared" si="5"/>
        <v>-0.2164852583856745</v>
      </c>
      <c r="V27" s="298">
        <f t="shared" si="6"/>
        <v>0.030342277396364</v>
      </c>
      <c r="W27" s="298">
        <f t="shared" si="7"/>
        <v>0.020901809453681554</v>
      </c>
      <c r="X27" s="298">
        <f t="shared" si="8"/>
      </c>
      <c r="Y27" s="298">
        <f t="shared" si="9"/>
        <v>0.05631399273192308</v>
      </c>
      <c r="Z27" s="321"/>
    </row>
    <row r="28" spans="2:26" ht="12.75">
      <c r="B28" s="113">
        <v>42604</v>
      </c>
      <c r="C28" s="109">
        <v>14405.911666666667</v>
      </c>
      <c r="D28" s="109">
        <v>18403.36</v>
      </c>
      <c r="E28" s="109">
        <v>14075.630000000001</v>
      </c>
      <c r="F28" s="109">
        <v>12605.04</v>
      </c>
      <c r="G28" s="109">
        <v>10355.570000000002</v>
      </c>
      <c r="H28" s="109">
        <v>12803.77</v>
      </c>
      <c r="I28" s="109">
        <v>14400.056666666665</v>
      </c>
      <c r="J28" s="109"/>
      <c r="K28" s="109">
        <v>13857.763333333334</v>
      </c>
      <c r="L28" s="109">
        <v>13668.706666666669</v>
      </c>
      <c r="Q28" s="298">
        <f t="shared" si="1"/>
        <v>0.05393377866523324</v>
      </c>
      <c r="R28" s="298">
        <f t="shared" si="2"/>
        <v>0.34638634428226794</v>
      </c>
      <c r="S28" s="298">
        <f t="shared" si="3"/>
        <v>0.029770434266884957</v>
      </c>
      <c r="T28" s="298">
        <f t="shared" si="4"/>
        <v>-0.07781765258454111</v>
      </c>
      <c r="U28" s="298">
        <f t="shared" si="5"/>
        <v>-0.24238845323576091</v>
      </c>
      <c r="V28" s="298">
        <f t="shared" si="6"/>
        <v>-0.06327860329141125</v>
      </c>
      <c r="W28" s="298">
        <f t="shared" si="7"/>
        <v>0.053505427970263704</v>
      </c>
      <c r="X28" s="298">
        <f t="shared" si="8"/>
      </c>
      <c r="Y28" s="298">
        <f t="shared" si="9"/>
        <v>0.01383135005213847</v>
      </c>
      <c r="Z28" s="321"/>
    </row>
    <row r="29" spans="2:26" ht="12.75">
      <c r="B29" s="113">
        <v>42605</v>
      </c>
      <c r="C29" s="109">
        <v>14276.980000000001</v>
      </c>
      <c r="D29" s="109">
        <v>18403.36</v>
      </c>
      <c r="E29" s="109">
        <v>11778.71</v>
      </c>
      <c r="F29" s="109">
        <v>12330.846666666666</v>
      </c>
      <c r="G29" s="109">
        <v>10088.553333333335</v>
      </c>
      <c r="H29" s="109">
        <v>13414.66</v>
      </c>
      <c r="I29" s="109">
        <v>14171.29</v>
      </c>
      <c r="J29" s="109"/>
      <c r="K29" s="109">
        <v>13120.485</v>
      </c>
      <c r="L29" s="109">
        <v>13153.682608695655</v>
      </c>
      <c r="Q29" s="298">
        <f t="shared" si="1"/>
        <v>0.08539793947603351</v>
      </c>
      <c r="R29" s="298">
        <f t="shared" si="2"/>
        <v>0.3991032433634883</v>
      </c>
      <c r="S29" s="298">
        <f t="shared" si="3"/>
        <v>-0.10453138102835835</v>
      </c>
      <c r="T29" s="298">
        <f t="shared" si="4"/>
        <v>-0.06255555698789839</v>
      </c>
      <c r="U29" s="298">
        <f t="shared" si="5"/>
        <v>-0.23302442111048202</v>
      </c>
      <c r="V29" s="298">
        <f t="shared" si="6"/>
        <v>0.01984063315712189</v>
      </c>
      <c r="W29" s="298">
        <f t="shared" si="7"/>
        <v>0.07736292729395981</v>
      </c>
      <c r="X29" s="298">
        <f t="shared" si="8"/>
      </c>
      <c r="Y29" s="298">
        <f t="shared" si="9"/>
        <v>-0.0025238261924997634</v>
      </c>
      <c r="Z29" s="321"/>
    </row>
    <row r="30" spans="2:26" ht="12.75">
      <c r="B30" s="113">
        <v>42606</v>
      </c>
      <c r="C30" s="109">
        <v>14140.99</v>
      </c>
      <c r="D30" s="109">
        <v>18403.36</v>
      </c>
      <c r="E30" s="109">
        <v>10504.2</v>
      </c>
      <c r="F30" s="109">
        <v>11732.386666666667</v>
      </c>
      <c r="G30" s="109">
        <v>10478.48</v>
      </c>
      <c r="H30" s="109">
        <v>13648.115</v>
      </c>
      <c r="I30" s="109">
        <v>13313.875</v>
      </c>
      <c r="J30" s="109"/>
      <c r="K30" s="109">
        <v>12809.447499999998</v>
      </c>
      <c r="L30" s="109">
        <v>13068.702352941176</v>
      </c>
      <c r="Q30" s="298">
        <f t="shared" si="1"/>
        <v>0.08205004736506986</v>
      </c>
      <c r="R30" s="298">
        <f t="shared" si="2"/>
        <v>0.4082010212634641</v>
      </c>
      <c r="S30" s="298">
        <f t="shared" si="3"/>
        <v>-0.1962323636794759</v>
      </c>
      <c r="T30" s="298">
        <f t="shared" si="4"/>
        <v>-0.10225312737142296</v>
      </c>
      <c r="U30" s="298">
        <f t="shared" si="5"/>
        <v>-0.19820042441767252</v>
      </c>
      <c r="V30" s="298">
        <f t="shared" si="6"/>
        <v>0.04433589742966514</v>
      </c>
      <c r="W30" s="298">
        <f t="shared" si="7"/>
        <v>0.018760290076056892</v>
      </c>
      <c r="X30" s="298">
        <f t="shared" si="8"/>
      </c>
      <c r="Y30" s="298">
        <f t="shared" si="9"/>
        <v>-0.01983784203967514</v>
      </c>
      <c r="Z30" s="321"/>
    </row>
    <row r="31" spans="2:26" ht="12.75">
      <c r="B31" s="113">
        <v>42607</v>
      </c>
      <c r="C31" s="109">
        <v>17459.45</v>
      </c>
      <c r="D31" s="109">
        <v>20336.135000000002</v>
      </c>
      <c r="E31" s="109">
        <v>12394.96</v>
      </c>
      <c r="F31" s="109">
        <v>11974.79</v>
      </c>
      <c r="G31" s="109">
        <v>11054.18</v>
      </c>
      <c r="H31" s="109">
        <v>13687.4375</v>
      </c>
      <c r="I31" s="109">
        <v>13228.689999999999</v>
      </c>
      <c r="J31" s="109"/>
      <c r="K31" s="109">
        <v>13851.06</v>
      </c>
      <c r="L31" s="109">
        <v>14193.095500000001</v>
      </c>
      <c r="Q31" s="298">
        <f t="shared" si="1"/>
        <v>0.2301368647875299</v>
      </c>
      <c r="R31" s="298">
        <f t="shared" si="2"/>
        <v>0.4328188660465224</v>
      </c>
      <c r="S31" s="298">
        <f t="shared" si="3"/>
        <v>-0.12669086176444047</v>
      </c>
      <c r="T31" s="298">
        <f t="shared" si="4"/>
        <v>-0.15629469272576937</v>
      </c>
      <c r="U31" s="298">
        <f t="shared" si="5"/>
        <v>-0.22115792146963295</v>
      </c>
      <c r="V31" s="298">
        <f t="shared" si="6"/>
        <v>-0.03562704133147002</v>
      </c>
      <c r="W31" s="298">
        <f t="shared" si="7"/>
        <v>-0.06794891924739058</v>
      </c>
      <c r="X31" s="298">
        <f t="shared" si="8"/>
      </c>
      <c r="Y31" s="298">
        <f t="shared" si="9"/>
        <v>-0.024098724622828173</v>
      </c>
      <c r="Z31" s="321"/>
    </row>
    <row r="32" spans="2:26" ht="12.75">
      <c r="B32" s="113">
        <v>42608</v>
      </c>
      <c r="C32" s="109">
        <v>13695.189999999999</v>
      </c>
      <c r="D32" s="109">
        <v>15012.375</v>
      </c>
      <c r="E32" s="109">
        <v>11322.42</v>
      </c>
      <c r="F32" s="109">
        <v>12034.913333333336</v>
      </c>
      <c r="G32" s="109">
        <v>9439.220000000001</v>
      </c>
      <c r="H32" s="109">
        <v>12529.556666666665</v>
      </c>
      <c r="I32" s="109">
        <v>13313.146666666667</v>
      </c>
      <c r="J32" s="109"/>
      <c r="K32" s="109">
        <v>12758.895</v>
      </c>
      <c r="L32" s="109">
        <v>12712.490909090906</v>
      </c>
      <c r="Q32" s="298">
        <f t="shared" si="1"/>
        <v>0.07730185200811816</v>
      </c>
      <c r="R32" s="298">
        <f t="shared" si="2"/>
        <v>0.18091529876842705</v>
      </c>
      <c r="S32" s="298">
        <f t="shared" si="3"/>
        <v>-0.10934685570526889</v>
      </c>
      <c r="T32" s="298">
        <f t="shared" si="4"/>
        <v>-0.053300142403486295</v>
      </c>
      <c r="U32" s="298">
        <f t="shared" si="5"/>
        <v>-0.25748462142459716</v>
      </c>
      <c r="V32" s="298">
        <f t="shared" si="6"/>
        <v>-0.014390117855928709</v>
      </c>
      <c r="W32" s="298">
        <f t="shared" si="7"/>
        <v>0.047249257590125236</v>
      </c>
      <c r="X32" s="298">
        <f t="shared" si="8"/>
      </c>
      <c r="Y32" s="298">
        <f t="shared" si="9"/>
        <v>0.0036502752482528984</v>
      </c>
      <c r="Z32" s="321"/>
    </row>
    <row r="33" spans="2:26" ht="12.75">
      <c r="B33" s="113">
        <v>42611</v>
      </c>
      <c r="C33" s="109">
        <v>14496.756666666668</v>
      </c>
      <c r="D33" s="109">
        <v>15676.773333333333</v>
      </c>
      <c r="E33" s="109">
        <v>12205.885</v>
      </c>
      <c r="F33" s="109">
        <v>12605.04</v>
      </c>
      <c r="G33" s="109">
        <v>9873.95</v>
      </c>
      <c r="H33" s="109">
        <v>13243.849999999999</v>
      </c>
      <c r="I33" s="109">
        <v>12605.04</v>
      </c>
      <c r="J33" s="109"/>
      <c r="K33" s="109">
        <v>11764.705</v>
      </c>
      <c r="L33" s="109">
        <v>13119.215625000003</v>
      </c>
      <c r="Q33" s="298">
        <f t="shared" si="1"/>
        <v>0.10500178372261987</v>
      </c>
      <c r="R33" s="298">
        <f t="shared" si="2"/>
        <v>0.1949474558112791</v>
      </c>
      <c r="S33" s="298">
        <f t="shared" si="3"/>
        <v>-0.06961777678686504</v>
      </c>
      <c r="T33" s="298">
        <f t="shared" si="4"/>
        <v>-0.03919255843468169</v>
      </c>
      <c r="U33" s="298">
        <f t="shared" si="5"/>
        <v>-0.24736735165902887</v>
      </c>
      <c r="V33" s="298">
        <f t="shared" si="6"/>
        <v>0.00950013922802614</v>
      </c>
      <c r="W33" s="298">
        <f t="shared" si="7"/>
        <v>-0.03919255843468169</v>
      </c>
      <c r="X33" s="298">
        <f t="shared" si="8"/>
      </c>
      <c r="Y33" s="298">
        <f t="shared" si="9"/>
        <v>-0.10324631164830042</v>
      </c>
      <c r="Z33" s="321"/>
    </row>
    <row r="34" spans="2:26" ht="14.25" customHeight="1">
      <c r="B34" s="113">
        <v>42612</v>
      </c>
      <c r="C34" s="109">
        <v>14614.099999999999</v>
      </c>
      <c r="D34" s="109">
        <v>16863.679999999997</v>
      </c>
      <c r="E34" s="109">
        <v>11718.185</v>
      </c>
      <c r="F34" s="109">
        <v>11915.330000000002</v>
      </c>
      <c r="G34" s="109">
        <v>9243.7</v>
      </c>
      <c r="H34" s="109">
        <v>12264.24</v>
      </c>
      <c r="I34" s="109">
        <v>13918.813333333334</v>
      </c>
      <c r="J34" s="109"/>
      <c r="K34" s="109">
        <v>11764.705</v>
      </c>
      <c r="L34" s="109">
        <v>13144.108181818185</v>
      </c>
      <c r="Q34" s="298">
        <f t="shared" si="1"/>
        <v>0.11183655808731136</v>
      </c>
      <c r="R34" s="298">
        <f t="shared" si="2"/>
        <v>0.2829839626036382</v>
      </c>
      <c r="S34" s="298">
        <f t="shared" si="3"/>
        <v>-0.10848382880708621</v>
      </c>
      <c r="T34" s="298">
        <f t="shared" si="4"/>
        <v>-0.09348509345943391</v>
      </c>
      <c r="U34" s="298">
        <f t="shared" si="5"/>
        <v>-0.29674194155016853</v>
      </c>
      <c r="V34" s="298">
        <f t="shared" si="6"/>
        <v>-0.06694012021563227</v>
      </c>
      <c r="W34" s="298">
        <f t="shared" si="7"/>
        <v>0.058939346876859484</v>
      </c>
      <c r="X34" s="298">
        <f t="shared" si="8"/>
      </c>
      <c r="Y34" s="298">
        <f t="shared" si="9"/>
        <v>-0.1049446004808655</v>
      </c>
      <c r="Z34" s="321"/>
    </row>
    <row r="35" spans="2:26" ht="12.75">
      <c r="B35" s="106">
        <v>42613</v>
      </c>
      <c r="C35" s="190">
        <v>13956.26</v>
      </c>
      <c r="D35" s="190">
        <v>16029.41</v>
      </c>
      <c r="E35" s="190">
        <v>10924.37</v>
      </c>
      <c r="F35" s="190">
        <v>11372.2925</v>
      </c>
      <c r="G35" s="190"/>
      <c r="H35" s="190">
        <v>12938.05</v>
      </c>
      <c r="I35" s="190">
        <v>13445.38</v>
      </c>
      <c r="J35" s="190"/>
      <c r="K35" s="190">
        <v>11374.909999999998</v>
      </c>
      <c r="L35" s="190">
        <v>12394.188125</v>
      </c>
      <c r="M35" s="76"/>
      <c r="Q35" s="298">
        <f t="shared" si="1"/>
        <v>0.12603260973981703</v>
      </c>
      <c r="R35" s="298">
        <f t="shared" si="2"/>
        <v>0.2933005242729442</v>
      </c>
      <c r="S35" s="298">
        <f t="shared" si="3"/>
        <v>-0.11858930251633563</v>
      </c>
      <c r="T35" s="298">
        <f t="shared" si="4"/>
        <v>-0.08244958158564347</v>
      </c>
      <c r="U35" s="298">
        <f t="shared" si="5"/>
      </c>
      <c r="V35" s="298">
        <f t="shared" si="6"/>
        <v>0.043880395352640225</v>
      </c>
      <c r="W35" s="298">
        <f t="shared" si="7"/>
        <v>0.08481329026139811</v>
      </c>
      <c r="X35" s="298">
        <f t="shared" si="8"/>
      </c>
      <c r="Y35" s="298">
        <f t="shared" si="9"/>
        <v>-0.0822383938923795</v>
      </c>
      <c r="Z35" s="321"/>
    </row>
    <row r="36" spans="2:15" ht="70.5" customHeight="1">
      <c r="B36" s="352" t="s">
        <v>195</v>
      </c>
      <c r="C36" s="352"/>
      <c r="D36" s="352"/>
      <c r="E36" s="352"/>
      <c r="F36" s="352"/>
      <c r="G36" s="352"/>
      <c r="H36" s="352"/>
      <c r="I36" s="352"/>
      <c r="J36" s="352"/>
      <c r="K36" s="352"/>
      <c r="L36" s="352"/>
      <c r="M36" s="353"/>
      <c r="N36" s="137"/>
      <c r="O36" s="278"/>
    </row>
    <row r="37" spans="16:26" ht="12.75">
      <c r="P37" s="297" t="s">
        <v>239</v>
      </c>
      <c r="Q37" s="219">
        <f>+AVERAGE(C14:C35)</f>
        <v>14334.38295389267</v>
      </c>
      <c r="R37" s="219">
        <f aca="true" t="shared" si="10" ref="R37:Y37">+AVERAGE(D14:D35)</f>
        <v>16473.72452380952</v>
      </c>
      <c r="S37" s="219">
        <f t="shared" si="10"/>
        <v>12058.098000000002</v>
      </c>
      <c r="T37" s="219">
        <f t="shared" si="10"/>
        <v>12396.39401041667</v>
      </c>
      <c r="U37" s="219">
        <f t="shared" si="10"/>
        <v>10505.101111111113</v>
      </c>
      <c r="V37" s="219">
        <f t="shared" si="10"/>
        <v>12974.090039682538</v>
      </c>
      <c r="W37" s="219">
        <f t="shared" si="10"/>
        <v>13179.821626984129</v>
      </c>
      <c r="X37" s="219">
        <f t="shared" si="10"/>
        <v>11756.0675</v>
      </c>
      <c r="Y37" s="219">
        <f t="shared" si="10"/>
        <v>12845.5765</v>
      </c>
      <c r="Z37" s="219">
        <f>+AVERAGE(L14:L35)</f>
        <v>13188.28302325602</v>
      </c>
    </row>
    <row r="38" spans="17:26" ht="12.75">
      <c r="Q38" s="298">
        <f aca="true" t="shared" si="11" ref="Q38:Y38">+(Q37-$Z$37)/$Z$37</f>
        <v>0.0869028916512963</v>
      </c>
      <c r="R38" s="298">
        <f t="shared" si="11"/>
        <v>0.24911821309566992</v>
      </c>
      <c r="S38" s="298">
        <f t="shared" si="11"/>
        <v>-0.08569614568197147</v>
      </c>
      <c r="T38" s="298">
        <f t="shared" si="11"/>
        <v>-0.060044890714200265</v>
      </c>
      <c r="U38" s="298">
        <f t="shared" si="11"/>
        <v>-0.20345195105484354</v>
      </c>
      <c r="V38" s="298">
        <f t="shared" si="11"/>
        <v>-0.016241157639381717</v>
      </c>
      <c r="W38" s="298">
        <f t="shared" si="11"/>
        <v>-0.0006415843712916629</v>
      </c>
      <c r="X38" s="298">
        <f t="shared" si="11"/>
        <v>-0.10859757261278623</v>
      </c>
      <c r="Y38" s="298">
        <f t="shared" si="11"/>
        <v>-0.025985681582029907</v>
      </c>
      <c r="Z38" s="321"/>
    </row>
    <row r="40" spans="16:26" ht="12.75">
      <c r="P40" s="297"/>
      <c r="Q40" s="321"/>
      <c r="R40" s="321"/>
      <c r="S40" s="321"/>
      <c r="T40" s="321"/>
      <c r="U40" s="321"/>
      <c r="V40" s="321"/>
      <c r="W40" s="321"/>
      <c r="X40" s="321"/>
      <c r="Y40" s="321"/>
      <c r="Z40" s="321"/>
    </row>
    <row r="41" spans="16:26" ht="12.75">
      <c r="P41" s="297"/>
      <c r="Q41" s="321"/>
      <c r="R41" s="321"/>
      <c r="S41" s="321"/>
      <c r="T41" s="321"/>
      <c r="U41" s="321"/>
      <c r="V41" s="321"/>
      <c r="W41" s="321"/>
      <c r="X41" s="321"/>
      <c r="Y41" s="321"/>
      <c r="Z41" s="321"/>
    </row>
    <row r="55" ht="12.75"/>
    <row r="56" ht="12.75"/>
    <row r="57" ht="12.75"/>
    <row r="59" spans="3:12" ht="12.75">
      <c r="C59" s="48"/>
      <c r="D59" s="48"/>
      <c r="E59" s="48"/>
      <c r="F59" s="48"/>
      <c r="G59" s="48"/>
      <c r="H59" s="48"/>
      <c r="I59" s="48"/>
      <c r="J59" s="48"/>
      <c r="K59" s="48"/>
      <c r="L59" s="48"/>
    </row>
    <row r="60" ht="12.75">
      <c r="B60" s="116"/>
    </row>
    <row r="61" spans="3:12" ht="12.75">
      <c r="C61" s="48"/>
      <c r="D61" s="48"/>
      <c r="E61" s="48"/>
      <c r="F61" s="48"/>
      <c r="G61" s="48"/>
      <c r="H61" s="48"/>
      <c r="I61" s="48"/>
      <c r="J61" s="48"/>
      <c r="K61" s="48"/>
      <c r="L61" s="48"/>
    </row>
    <row r="72" ht="12.75">
      <c r="G72" s="265"/>
    </row>
    <row r="73" ht="12.75">
      <c r="G73" s="265"/>
    </row>
  </sheetData>
  <sheetProtection/>
  <mergeCells count="4">
    <mergeCell ref="B36:M36"/>
    <mergeCell ref="B2:L2"/>
    <mergeCell ref="B3:L3"/>
    <mergeCell ref="B4:L4"/>
  </mergeCells>
  <conditionalFormatting sqref="Q37:Y37">
    <cfRule type="colorScale" priority="1"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0.8515625" style="191" customWidth="1"/>
    <col min="17" max="17" width="13.00390625" style="322" hidden="1" customWidth="1"/>
    <col min="18" max="18" width="8.57421875" style="322" hidden="1" customWidth="1"/>
    <col min="19" max="19" width="10.28125" style="322" hidden="1" customWidth="1"/>
    <col min="20" max="20" width="9.28125" style="322" hidden="1" customWidth="1"/>
    <col min="21" max="21" width="11.421875" style="322" hidden="1" customWidth="1"/>
    <col min="22" max="22" width="10.28125" style="322" hidden="1" customWidth="1"/>
    <col min="23" max="23" width="7.57421875" style="322" hidden="1" customWidth="1"/>
    <col min="24" max="24" width="7.421875" style="322" hidden="1" customWidth="1"/>
    <col min="25" max="25" width="12.421875" style="322" hidden="1" customWidth="1"/>
    <col min="26" max="26" width="8.7109375" style="322" hidden="1" customWidth="1"/>
    <col min="27" max="28" width="10.8515625" style="322" hidden="1" customWidth="1"/>
    <col min="29" max="29" width="10.8515625" style="191" customWidth="1"/>
    <col min="30" max="16384" width="10.8515625" style="39" customWidth="1"/>
  </cols>
  <sheetData>
    <row r="1" ht="4.5" customHeight="1"/>
    <row r="2" spans="2:17" ht="12.75">
      <c r="B2" s="351" t="s">
        <v>112</v>
      </c>
      <c r="C2" s="351"/>
      <c r="D2" s="351"/>
      <c r="E2" s="351"/>
      <c r="F2" s="351"/>
      <c r="G2" s="351"/>
      <c r="H2" s="351"/>
      <c r="I2" s="351"/>
      <c r="J2" s="351"/>
      <c r="K2" s="351"/>
      <c r="L2" s="351"/>
      <c r="M2" s="351"/>
      <c r="N2" s="119"/>
      <c r="O2" s="52" t="s">
        <v>153</v>
      </c>
      <c r="P2" s="193"/>
      <c r="Q2" s="296"/>
    </row>
    <row r="3" spans="2:14" ht="12.75">
      <c r="B3" s="351" t="s">
        <v>141</v>
      </c>
      <c r="C3" s="351"/>
      <c r="D3" s="351"/>
      <c r="E3" s="351"/>
      <c r="F3" s="351"/>
      <c r="G3" s="351"/>
      <c r="H3" s="351"/>
      <c r="I3" s="351"/>
      <c r="J3" s="351"/>
      <c r="K3" s="351"/>
      <c r="L3" s="351"/>
      <c r="M3" s="351"/>
      <c r="N3" s="119"/>
    </row>
    <row r="4" spans="2:14" ht="12.75">
      <c r="B4" s="351" t="s">
        <v>134</v>
      </c>
      <c r="C4" s="351"/>
      <c r="D4" s="351"/>
      <c r="E4" s="351"/>
      <c r="F4" s="351"/>
      <c r="G4" s="351"/>
      <c r="H4" s="351"/>
      <c r="I4" s="351"/>
      <c r="J4" s="351"/>
      <c r="K4" s="351"/>
      <c r="L4" s="351"/>
      <c r="M4" s="351"/>
      <c r="N4" s="119"/>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38"/>
      <c r="R5" s="220" t="s">
        <v>166</v>
      </c>
      <c r="S5" s="220" t="s">
        <v>254</v>
      </c>
      <c r="T5" s="220" t="s">
        <v>255</v>
      </c>
      <c r="U5" s="220" t="s">
        <v>175</v>
      </c>
      <c r="V5" s="220" t="s">
        <v>256</v>
      </c>
      <c r="W5" s="220" t="s">
        <v>257</v>
      </c>
      <c r="X5" s="220" t="s">
        <v>258</v>
      </c>
      <c r="Y5" s="220" t="s">
        <v>259</v>
      </c>
      <c r="Z5" s="220" t="s">
        <v>261</v>
      </c>
      <c r="AA5" s="220" t="s">
        <v>260</v>
      </c>
    </row>
    <row r="6" spans="2:27" ht="12.75">
      <c r="B6" s="110">
        <v>42571</v>
      </c>
      <c r="C6" s="111">
        <v>19145.66</v>
      </c>
      <c r="D6" s="111">
        <v>14075.63</v>
      </c>
      <c r="E6" s="111">
        <v>14666.666666666666</v>
      </c>
      <c r="F6" s="111">
        <v>10532.390000000001</v>
      </c>
      <c r="G6" s="111"/>
      <c r="H6" s="111">
        <v>10084.03</v>
      </c>
      <c r="I6" s="111">
        <v>11365.965</v>
      </c>
      <c r="J6" s="111"/>
      <c r="K6" s="111"/>
      <c r="L6" s="111">
        <v>10924.37</v>
      </c>
      <c r="M6" s="111">
        <v>13016.917142857143</v>
      </c>
      <c r="N6" s="139"/>
      <c r="R6" s="320">
        <f aca="true" t="shared" si="0" ref="R6:AA6">+IF(C6=0,"",(C6-$M6)/$M6)</f>
        <v>0.470829059590805</v>
      </c>
      <c r="S6" s="320">
        <f t="shared" si="0"/>
        <v>0.08133360960385393</v>
      </c>
      <c r="T6" s="320">
        <f t="shared" si="0"/>
        <v>0.12673888184920967</v>
      </c>
      <c r="U6" s="320">
        <f t="shared" si="0"/>
        <v>-0.19086909101365004</v>
      </c>
      <c r="V6" s="320">
        <f t="shared" si="0"/>
      </c>
      <c r="W6" s="320">
        <f t="shared" si="0"/>
        <v>-0.22531349863178043</v>
      </c>
      <c r="X6" s="320">
        <f t="shared" si="0"/>
        <v>-0.1268312707792782</v>
      </c>
      <c r="Y6" s="320">
        <f t="shared" si="0"/>
      </c>
      <c r="Z6" s="320">
        <f t="shared" si="0"/>
      </c>
      <c r="AA6" s="320">
        <f t="shared" si="0"/>
        <v>-0.16075597008815554</v>
      </c>
    </row>
    <row r="7" spans="2:27" ht="12.75">
      <c r="B7" s="110">
        <v>42572</v>
      </c>
      <c r="C7" s="111">
        <v>20588.235</v>
      </c>
      <c r="D7" s="111">
        <v>14075.63</v>
      </c>
      <c r="E7" s="111">
        <v>12382.6</v>
      </c>
      <c r="F7" s="111">
        <v>9942.43</v>
      </c>
      <c r="G7" s="111">
        <v>12989.2</v>
      </c>
      <c r="H7" s="111">
        <v>11344.535</v>
      </c>
      <c r="I7" s="111">
        <v>11284.4</v>
      </c>
      <c r="J7" s="111"/>
      <c r="K7" s="111">
        <v>11305.035</v>
      </c>
      <c r="L7" s="111">
        <v>11332.53</v>
      </c>
      <c r="M7" s="111">
        <v>12612.756470588234</v>
      </c>
      <c r="N7" s="139"/>
      <c r="R7" s="320">
        <f aca="true" t="shared" si="1" ref="R7:R35">+IF(C7=0,"",(C7-$M7)/$M7)</f>
        <v>0.6323342996441607</v>
      </c>
      <c r="S7" s="320">
        <f aca="true" t="shared" si="2" ref="S7:S35">+IF(D7=0,"",(D7-$M7)/$M7)</f>
        <v>0.11598364979321127</v>
      </c>
      <c r="T7" s="320">
        <f aca="true" t="shared" si="3" ref="T7:T35">+IF(E7=0,"",(E7-$M7)/$M7)</f>
        <v>-0.018247912034529256</v>
      </c>
      <c r="U7" s="320">
        <f aca="true" t="shared" si="4" ref="U7:U35">+IF(F7=0,"",(F7-$M7)/$M7)</f>
        <v>-0.21171632678512306</v>
      </c>
      <c r="V7" s="320">
        <f aca="true" t="shared" si="5" ref="V7:V35">+IF(G7=0,"",(G7-$M7)/$M7)</f>
        <v>0.02984625369478889</v>
      </c>
      <c r="W7" s="320">
        <f aca="true" t="shared" si="6" ref="W7:W35">+IF(H7=0,"",(H7-$M7)/$M7)</f>
        <v>-0.10055069829863186</v>
      </c>
      <c r="X7" s="320">
        <f aca="true" t="shared" si="7" ref="X7:X35">+IF(I7=0,"",(I7-$M7)/$M7)</f>
        <v>-0.10531849034632812</v>
      </c>
      <c r="Y7" s="320">
        <f aca="true" t="shared" si="8" ref="Y7:Y35">+IF(J7=0,"",(J7-$M7)/$M7)</f>
      </c>
      <c r="Z7" s="320">
        <f aca="true" t="shared" si="9" ref="Z7:Z35">+IF(K7=0,"",(K7-$M7)/$M7)</f>
        <v>-0.10368244829254558</v>
      </c>
      <c r="AA7" s="320">
        <f aca="true" t="shared" si="10" ref="AA7:AA35">+IF(L7=0,"",(L7-$M7)/$M7)</f>
        <v>-0.10150251244235164</v>
      </c>
    </row>
    <row r="8" spans="2:27" ht="12.75">
      <c r="B8" s="110">
        <v>42573</v>
      </c>
      <c r="C8" s="111"/>
      <c r="D8" s="111">
        <v>14075.63</v>
      </c>
      <c r="E8" s="111">
        <v>11939.779999999999</v>
      </c>
      <c r="F8" s="111">
        <v>11084.945</v>
      </c>
      <c r="G8" s="111">
        <v>14778.95</v>
      </c>
      <c r="H8" s="111">
        <v>11506.14</v>
      </c>
      <c r="I8" s="111">
        <v>10380.62</v>
      </c>
      <c r="J8" s="111">
        <v>10542.4</v>
      </c>
      <c r="K8" s="111">
        <v>10457.52</v>
      </c>
      <c r="L8" s="111">
        <v>11284.51</v>
      </c>
      <c r="M8" s="111">
        <v>11732.395384615385</v>
      </c>
      <c r="N8" s="139"/>
      <c r="R8" s="320">
        <f t="shared" si="1"/>
      </c>
      <c r="S8" s="320">
        <f t="shared" si="2"/>
        <v>0.19972346128543214</v>
      </c>
      <c r="T8" s="320">
        <f t="shared" si="3"/>
        <v>0.017676238192292387</v>
      </c>
      <c r="U8" s="320">
        <f t="shared" si="4"/>
        <v>-0.055184841917651634</v>
      </c>
      <c r="V8" s="320">
        <f t="shared" si="5"/>
        <v>0.2596702988189047</v>
      </c>
      <c r="W8" s="320">
        <f t="shared" si="6"/>
        <v>-0.01928467096430054</v>
      </c>
      <c r="X8" s="320">
        <f t="shared" si="7"/>
        <v>-0.11521733970779394</v>
      </c>
      <c r="Y8" s="320">
        <f t="shared" si="8"/>
        <v>-0.10142816923608107</v>
      </c>
      <c r="Z8" s="320">
        <f t="shared" si="9"/>
        <v>-0.1086628384760303</v>
      </c>
      <c r="AA8" s="320">
        <f t="shared" si="10"/>
        <v>-0.038175101497405585</v>
      </c>
    </row>
    <row r="9" spans="2:27" ht="12.75">
      <c r="B9" s="110">
        <v>42576</v>
      </c>
      <c r="C9" s="111">
        <v>15966.39</v>
      </c>
      <c r="D9" s="111">
        <v>14075.63</v>
      </c>
      <c r="E9" s="111">
        <v>12388.590000000002</v>
      </c>
      <c r="F9" s="111">
        <v>13875.82</v>
      </c>
      <c r="G9" s="111"/>
      <c r="H9" s="111">
        <v>11506.14</v>
      </c>
      <c r="I9" s="111">
        <v>12184.87</v>
      </c>
      <c r="J9" s="111"/>
      <c r="K9" s="111">
        <v>10515.56</v>
      </c>
      <c r="L9" s="111">
        <v>11764.71</v>
      </c>
      <c r="M9" s="111">
        <v>12719.812857142857</v>
      </c>
      <c r="N9" s="139"/>
      <c r="R9" s="320">
        <f t="shared" si="1"/>
        <v>0.25523780729478385</v>
      </c>
      <c r="S9" s="320">
        <f t="shared" si="2"/>
        <v>0.10659096624175396</v>
      </c>
      <c r="T9" s="320">
        <f t="shared" si="3"/>
        <v>-0.026039915906219926</v>
      </c>
      <c r="U9" s="320">
        <f t="shared" si="4"/>
        <v>0.09088240179634269</v>
      </c>
      <c r="V9" s="320">
        <f t="shared" si="5"/>
      </c>
      <c r="W9" s="320">
        <f t="shared" si="6"/>
        <v>-0.09541593660014543</v>
      </c>
      <c r="X9" s="320">
        <f t="shared" si="7"/>
        <v>-0.04205587481127578</v>
      </c>
      <c r="Y9" s="320">
        <f t="shared" si="8"/>
      </c>
      <c r="Z9" s="320">
        <f t="shared" si="9"/>
        <v>-0.17329286852715378</v>
      </c>
      <c r="AA9" s="320">
        <f t="shared" si="10"/>
        <v>-0.07508780733409269</v>
      </c>
    </row>
    <row r="10" spans="2:27" ht="12.75">
      <c r="B10" s="110">
        <v>42577</v>
      </c>
      <c r="C10" s="111"/>
      <c r="D10" s="111">
        <v>14075.63</v>
      </c>
      <c r="E10" s="111">
        <v>12322.92</v>
      </c>
      <c r="F10" s="111">
        <v>13010.854000000001</v>
      </c>
      <c r="G10" s="111">
        <v>14972.44</v>
      </c>
      <c r="H10" s="111">
        <v>11235.61</v>
      </c>
      <c r="I10" s="111">
        <v>12364.95</v>
      </c>
      <c r="J10" s="111">
        <v>10282.445</v>
      </c>
      <c r="K10" s="111">
        <v>10420.17</v>
      </c>
      <c r="L10" s="111">
        <v>10489.71</v>
      </c>
      <c r="M10" s="111">
        <v>12259.151875</v>
      </c>
      <c r="N10" s="139"/>
      <c r="R10" s="320">
        <f t="shared" si="1"/>
      </c>
      <c r="S10" s="320">
        <f t="shared" si="2"/>
        <v>0.14817322956120077</v>
      </c>
      <c r="T10" s="320">
        <f t="shared" si="3"/>
        <v>0.005201675095488652</v>
      </c>
      <c r="U10" s="320">
        <f t="shared" si="4"/>
        <v>0.0613176288755295</v>
      </c>
      <c r="V10" s="320">
        <f t="shared" si="5"/>
        <v>0.22132755615281918</v>
      </c>
      <c r="W10" s="320">
        <f t="shared" si="6"/>
        <v>-0.08349206253715648</v>
      </c>
      <c r="X10" s="320">
        <f t="shared" si="7"/>
        <v>0.008630134129894787</v>
      </c>
      <c r="Y10" s="320">
        <f t="shared" si="8"/>
        <v>-0.16124336293043925</v>
      </c>
      <c r="Z10" s="320">
        <f t="shared" si="9"/>
        <v>-0.15000889896390157</v>
      </c>
      <c r="AA10" s="320">
        <f t="shared" si="10"/>
        <v>-0.1443364021460906</v>
      </c>
    </row>
    <row r="11" spans="2:27" ht="12.75">
      <c r="B11" s="108">
        <v>42578</v>
      </c>
      <c r="C11" s="109"/>
      <c r="D11" s="109">
        <v>15462.185000000001</v>
      </c>
      <c r="E11" s="109">
        <v>12339.126666666665</v>
      </c>
      <c r="F11" s="109">
        <v>12730.272500000001</v>
      </c>
      <c r="G11" s="109"/>
      <c r="H11" s="109">
        <v>11764.705</v>
      </c>
      <c r="I11" s="109">
        <v>11974.79</v>
      </c>
      <c r="J11" s="109"/>
      <c r="K11" s="109"/>
      <c r="L11" s="109">
        <v>10270.77</v>
      </c>
      <c r="M11" s="109">
        <v>12664.446923076923</v>
      </c>
      <c r="N11" s="139"/>
      <c r="R11" s="320">
        <f t="shared" si="1"/>
      </c>
      <c r="S11" s="320">
        <f t="shared" si="2"/>
        <v>0.22091277210259308</v>
      </c>
      <c r="T11" s="320">
        <f t="shared" si="3"/>
        <v>-0.02568767972152538</v>
      </c>
      <c r="U11" s="320">
        <f t="shared" si="4"/>
        <v>0.005197666927178006</v>
      </c>
      <c r="V11" s="320">
        <f t="shared" si="5"/>
      </c>
      <c r="W11" s="320">
        <f t="shared" si="6"/>
        <v>-0.07104470716659798</v>
      </c>
      <c r="X11" s="320">
        <f t="shared" si="7"/>
        <v>-0.05445614224338859</v>
      </c>
      <c r="Y11" s="320">
        <f t="shared" si="8"/>
      </c>
      <c r="Z11" s="320">
        <f t="shared" si="9"/>
      </c>
      <c r="AA11" s="320">
        <f t="shared" si="10"/>
        <v>-0.18900761617273693</v>
      </c>
    </row>
    <row r="12" spans="2:27" ht="12.75">
      <c r="B12" s="108">
        <v>42579</v>
      </c>
      <c r="C12" s="109">
        <v>18727.49</v>
      </c>
      <c r="D12" s="109">
        <v>15462.185000000001</v>
      </c>
      <c r="E12" s="109">
        <v>12415.965</v>
      </c>
      <c r="F12" s="109">
        <v>12795.488333333335</v>
      </c>
      <c r="G12" s="109">
        <v>14711.55</v>
      </c>
      <c r="H12" s="109">
        <v>11764.705</v>
      </c>
      <c r="I12" s="109">
        <v>12100.84</v>
      </c>
      <c r="J12" s="109"/>
      <c r="K12" s="109">
        <v>11369.25</v>
      </c>
      <c r="L12" s="109"/>
      <c r="M12" s="109">
        <v>13954.436842105266</v>
      </c>
      <c r="N12" s="139"/>
      <c r="R12" s="320">
        <f t="shared" si="1"/>
        <v>0.34204555955227206</v>
      </c>
      <c r="S12" s="320">
        <f t="shared" si="2"/>
        <v>0.10804794023255372</v>
      </c>
      <c r="T12" s="320">
        <f t="shared" si="3"/>
        <v>-0.11024965460900397</v>
      </c>
      <c r="U12" s="320">
        <f t="shared" si="4"/>
        <v>-0.083052331089062</v>
      </c>
      <c r="V12" s="320">
        <f t="shared" si="5"/>
        <v>0.054256088329574605</v>
      </c>
      <c r="W12" s="320">
        <f t="shared" si="6"/>
        <v>-0.15692011557916138</v>
      </c>
      <c r="X12" s="320">
        <f t="shared" si="7"/>
        <v>-0.13283207793182567</v>
      </c>
      <c r="Y12" s="320">
        <f t="shared" si="8"/>
      </c>
      <c r="Z12" s="320">
        <f t="shared" si="9"/>
        <v>-0.18525913093854715</v>
      </c>
      <c r="AA12" s="320">
        <f t="shared" si="10"/>
      </c>
    </row>
    <row r="13" spans="2:27" ht="12.75">
      <c r="B13" s="108">
        <v>42580</v>
      </c>
      <c r="C13" s="109"/>
      <c r="D13" s="109">
        <v>15462.185000000001</v>
      </c>
      <c r="E13" s="109">
        <v>12452.980000000001</v>
      </c>
      <c r="F13" s="109">
        <v>13086.328333333333</v>
      </c>
      <c r="G13" s="109"/>
      <c r="H13" s="109">
        <v>11974.79</v>
      </c>
      <c r="I13" s="109">
        <v>12184.87</v>
      </c>
      <c r="J13" s="109">
        <v>10273.11</v>
      </c>
      <c r="K13" s="109">
        <v>10468.19</v>
      </c>
      <c r="L13" s="109">
        <v>9663.87</v>
      </c>
      <c r="M13" s="109">
        <v>12277.783157894737</v>
      </c>
      <c r="N13" s="139"/>
      <c r="R13" s="320">
        <f t="shared" si="1"/>
      </c>
      <c r="S13" s="320">
        <f t="shared" si="2"/>
        <v>0.2593629323105989</v>
      </c>
      <c r="T13" s="320">
        <f t="shared" si="3"/>
        <v>0.014269419800968791</v>
      </c>
      <c r="U13" s="320">
        <f t="shared" si="4"/>
        <v>0.06585432932318024</v>
      </c>
      <c r="V13" s="320">
        <f t="shared" si="5"/>
      </c>
      <c r="W13" s="320">
        <f t="shared" si="6"/>
        <v>-0.024678164942171062</v>
      </c>
      <c r="X13" s="320">
        <f t="shared" si="7"/>
        <v>-0.007567584204726095</v>
      </c>
      <c r="Y13" s="320">
        <f t="shared" si="8"/>
        <v>-0.1632764752491749</v>
      </c>
      <c r="Z13" s="320">
        <f t="shared" si="9"/>
        <v>-0.1473876134333868</v>
      </c>
      <c r="AA13" s="320">
        <f t="shared" si="10"/>
        <v>-0.21289781097119018</v>
      </c>
    </row>
    <row r="14" spans="2:27" ht="12.75">
      <c r="B14" s="108">
        <v>42583</v>
      </c>
      <c r="C14" s="109">
        <v>21008.4</v>
      </c>
      <c r="D14" s="109">
        <v>16239.495</v>
      </c>
      <c r="E14" s="109">
        <v>12795.9725</v>
      </c>
      <c r="F14" s="109">
        <v>12353.206666666665</v>
      </c>
      <c r="G14" s="109"/>
      <c r="H14" s="109">
        <v>12184.875</v>
      </c>
      <c r="I14" s="109">
        <v>11974.79</v>
      </c>
      <c r="J14" s="109"/>
      <c r="K14" s="109">
        <v>11297.85</v>
      </c>
      <c r="L14" s="109">
        <v>10457.52</v>
      </c>
      <c r="M14" s="109">
        <v>13322.054</v>
      </c>
      <c r="N14" s="139"/>
      <c r="R14" s="320">
        <f t="shared" si="1"/>
        <v>0.5769640327234825</v>
      </c>
      <c r="S14" s="320">
        <f t="shared" si="2"/>
        <v>0.2189933324095519</v>
      </c>
      <c r="T14" s="320">
        <f t="shared" si="3"/>
        <v>-0.03948951865830901</v>
      </c>
      <c r="U14" s="320">
        <f t="shared" si="4"/>
        <v>-0.07272507177446773</v>
      </c>
      <c r="V14" s="320">
        <f t="shared" si="5"/>
      </c>
      <c r="W14" s="320">
        <f t="shared" si="6"/>
        <v>-0.0853606358298803</v>
      </c>
      <c r="X14" s="320">
        <f t="shared" si="7"/>
        <v>-0.10113035122061502</v>
      </c>
      <c r="Y14" s="320">
        <f t="shared" si="8"/>
      </c>
      <c r="Z14" s="320">
        <f t="shared" si="9"/>
        <v>-0.15194383688881608</v>
      </c>
      <c r="AA14" s="320">
        <f t="shared" si="10"/>
        <v>-0.21502194781675554</v>
      </c>
    </row>
    <row r="15" spans="2:27" ht="12.75">
      <c r="B15" s="108">
        <v>42584</v>
      </c>
      <c r="C15" s="109">
        <v>19467.79</v>
      </c>
      <c r="D15" s="109">
        <v>16239.495</v>
      </c>
      <c r="E15" s="109">
        <v>13068.384999999998</v>
      </c>
      <c r="F15" s="109"/>
      <c r="G15" s="109">
        <v>13970.59</v>
      </c>
      <c r="H15" s="109">
        <v>12184.875</v>
      </c>
      <c r="I15" s="109">
        <v>12184.87</v>
      </c>
      <c r="J15" s="109">
        <v>10471.88</v>
      </c>
      <c r="K15" s="109">
        <v>11344.54</v>
      </c>
      <c r="L15" s="109">
        <v>11344.54</v>
      </c>
      <c r="M15" s="109">
        <v>13175.628571428573</v>
      </c>
      <c r="N15" s="139"/>
      <c r="R15" s="320">
        <f t="shared" si="1"/>
        <v>0.47756062600428917</v>
      </c>
      <c r="S15" s="320">
        <f t="shared" si="2"/>
        <v>0.2325404372141637</v>
      </c>
      <c r="T15" s="320">
        <f t="shared" si="3"/>
        <v>-0.008139541187517467</v>
      </c>
      <c r="U15" s="320">
        <f t="shared" si="4"/>
      </c>
      <c r="V15" s="320">
        <f t="shared" si="5"/>
        <v>0.06033574977176462</v>
      </c>
      <c r="W15" s="320">
        <f t="shared" si="6"/>
        <v>-0.07519592450997199</v>
      </c>
      <c r="X15" s="320">
        <f t="shared" si="7"/>
        <v>-0.07519630399850813</v>
      </c>
      <c r="Y15" s="320">
        <f t="shared" si="8"/>
        <v>-0.20520831752131116</v>
      </c>
      <c r="Z15" s="320">
        <f t="shared" si="9"/>
        <v>-0.13897542432239615</v>
      </c>
      <c r="AA15" s="320">
        <f t="shared" si="10"/>
        <v>-0.13897542432239615</v>
      </c>
    </row>
    <row r="16" spans="2:27" ht="12.75">
      <c r="B16" s="108">
        <v>42585</v>
      </c>
      <c r="C16" s="109"/>
      <c r="D16" s="109"/>
      <c r="E16" s="109"/>
      <c r="F16" s="109">
        <v>13162.788333333332</v>
      </c>
      <c r="G16" s="109"/>
      <c r="H16" s="109">
        <v>10924.37</v>
      </c>
      <c r="I16" s="109"/>
      <c r="J16" s="109"/>
      <c r="K16" s="109"/>
      <c r="L16" s="109"/>
      <c r="M16" s="109">
        <v>12843.014285714284</v>
      </c>
      <c r="N16" s="139"/>
      <c r="R16" s="320">
        <f t="shared" si="1"/>
      </c>
      <c r="S16" s="320">
        <f t="shared" si="2"/>
      </c>
      <c r="T16" s="320">
        <f t="shared" si="3"/>
      </c>
      <c r="U16" s="320">
        <f t="shared" si="4"/>
        <v>0.024898675692881834</v>
      </c>
      <c r="V16" s="320">
        <f t="shared" si="5"/>
      </c>
      <c r="W16" s="320">
        <f t="shared" si="6"/>
        <v>-0.14939205415729043</v>
      </c>
      <c r="X16" s="320">
        <f t="shared" si="7"/>
      </c>
      <c r="Y16" s="320">
        <f t="shared" si="8"/>
      </c>
      <c r="Z16" s="320">
        <f t="shared" si="9"/>
      </c>
      <c r="AA16" s="320">
        <f t="shared" si="10"/>
      </c>
    </row>
    <row r="17" spans="2:27" ht="12.75">
      <c r="B17" s="108">
        <v>42586</v>
      </c>
      <c r="C17" s="109"/>
      <c r="D17" s="109"/>
      <c r="E17" s="109"/>
      <c r="F17" s="109">
        <v>13400.868333333332</v>
      </c>
      <c r="G17" s="109">
        <v>14752.57</v>
      </c>
      <c r="H17" s="109">
        <v>13109.24</v>
      </c>
      <c r="I17" s="109"/>
      <c r="J17" s="109"/>
      <c r="K17" s="109"/>
      <c r="L17" s="109"/>
      <c r="M17" s="109">
        <v>13533.3775</v>
      </c>
      <c r="N17" s="139"/>
      <c r="R17" s="320">
        <f t="shared" si="1"/>
      </c>
      <c r="S17" s="320">
        <f t="shared" si="2"/>
      </c>
      <c r="T17" s="320">
        <f t="shared" si="3"/>
      </c>
      <c r="U17" s="320">
        <f t="shared" si="4"/>
        <v>-0.00979128577967093</v>
      </c>
      <c r="V17" s="320">
        <f t="shared" si="5"/>
        <v>0.09008782175772449</v>
      </c>
      <c r="W17" s="320">
        <f t="shared" si="6"/>
        <v>-0.03134010707969986</v>
      </c>
      <c r="X17" s="320">
        <f t="shared" si="7"/>
      </c>
      <c r="Y17" s="320">
        <f t="shared" si="8"/>
      </c>
      <c r="Z17" s="320">
        <f t="shared" si="9"/>
      </c>
      <c r="AA17" s="320">
        <f t="shared" si="10"/>
      </c>
    </row>
    <row r="18" spans="2:27" ht="12.75">
      <c r="B18" s="108">
        <v>42587</v>
      </c>
      <c r="C18" s="109"/>
      <c r="D18" s="109"/>
      <c r="E18" s="109"/>
      <c r="F18" s="109"/>
      <c r="G18" s="109"/>
      <c r="H18" s="109">
        <v>12605.044999999998</v>
      </c>
      <c r="I18" s="109"/>
      <c r="J18" s="109"/>
      <c r="K18" s="109"/>
      <c r="L18" s="109"/>
      <c r="M18" s="109">
        <v>12605.044999999998</v>
      </c>
      <c r="N18" s="139"/>
      <c r="R18" s="320">
        <f t="shared" si="1"/>
      </c>
      <c r="S18" s="320">
        <f t="shared" si="2"/>
      </c>
      <c r="T18" s="320">
        <f t="shared" si="3"/>
      </c>
      <c r="U18" s="320">
        <f t="shared" si="4"/>
      </c>
      <c r="V18" s="320">
        <f t="shared" si="5"/>
      </c>
      <c r="W18" s="320">
        <f t="shared" si="6"/>
        <v>0</v>
      </c>
      <c r="X18" s="320">
        <f t="shared" si="7"/>
      </c>
      <c r="Y18" s="320">
        <f t="shared" si="8"/>
      </c>
      <c r="Z18" s="320">
        <f t="shared" si="9"/>
      </c>
      <c r="AA18" s="320">
        <f t="shared" si="10"/>
      </c>
    </row>
    <row r="19" spans="2:27" ht="12.75">
      <c r="B19" s="108">
        <v>42590</v>
      </c>
      <c r="C19" s="109"/>
      <c r="D19" s="109">
        <v>16659.665</v>
      </c>
      <c r="E19" s="109">
        <v>12796.328</v>
      </c>
      <c r="F19" s="109">
        <v>13539.416000000001</v>
      </c>
      <c r="G19" s="109"/>
      <c r="H19" s="109">
        <v>11764.705</v>
      </c>
      <c r="I19" s="109">
        <v>12346.48</v>
      </c>
      <c r="J19" s="109"/>
      <c r="K19" s="109">
        <v>10457.52</v>
      </c>
      <c r="L19" s="109">
        <v>10924.37</v>
      </c>
      <c r="M19" s="109">
        <v>13073.872352941176</v>
      </c>
      <c r="N19" s="139"/>
      <c r="R19" s="320">
        <f t="shared" si="1"/>
      </c>
      <c r="S19" s="320">
        <f t="shared" si="2"/>
        <v>0.27427165802579856</v>
      </c>
      <c r="T19" s="320">
        <f t="shared" si="3"/>
        <v>-0.0212289324424021</v>
      </c>
      <c r="U19" s="320">
        <f t="shared" si="4"/>
        <v>0.03560870371769335</v>
      </c>
      <c r="V19" s="320">
        <f t="shared" si="5"/>
      </c>
      <c r="W19" s="320">
        <f t="shared" si="6"/>
        <v>-0.10013615840808315</v>
      </c>
      <c r="X19" s="320">
        <f t="shared" si="7"/>
        <v>-0.05563710072307217</v>
      </c>
      <c r="Y19" s="320">
        <f t="shared" si="8"/>
      </c>
      <c r="Z19" s="320">
        <f t="shared" si="9"/>
        <v>-0.200120689747486</v>
      </c>
      <c r="AA19" s="320">
        <f t="shared" si="10"/>
        <v>-0.16441206514132828</v>
      </c>
    </row>
    <row r="20" spans="2:27" ht="12.75">
      <c r="B20" s="108">
        <v>42591</v>
      </c>
      <c r="C20" s="109">
        <v>18907.56</v>
      </c>
      <c r="D20" s="109">
        <v>16659.665</v>
      </c>
      <c r="E20" s="109">
        <v>13310.923333333334</v>
      </c>
      <c r="F20" s="109">
        <v>12648.991666666667</v>
      </c>
      <c r="G20" s="109">
        <v>14478.16</v>
      </c>
      <c r="H20" s="109">
        <v>12184.8725</v>
      </c>
      <c r="I20" s="109">
        <v>12868.44</v>
      </c>
      <c r="J20" s="109">
        <v>11391.22</v>
      </c>
      <c r="K20" s="109">
        <v>11382.73</v>
      </c>
      <c r="L20" s="109"/>
      <c r="M20" s="109">
        <v>13322.956666666665</v>
      </c>
      <c r="N20" s="139"/>
      <c r="R20" s="320">
        <f t="shared" si="1"/>
        <v>0.41917147019668083</v>
      </c>
      <c r="S20" s="320">
        <f t="shared" si="2"/>
        <v>0.25044803618416056</v>
      </c>
      <c r="T20" s="320">
        <f t="shared" si="3"/>
        <v>-0.0009032029176705043</v>
      </c>
      <c r="U20" s="320">
        <f t="shared" si="4"/>
        <v>-0.05058674413362187</v>
      </c>
      <c r="V20" s="320">
        <f t="shared" si="5"/>
        <v>0.08670773029109917</v>
      </c>
      <c r="W20" s="320">
        <f t="shared" si="6"/>
        <v>-0.08542279278848758</v>
      </c>
      <c r="X20" s="320">
        <f t="shared" si="7"/>
        <v>-0.03411530023240572</v>
      </c>
      <c r="Y20" s="320">
        <f t="shared" si="8"/>
        <v>-0.14499309087297185</v>
      </c>
      <c r="Z20" s="320">
        <f t="shared" si="9"/>
        <v>-0.14563033680962204</v>
      </c>
      <c r="AA20" s="320">
        <f t="shared" si="10"/>
      </c>
    </row>
    <row r="21" spans="2:27" ht="12.75">
      <c r="B21" s="108">
        <v>42592</v>
      </c>
      <c r="C21" s="109">
        <v>17795.786666666667</v>
      </c>
      <c r="D21" s="109">
        <v>17016.81</v>
      </c>
      <c r="E21" s="109">
        <v>13522.269999999999</v>
      </c>
      <c r="F21" s="109">
        <v>12829.673333333334</v>
      </c>
      <c r="G21" s="109"/>
      <c r="H21" s="109">
        <v>12044.816666666666</v>
      </c>
      <c r="I21" s="109">
        <v>13082.67</v>
      </c>
      <c r="J21" s="109"/>
      <c r="K21" s="109"/>
      <c r="L21" s="109">
        <v>11323.53</v>
      </c>
      <c r="M21" s="109">
        <v>13805.365714285714</v>
      </c>
      <c r="N21" s="139"/>
      <c r="R21" s="320">
        <f t="shared" si="1"/>
        <v>0.28904855075673136</v>
      </c>
      <c r="S21" s="320">
        <f t="shared" si="2"/>
        <v>0.2326229056279982</v>
      </c>
      <c r="T21" s="320">
        <f t="shared" si="3"/>
        <v>-0.020506208972991512</v>
      </c>
      <c r="U21" s="320">
        <f t="shared" si="4"/>
        <v>-0.0706748666529521</v>
      </c>
      <c r="V21" s="320">
        <f t="shared" si="5"/>
      </c>
      <c r="W21" s="320">
        <f t="shared" si="6"/>
        <v>-0.12752643313152087</v>
      </c>
      <c r="X21" s="320">
        <f t="shared" si="7"/>
        <v>-0.052348900365447926</v>
      </c>
      <c r="Y21" s="320">
        <f t="shared" si="8"/>
      </c>
      <c r="Z21" s="320">
        <f t="shared" si="9"/>
      </c>
      <c r="AA21" s="320">
        <f t="shared" si="10"/>
        <v>-0.17977326828202195</v>
      </c>
    </row>
    <row r="22" spans="2:27" ht="12.75">
      <c r="B22" s="108">
        <v>42593</v>
      </c>
      <c r="C22" s="109"/>
      <c r="D22" s="109">
        <v>16722.69</v>
      </c>
      <c r="E22" s="109">
        <v>13201.386666666665</v>
      </c>
      <c r="F22" s="109">
        <v>12590.877142857145</v>
      </c>
      <c r="G22" s="109"/>
      <c r="H22" s="109">
        <v>11344.535</v>
      </c>
      <c r="I22" s="109">
        <v>14249.18</v>
      </c>
      <c r="J22" s="109"/>
      <c r="K22" s="109">
        <v>12184.87</v>
      </c>
      <c r="L22" s="109"/>
      <c r="M22" s="109">
        <v>13037.696666666665</v>
      </c>
      <c r="N22" s="139"/>
      <c r="R22" s="320">
        <f t="shared" si="1"/>
      </c>
      <c r="S22" s="320">
        <f t="shared" si="2"/>
        <v>0.28264143794315416</v>
      </c>
      <c r="T22" s="320">
        <f t="shared" si="3"/>
        <v>0.012555131798587164</v>
      </c>
      <c r="U22" s="320">
        <f t="shared" si="4"/>
        <v>-0.03427135446032412</v>
      </c>
      <c r="V22" s="320">
        <f t="shared" si="5"/>
      </c>
      <c r="W22" s="320">
        <f t="shared" si="6"/>
        <v>-0.12986662521421846</v>
      </c>
      <c r="X22" s="320">
        <f t="shared" si="7"/>
        <v>0.09292157689407834</v>
      </c>
      <c r="Y22" s="320">
        <f t="shared" si="8"/>
      </c>
      <c r="Z22" s="320">
        <f t="shared" si="9"/>
        <v>-0.0654123721751463</v>
      </c>
      <c r="AA22" s="320">
        <f t="shared" si="10"/>
      </c>
    </row>
    <row r="23" spans="2:27" ht="12.75">
      <c r="B23" s="108">
        <v>42594</v>
      </c>
      <c r="C23" s="109">
        <v>19537.815000000002</v>
      </c>
      <c r="D23" s="109">
        <v>16722.69</v>
      </c>
      <c r="E23" s="109">
        <v>13314.216666666667</v>
      </c>
      <c r="F23" s="109">
        <v>12223.431428571432</v>
      </c>
      <c r="G23" s="109">
        <v>14825.93</v>
      </c>
      <c r="H23" s="109">
        <v>11344.535</v>
      </c>
      <c r="I23" s="109">
        <v>12996.035</v>
      </c>
      <c r="J23" s="109">
        <v>11297.85</v>
      </c>
      <c r="K23" s="109">
        <v>11333.619999999999</v>
      </c>
      <c r="L23" s="109">
        <v>11335.203333333333</v>
      </c>
      <c r="M23" s="109">
        <v>13180.218</v>
      </c>
      <c r="N23" s="139"/>
      <c r="R23" s="320">
        <f t="shared" si="1"/>
        <v>0.48235901712703094</v>
      </c>
      <c r="S23" s="320">
        <f t="shared" si="2"/>
        <v>0.26877188222531656</v>
      </c>
      <c r="T23" s="320">
        <f t="shared" si="3"/>
        <v>0.010166650253179909</v>
      </c>
      <c r="U23" s="320">
        <f t="shared" si="4"/>
        <v>-0.07259262111055895</v>
      </c>
      <c r="V23" s="320">
        <f t="shared" si="5"/>
        <v>0.12486227466040391</v>
      </c>
      <c r="W23" s="320">
        <f t="shared" si="6"/>
        <v>-0.1392756174442639</v>
      </c>
      <c r="X23" s="320">
        <f t="shared" si="7"/>
        <v>-0.013974199819760258</v>
      </c>
      <c r="Y23" s="320">
        <f t="shared" si="8"/>
        <v>-0.14281766811444244</v>
      </c>
      <c r="Z23" s="320">
        <f t="shared" si="9"/>
        <v>-0.14010375245690182</v>
      </c>
      <c r="AA23" s="320">
        <f t="shared" si="10"/>
        <v>-0.13998362293147715</v>
      </c>
    </row>
    <row r="24" spans="2:27" ht="12.75">
      <c r="B24" s="108">
        <v>42598</v>
      </c>
      <c r="C24" s="109">
        <v>20028.01</v>
      </c>
      <c r="D24" s="109">
        <v>18277.31</v>
      </c>
      <c r="E24" s="109">
        <v>13650.073333333332</v>
      </c>
      <c r="F24" s="109">
        <v>12284.584444444445</v>
      </c>
      <c r="G24" s="109"/>
      <c r="H24" s="109">
        <v>11484.593333333332</v>
      </c>
      <c r="I24" s="109">
        <v>14073.24</v>
      </c>
      <c r="J24" s="109">
        <v>11134.45</v>
      </c>
      <c r="K24" s="109">
        <v>11391.22</v>
      </c>
      <c r="L24" s="109"/>
      <c r="M24" s="109">
        <v>13776.4204</v>
      </c>
      <c r="N24" s="139"/>
      <c r="R24" s="320">
        <f t="shared" si="1"/>
        <v>0.45378911346230383</v>
      </c>
      <c r="S24" s="320">
        <f t="shared" si="2"/>
        <v>0.32670965819248665</v>
      </c>
      <c r="T24" s="320">
        <f t="shared" si="3"/>
        <v>-0.009171255159044723</v>
      </c>
      <c r="U24" s="320">
        <f t="shared" si="4"/>
        <v>-0.108289084699793</v>
      </c>
      <c r="V24" s="320">
        <f t="shared" si="5"/>
      </c>
      <c r="W24" s="320">
        <f t="shared" si="6"/>
        <v>-0.16635867664626933</v>
      </c>
      <c r="X24" s="320">
        <f t="shared" si="7"/>
        <v>0.021545480711375423</v>
      </c>
      <c r="Y24" s="320">
        <f t="shared" si="8"/>
        <v>-0.19177480965955424</v>
      </c>
      <c r="Z24" s="320">
        <f t="shared" si="9"/>
        <v>-0.17313644116145013</v>
      </c>
      <c r="AA24" s="320">
        <f t="shared" si="10"/>
      </c>
    </row>
    <row r="25" spans="2:27" ht="12.75">
      <c r="B25" s="108">
        <v>42599</v>
      </c>
      <c r="C25" s="109">
        <v>18411</v>
      </c>
      <c r="D25" s="109">
        <v>17351.705</v>
      </c>
      <c r="E25" s="109">
        <v>13682.443333333335</v>
      </c>
      <c r="F25" s="109">
        <v>12123.423333333332</v>
      </c>
      <c r="G25" s="109">
        <v>13903.74</v>
      </c>
      <c r="H25" s="109">
        <v>10924.37</v>
      </c>
      <c r="I25" s="109">
        <v>11762.025000000001</v>
      </c>
      <c r="J25" s="109"/>
      <c r="K25" s="109"/>
      <c r="L25" s="109">
        <v>9243.7</v>
      </c>
      <c r="M25" s="109">
        <v>13079.028333333337</v>
      </c>
      <c r="N25" s="139"/>
      <c r="R25" s="320">
        <f t="shared" si="1"/>
        <v>0.4076733783867987</v>
      </c>
      <c r="S25" s="320">
        <f t="shared" si="2"/>
        <v>0.32668150551958663</v>
      </c>
      <c r="T25" s="320">
        <f t="shared" si="3"/>
        <v>0.046136072544634525</v>
      </c>
      <c r="U25" s="320">
        <f t="shared" si="4"/>
        <v>-0.0730639138967641</v>
      </c>
      <c r="V25" s="320">
        <f t="shared" si="5"/>
        <v>0.06305603487109164</v>
      </c>
      <c r="W25" s="320">
        <f t="shared" si="6"/>
        <v>-0.16474146843477305</v>
      </c>
      <c r="X25" s="320">
        <f t="shared" si="7"/>
        <v>-0.10069580856987735</v>
      </c>
      <c r="Y25" s="320">
        <f t="shared" si="8"/>
      </c>
      <c r="Z25" s="320">
        <f t="shared" si="9"/>
      </c>
      <c r="AA25" s="320">
        <f t="shared" si="10"/>
        <v>-0.29324260454108675</v>
      </c>
    </row>
    <row r="26" spans="2:27" ht="12.75">
      <c r="B26" s="108">
        <v>42600</v>
      </c>
      <c r="C26" s="109">
        <v>20588.235</v>
      </c>
      <c r="D26" s="109">
        <v>17293.485</v>
      </c>
      <c r="E26" s="109">
        <v>13500.839999999998</v>
      </c>
      <c r="F26" s="109">
        <v>12105.711428571429</v>
      </c>
      <c r="G26" s="109"/>
      <c r="H26" s="109">
        <v>11484.593333333332</v>
      </c>
      <c r="I26" s="109">
        <v>13636.36</v>
      </c>
      <c r="J26" s="109"/>
      <c r="K26" s="109">
        <v>11349.326666666668</v>
      </c>
      <c r="L26" s="109">
        <v>10504.2</v>
      </c>
      <c r="M26" s="109">
        <v>13347.648181818182</v>
      </c>
      <c r="N26" s="139"/>
      <c r="R26" s="320">
        <f t="shared" si="1"/>
        <v>0.5424616171742342</v>
      </c>
      <c r="S26" s="320">
        <f t="shared" si="2"/>
        <v>0.2956203792932402</v>
      </c>
      <c r="T26" s="320">
        <f t="shared" si="3"/>
        <v>0.011477064430757945</v>
      </c>
      <c r="U26" s="320">
        <f t="shared" si="4"/>
        <v>-0.09304536172435883</v>
      </c>
      <c r="V26" s="320">
        <f t="shared" si="5"/>
      </c>
      <c r="W26" s="320">
        <f t="shared" si="6"/>
        <v>-0.13957925944007532</v>
      </c>
      <c r="X26" s="320">
        <f t="shared" si="7"/>
        <v>0.021630163924690072</v>
      </c>
      <c r="Y26" s="320">
        <f t="shared" si="8"/>
      </c>
      <c r="Z26" s="320">
        <f t="shared" si="9"/>
        <v>-0.14971337931078943</v>
      </c>
      <c r="AA26" s="320">
        <f t="shared" si="10"/>
        <v>-0.21302990182880696</v>
      </c>
    </row>
    <row r="27" spans="2:27" ht="12.75">
      <c r="B27" s="108">
        <v>42601</v>
      </c>
      <c r="C27" s="109"/>
      <c r="D27" s="109">
        <v>16643.323333333334</v>
      </c>
      <c r="E27" s="109">
        <v>13979.313333333334</v>
      </c>
      <c r="F27" s="109">
        <v>12072.668571428572</v>
      </c>
      <c r="G27" s="109"/>
      <c r="H27" s="109">
        <v>11484.593333333332</v>
      </c>
      <c r="I27" s="109">
        <v>13795.52</v>
      </c>
      <c r="J27" s="109">
        <v>10714.29</v>
      </c>
      <c r="K27" s="109">
        <v>11321.033333333333</v>
      </c>
      <c r="L27" s="109">
        <v>10084.035</v>
      </c>
      <c r="M27" s="109">
        <v>12585.710869565219</v>
      </c>
      <c r="N27" s="139"/>
      <c r="R27" s="320">
        <f t="shared" si="1"/>
      </c>
      <c r="S27" s="320">
        <f t="shared" si="2"/>
        <v>0.3223983536424818</v>
      </c>
      <c r="T27" s="320">
        <f t="shared" si="3"/>
        <v>0.11072894318096295</v>
      </c>
      <c r="U27" s="320">
        <f t="shared" si="4"/>
        <v>-0.04076387130243759</v>
      </c>
      <c r="V27" s="320">
        <f t="shared" si="5"/>
      </c>
      <c r="W27" s="320">
        <f t="shared" si="6"/>
        <v>-0.0874894988168376</v>
      </c>
      <c r="X27" s="320">
        <f t="shared" si="7"/>
        <v>0.09612560966741605</v>
      </c>
      <c r="Y27" s="320">
        <f t="shared" si="8"/>
        <v>-0.14869409356055446</v>
      </c>
      <c r="Z27" s="320">
        <f t="shared" si="9"/>
        <v>-0.10048518906390345</v>
      </c>
      <c r="AA27" s="320">
        <f t="shared" si="10"/>
        <v>-0.19877112190895585</v>
      </c>
    </row>
    <row r="28" spans="2:27" ht="12.75">
      <c r="B28" s="108">
        <v>42604</v>
      </c>
      <c r="C28" s="109">
        <v>18207.283333333336</v>
      </c>
      <c r="D28" s="109">
        <v>17731.09</v>
      </c>
      <c r="E28" s="109">
        <v>13438.006666666666</v>
      </c>
      <c r="F28" s="109">
        <v>12367.970000000001</v>
      </c>
      <c r="G28" s="109"/>
      <c r="H28" s="109">
        <v>10504.2</v>
      </c>
      <c r="I28" s="109">
        <v>12184.87</v>
      </c>
      <c r="J28" s="109"/>
      <c r="K28" s="109">
        <v>11344.54</v>
      </c>
      <c r="L28" s="109">
        <v>10084.035</v>
      </c>
      <c r="M28" s="109">
        <v>13668.706666666669</v>
      </c>
      <c r="N28" s="139"/>
      <c r="R28" s="320">
        <f t="shared" si="1"/>
        <v>0.33204141235503387</v>
      </c>
      <c r="S28" s="320">
        <f t="shared" si="2"/>
        <v>0.29720319796166994</v>
      </c>
      <c r="T28" s="320">
        <f t="shared" si="3"/>
        <v>-0.01687796845934235</v>
      </c>
      <c r="U28" s="320">
        <f t="shared" si="4"/>
        <v>-0.0951616490416553</v>
      </c>
      <c r="V28" s="320">
        <f t="shared" si="5"/>
      </c>
      <c r="W28" s="320">
        <f t="shared" si="6"/>
        <v>-0.2315147104871176</v>
      </c>
      <c r="X28" s="320">
        <f t="shared" si="7"/>
        <v>-0.10855721048467895</v>
      </c>
      <c r="Y28" s="320">
        <f t="shared" si="8"/>
      </c>
      <c r="Z28" s="320">
        <f t="shared" si="9"/>
        <v>-0.17003559468684193</v>
      </c>
      <c r="AA28" s="320">
        <f t="shared" si="10"/>
        <v>-0.26225390258819914</v>
      </c>
    </row>
    <row r="29" spans="2:27" ht="12.75">
      <c r="B29" s="108">
        <v>42605</v>
      </c>
      <c r="C29" s="109">
        <v>18487.39</v>
      </c>
      <c r="D29" s="109">
        <v>17731.09</v>
      </c>
      <c r="E29" s="109">
        <v>13567.193333333335</v>
      </c>
      <c r="F29" s="109">
        <v>12643.461666666668</v>
      </c>
      <c r="G29" s="109">
        <v>14942.295</v>
      </c>
      <c r="H29" s="109">
        <v>10364.143333333333</v>
      </c>
      <c r="I29" s="109">
        <v>11344.54</v>
      </c>
      <c r="J29" s="109">
        <v>10457.52</v>
      </c>
      <c r="K29" s="109">
        <v>11344.54</v>
      </c>
      <c r="L29" s="109">
        <v>10084.035</v>
      </c>
      <c r="M29" s="109">
        <v>13153.682608695653</v>
      </c>
      <c r="N29" s="139"/>
      <c r="R29" s="320">
        <f t="shared" si="1"/>
        <v>0.40549156840521083</v>
      </c>
      <c r="S29" s="320">
        <f t="shared" si="2"/>
        <v>0.34799436229959724</v>
      </c>
      <c r="T29" s="320">
        <f t="shared" si="3"/>
        <v>0.031436878700746275</v>
      </c>
      <c r="U29" s="320">
        <f t="shared" si="4"/>
        <v>-0.03878920886320368</v>
      </c>
      <c r="V29" s="320">
        <f t="shared" si="5"/>
        <v>0.13597807127579073</v>
      </c>
      <c r="W29" s="320">
        <f t="shared" si="6"/>
        <v>-0.21207287406480432</v>
      </c>
      <c r="X29" s="320">
        <f t="shared" si="7"/>
        <v>-0.13753886744231325</v>
      </c>
      <c r="Y29" s="320">
        <f t="shared" si="8"/>
        <v>-0.20497397488618666</v>
      </c>
      <c r="Z29" s="320">
        <f t="shared" si="9"/>
        <v>-0.13753886744231325</v>
      </c>
      <c r="AA29" s="320">
        <f t="shared" si="10"/>
        <v>-0.233367924406688</v>
      </c>
    </row>
    <row r="30" spans="2:27" ht="12.75">
      <c r="B30" s="108">
        <v>42606</v>
      </c>
      <c r="C30" s="109"/>
      <c r="D30" s="109">
        <v>17731.09</v>
      </c>
      <c r="E30" s="109">
        <v>13755.5</v>
      </c>
      <c r="F30" s="109">
        <v>12577.832</v>
      </c>
      <c r="G30" s="109"/>
      <c r="H30" s="109">
        <v>10924.37</v>
      </c>
      <c r="I30" s="109">
        <v>11247.58</v>
      </c>
      <c r="J30" s="109"/>
      <c r="K30" s="109">
        <v>11344.54</v>
      </c>
      <c r="L30" s="109">
        <v>10189.075</v>
      </c>
      <c r="M30" s="109">
        <v>13068.70235294118</v>
      </c>
      <c r="N30" s="139"/>
      <c r="R30" s="320">
        <f t="shared" si="1"/>
      </c>
      <c r="S30" s="320">
        <f t="shared" si="2"/>
        <v>0.3567598007165207</v>
      </c>
      <c r="T30" s="320">
        <f t="shared" si="3"/>
        <v>0.052552857086400215</v>
      </c>
      <c r="U30" s="320">
        <f t="shared" si="4"/>
        <v>-0.037560756966104336</v>
      </c>
      <c r="V30" s="320">
        <f t="shared" si="5"/>
      </c>
      <c r="W30" s="320">
        <f t="shared" si="6"/>
        <v>-0.16408150518927275</v>
      </c>
      <c r="X30" s="320">
        <f t="shared" si="7"/>
        <v>-0.13934989899982891</v>
      </c>
      <c r="Y30" s="320">
        <f t="shared" si="8"/>
      </c>
      <c r="Z30" s="320">
        <f t="shared" si="9"/>
        <v>-0.13193064669906934</v>
      </c>
      <c r="AA30" s="320">
        <f t="shared" si="10"/>
        <v>-0.22034531625040063</v>
      </c>
    </row>
    <row r="31" spans="2:28" ht="12.75">
      <c r="B31" s="108">
        <v>42607</v>
      </c>
      <c r="C31" s="109">
        <v>20448.18</v>
      </c>
      <c r="D31" s="109">
        <v>17450.98</v>
      </c>
      <c r="E31" s="109">
        <v>13356.922499999999</v>
      </c>
      <c r="F31" s="109">
        <v>12324.937999999998</v>
      </c>
      <c r="G31" s="109"/>
      <c r="H31" s="109">
        <v>10924.37</v>
      </c>
      <c r="I31" s="109">
        <v>10574.23</v>
      </c>
      <c r="J31" s="109"/>
      <c r="K31" s="109">
        <v>11344.54</v>
      </c>
      <c r="L31" s="109"/>
      <c r="M31" s="109">
        <v>14193.095500000001</v>
      </c>
      <c r="N31" s="139"/>
      <c r="R31" s="320">
        <f t="shared" si="1"/>
        <v>0.4407131974839455</v>
      </c>
      <c r="S31" s="320">
        <f t="shared" si="2"/>
        <v>0.22954009574585038</v>
      </c>
      <c r="T31" s="320">
        <f t="shared" si="3"/>
        <v>-0.058914068463782436</v>
      </c>
      <c r="U31" s="320">
        <f t="shared" si="4"/>
        <v>-0.13162438736496931</v>
      </c>
      <c r="V31" s="320">
        <f t="shared" si="5"/>
      </c>
      <c r="W31" s="320">
        <f t="shared" si="6"/>
        <v>-0.23030391784512408</v>
      </c>
      <c r="X31" s="320">
        <f t="shared" si="7"/>
        <v>-0.2549736595515757</v>
      </c>
      <c r="Y31" s="320">
        <f t="shared" si="8"/>
      </c>
      <c r="Z31" s="320">
        <f t="shared" si="9"/>
        <v>-0.200700086883795</v>
      </c>
      <c r="AA31" s="320">
        <f t="shared" si="10"/>
      </c>
      <c r="AB31" s="327"/>
    </row>
    <row r="32" spans="2:27" ht="12.75">
      <c r="B32" s="108">
        <v>42608</v>
      </c>
      <c r="C32" s="109"/>
      <c r="D32" s="109">
        <v>16456.583333333332</v>
      </c>
      <c r="E32" s="109">
        <v>13445.38</v>
      </c>
      <c r="F32" s="109">
        <v>12420.427142857141</v>
      </c>
      <c r="G32" s="109">
        <v>13918.985</v>
      </c>
      <c r="H32" s="109">
        <v>10364.143333333333</v>
      </c>
      <c r="I32" s="109">
        <v>10504.2</v>
      </c>
      <c r="J32" s="109">
        <v>11134.45</v>
      </c>
      <c r="K32" s="109"/>
      <c r="L32" s="109">
        <v>11322.42</v>
      </c>
      <c r="M32" s="109">
        <v>12712.490909090908</v>
      </c>
      <c r="N32" s="139"/>
      <c r="R32" s="320">
        <f t="shared" si="1"/>
      </c>
      <c r="S32" s="320">
        <f t="shared" si="2"/>
        <v>0.2945207552962703</v>
      </c>
      <c r="T32" s="320">
        <f t="shared" si="3"/>
        <v>0.057651100492429115</v>
      </c>
      <c r="U32" s="320">
        <f t="shared" si="4"/>
        <v>-0.022974550646475366</v>
      </c>
      <c r="V32" s="320">
        <f t="shared" si="5"/>
        <v>0.09490619104760259</v>
      </c>
      <c r="W32" s="320">
        <f t="shared" si="6"/>
        <v>-0.1847275716892142</v>
      </c>
      <c r="X32" s="320">
        <f t="shared" si="7"/>
        <v>-0.17371032356150773</v>
      </c>
      <c r="Y32" s="320">
        <f t="shared" si="8"/>
        <v>-0.12413310030077775</v>
      </c>
      <c r="Z32" s="320">
        <f t="shared" si="9"/>
      </c>
      <c r="AA32" s="320">
        <f t="shared" si="10"/>
        <v>-0.10934685570526902</v>
      </c>
    </row>
    <row r="33" spans="2:27" ht="12.75">
      <c r="B33" s="108">
        <v>42611</v>
      </c>
      <c r="C33" s="109">
        <v>18067.23</v>
      </c>
      <c r="D33" s="109">
        <v>15976.08</v>
      </c>
      <c r="E33" s="109">
        <v>12943.029999999999</v>
      </c>
      <c r="F33" s="109">
        <v>13913.026666666667</v>
      </c>
      <c r="G33" s="109"/>
      <c r="H33" s="109">
        <v>10644.256666666668</v>
      </c>
      <c r="I33" s="109">
        <v>10504.2</v>
      </c>
      <c r="J33" s="109"/>
      <c r="K33" s="109"/>
      <c r="L33" s="109">
        <v>10924.37</v>
      </c>
      <c r="M33" s="109">
        <v>13119.215625000003</v>
      </c>
      <c r="N33" s="139"/>
      <c r="R33" s="320">
        <f t="shared" si="1"/>
        <v>0.3771577902547048</v>
      </c>
      <c r="S33" s="320">
        <f t="shared" si="2"/>
        <v>0.21776182789129184</v>
      </c>
      <c r="T33" s="320">
        <f t="shared" si="3"/>
        <v>-0.01342958527674963</v>
      </c>
      <c r="U33" s="320">
        <f t="shared" si="4"/>
        <v>0.06050750779291837</v>
      </c>
      <c r="V33" s="320">
        <f t="shared" si="5"/>
      </c>
      <c r="W33" s="320">
        <f t="shared" si="6"/>
        <v>-0.18865144297324057</v>
      </c>
      <c r="X33" s="320">
        <f t="shared" si="7"/>
        <v>-0.1993271320289014</v>
      </c>
      <c r="Y33" s="320">
        <f t="shared" si="8"/>
      </c>
      <c r="Z33" s="320">
        <f t="shared" si="9"/>
      </c>
      <c r="AA33" s="320">
        <f t="shared" si="10"/>
        <v>-0.167300064861919</v>
      </c>
    </row>
    <row r="34" spans="2:27" ht="12.75">
      <c r="B34" s="108">
        <v>42612</v>
      </c>
      <c r="C34" s="109">
        <v>19374.656666666666</v>
      </c>
      <c r="D34" s="109">
        <v>15952.38</v>
      </c>
      <c r="E34" s="109">
        <v>13343.3375</v>
      </c>
      <c r="F34" s="109">
        <v>11854.038333333336</v>
      </c>
      <c r="G34" s="109">
        <v>15071.25</v>
      </c>
      <c r="H34" s="109">
        <v>10644.256666666668</v>
      </c>
      <c r="I34" s="109"/>
      <c r="J34" s="109">
        <v>11134.45</v>
      </c>
      <c r="K34" s="109">
        <v>10661.765</v>
      </c>
      <c r="L34" s="109"/>
      <c r="M34" s="109">
        <v>13144.108181818183</v>
      </c>
      <c r="N34" s="139"/>
      <c r="R34" s="320">
        <f t="shared" si="1"/>
        <v>0.47401835093437517</v>
      </c>
      <c r="S34" s="320">
        <f t="shared" si="2"/>
        <v>0.21365251862932833</v>
      </c>
      <c r="T34" s="320">
        <f t="shared" si="3"/>
        <v>0.015157309680196044</v>
      </c>
      <c r="U34" s="320">
        <f t="shared" si="4"/>
        <v>-0.09814814597078247</v>
      </c>
      <c r="V34" s="320">
        <f t="shared" si="5"/>
        <v>0.1466163996464644</v>
      </c>
      <c r="W34" s="320">
        <f t="shared" si="6"/>
        <v>-0.19018798997785777</v>
      </c>
      <c r="X34" s="320">
        <f t="shared" si="7"/>
      </c>
      <c r="Y34" s="320">
        <f t="shared" si="8"/>
        <v>-0.15289422104712108</v>
      </c>
      <c r="Z34" s="320">
        <f t="shared" si="9"/>
        <v>-0.18885596097359636</v>
      </c>
      <c r="AA34" s="320">
        <f t="shared" si="10"/>
      </c>
    </row>
    <row r="35" spans="2:28" ht="12.75">
      <c r="B35" s="63">
        <v>42613</v>
      </c>
      <c r="C35" s="36">
        <v>20168.07</v>
      </c>
      <c r="D35" s="36">
        <v>16029.41</v>
      </c>
      <c r="E35" s="36">
        <v>13305.323333333332</v>
      </c>
      <c r="F35" s="36">
        <v>11643.038</v>
      </c>
      <c r="G35" s="36"/>
      <c r="H35" s="36">
        <v>11344.535</v>
      </c>
      <c r="I35" s="36">
        <v>10193.64</v>
      </c>
      <c r="J35" s="36"/>
      <c r="K35" s="36">
        <v>10460.74</v>
      </c>
      <c r="L35" s="36">
        <v>10317.46</v>
      </c>
      <c r="M35" s="36">
        <v>12394.188125</v>
      </c>
      <c r="N35" s="139"/>
      <c r="R35" s="320">
        <f t="shared" si="1"/>
        <v>0.6272199353920972</v>
      </c>
      <c r="S35" s="320">
        <f t="shared" si="2"/>
        <v>0.2933005242729442</v>
      </c>
      <c r="T35" s="320">
        <f t="shared" si="3"/>
        <v>0.0735131013943143</v>
      </c>
      <c r="U35" s="320">
        <f t="shared" si="4"/>
        <v>-0.06060502853630843</v>
      </c>
      <c r="V35" s="320">
        <f t="shared" si="5"/>
      </c>
      <c r="W35" s="320">
        <f t="shared" si="6"/>
        <v>-0.0846891393299713</v>
      </c>
      <c r="X35" s="320">
        <f t="shared" si="7"/>
        <v>-0.17754677456939125</v>
      </c>
      <c r="Y35" s="320">
        <f t="shared" si="8"/>
      </c>
      <c r="Z35" s="320">
        <f t="shared" si="9"/>
        <v>-0.15599635131405598</v>
      </c>
      <c r="AA35" s="320">
        <f t="shared" si="10"/>
        <v>-0.16755660831152677</v>
      </c>
      <c r="AB35" s="327"/>
    </row>
    <row r="36" spans="2:27" ht="12.75">
      <c r="B36" s="116" t="s">
        <v>196</v>
      </c>
      <c r="F36" s="64"/>
      <c r="G36" s="64"/>
      <c r="H36" s="64"/>
      <c r="I36" s="64"/>
      <c r="J36" s="64"/>
      <c r="K36" s="64"/>
      <c r="L36" s="64"/>
      <c r="R36" s="321"/>
      <c r="S36" s="321"/>
      <c r="T36" s="321"/>
      <c r="U36" s="321"/>
      <c r="V36" s="321"/>
      <c r="W36" s="321"/>
      <c r="X36" s="321"/>
      <c r="Y36" s="321"/>
      <c r="Z36" s="321"/>
      <c r="AA36" s="321"/>
    </row>
    <row r="37" spans="17:28" ht="12.75">
      <c r="Q37" s="297" t="s">
        <v>199</v>
      </c>
      <c r="R37" s="295">
        <f>+AVERAGE(C14:C35)</f>
        <v>19321.243333333336</v>
      </c>
      <c r="S37" s="295">
        <f aca="true" t="shared" si="11" ref="S37:AA37">+AVERAGE(D14:D35)</f>
        <v>16888.686140350877</v>
      </c>
      <c r="T37" s="295">
        <f t="shared" si="11"/>
        <v>13367.202394736838</v>
      </c>
      <c r="U37" s="295">
        <f t="shared" si="11"/>
        <v>12554.018624603175</v>
      </c>
      <c r="V37" s="295">
        <f t="shared" si="11"/>
        <v>14482.94</v>
      </c>
      <c r="W37" s="295">
        <f t="shared" si="11"/>
        <v>11399.286098484848</v>
      </c>
      <c r="X37" s="295">
        <f t="shared" si="11"/>
        <v>12195.715000000004</v>
      </c>
      <c r="Y37" s="295">
        <f t="shared" si="11"/>
        <v>10967.013749999998</v>
      </c>
      <c r="Z37" s="295">
        <f t="shared" si="11"/>
        <v>11237.558333333332</v>
      </c>
      <c r="AA37" s="295">
        <f t="shared" si="11"/>
        <v>10581.320952380951</v>
      </c>
      <c r="AB37" s="295">
        <f>+AVERAGE(M14:M35)</f>
        <v>13188.283023256017</v>
      </c>
    </row>
    <row r="38" spans="18:28" ht="12.75">
      <c r="R38" s="280">
        <f aca="true" t="shared" si="12" ref="R38:AA38">+(R37-$AB$37)/$AB$37</f>
        <v>0.46503098995241077</v>
      </c>
      <c r="S38" s="280">
        <f t="shared" si="12"/>
        <v>0.2805826285779298</v>
      </c>
      <c r="T38" s="280">
        <f t="shared" si="12"/>
        <v>0.013566540175496461</v>
      </c>
      <c r="U38" s="280">
        <f t="shared" si="12"/>
        <v>-0.0480930229912711</v>
      </c>
      <c r="V38" s="280">
        <f t="shared" si="12"/>
        <v>0.09816721209735982</v>
      </c>
      <c r="W38" s="280">
        <f t="shared" si="12"/>
        <v>-0.13565048017368742</v>
      </c>
      <c r="X38" s="280">
        <f t="shared" si="12"/>
        <v>-0.07526135293773527</v>
      </c>
      <c r="Y38" s="280">
        <f t="shared" si="12"/>
        <v>-0.16842747985761805</v>
      </c>
      <c r="Z38" s="280">
        <f t="shared" si="12"/>
        <v>-0.14791346883311546</v>
      </c>
      <c r="AA38" s="280">
        <f t="shared" si="12"/>
        <v>-0.19767259060773787</v>
      </c>
      <c r="AB38" s="321"/>
    </row>
    <row r="40" spans="18:27" ht="12.75">
      <c r="R40" s="326">
        <f aca="true" t="shared" si="13" ref="R40:AA40">+_xlfn.AVERAGEIF(R14:R35,"&lt;&gt;#¡DIV/0!")</f>
        <v>0.450405004332637</v>
      </c>
      <c r="S40" s="326">
        <f t="shared" si="13"/>
        <v>0.27802277205744275</v>
      </c>
      <c r="T40" s="326">
        <f t="shared" si="13"/>
        <v>0.012248148843389406</v>
      </c>
      <c r="U40" s="326">
        <f t="shared" si="13"/>
        <v>-0.04948265078604773</v>
      </c>
      <c r="V40" s="326">
        <f t="shared" si="13"/>
        <v>0.10031878416524267</v>
      </c>
      <c r="W40" s="326">
        <f t="shared" si="13"/>
        <v>-0.13490520015718063</v>
      </c>
      <c r="X40" s="326">
        <f t="shared" si="13"/>
        <v>-0.07732661113168467</v>
      </c>
      <c r="Y40" s="326">
        <f t="shared" si="13"/>
        <v>-0.16443615949536497</v>
      </c>
      <c r="Z40" s="326">
        <f t="shared" si="13"/>
        <v>-0.15003859532907887</v>
      </c>
      <c r="AA40" s="326">
        <f t="shared" si="13"/>
        <v>-0.19309861634977363</v>
      </c>
    </row>
    <row r="41" spans="18:27" ht="12.75">
      <c r="R41" s="320">
        <f aca="true" t="shared" si="14" ref="R41:AA41">+_xlfn.STDEV.S(R6:R35)</f>
        <v>0.10604801223254445</v>
      </c>
      <c r="S41" s="320">
        <f t="shared" si="14"/>
        <v>0.07635112960193899</v>
      </c>
      <c r="T41" s="320">
        <f t="shared" si="14"/>
        <v>0.04910953874445164</v>
      </c>
      <c r="U41" s="320">
        <f t="shared" si="14"/>
        <v>0.07252009030590156</v>
      </c>
      <c r="V41" s="320">
        <f t="shared" si="14"/>
        <v>0.06889481136913302</v>
      </c>
      <c r="W41" s="320">
        <f t="shared" si="14"/>
        <v>0.06428291096868932</v>
      </c>
      <c r="X41" s="320">
        <f t="shared" si="14"/>
        <v>0.08547669657371658</v>
      </c>
      <c r="Y41" s="320">
        <f t="shared" si="14"/>
        <v>0.03236185181543832</v>
      </c>
      <c r="Z41" s="320">
        <f t="shared" si="14"/>
        <v>0.03427576931902236</v>
      </c>
      <c r="AA41" s="320">
        <f t="shared" si="14"/>
        <v>0.061039790754908285</v>
      </c>
    </row>
    <row r="42" spans="18:27" ht="12.75">
      <c r="R42" s="221"/>
      <c r="S42" s="221"/>
      <c r="T42" s="221"/>
      <c r="U42" s="221"/>
      <c r="V42" s="221"/>
      <c r="W42" s="221"/>
      <c r="X42" s="221"/>
      <c r="Y42" s="221"/>
      <c r="Z42" s="221"/>
      <c r="AA42" s="221"/>
    </row>
    <row r="58" ht="12.75">
      <c r="B58" s="62"/>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L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194" customWidth="1"/>
    <col min="14" max="14" width="7.7109375" style="185" hidden="1" customWidth="1"/>
    <col min="15" max="15" width="10.8515625" style="194" customWidth="1"/>
    <col min="16" max="16384" width="10.8515625" style="22" customWidth="1"/>
  </cols>
  <sheetData>
    <row r="1" ht="6.75" customHeight="1"/>
    <row r="2" spans="2:18" ht="12.75">
      <c r="B2" s="351" t="s">
        <v>59</v>
      </c>
      <c r="C2" s="351"/>
      <c r="D2" s="351"/>
      <c r="E2" s="351"/>
      <c r="F2" s="351"/>
      <c r="G2" s="351"/>
      <c r="H2" s="351"/>
      <c r="I2" s="351"/>
      <c r="J2" s="351"/>
      <c r="K2" s="119"/>
      <c r="L2" s="52" t="s">
        <v>153</v>
      </c>
      <c r="O2" s="268"/>
      <c r="P2" s="266"/>
      <c r="Q2" s="266"/>
      <c r="R2" s="266"/>
    </row>
    <row r="3" spans="2:18" ht="12.75">
      <c r="B3" s="351" t="s">
        <v>106</v>
      </c>
      <c r="C3" s="351"/>
      <c r="D3" s="351"/>
      <c r="E3" s="351"/>
      <c r="F3" s="351"/>
      <c r="G3" s="351"/>
      <c r="H3" s="351"/>
      <c r="I3" s="351"/>
      <c r="J3" s="351"/>
      <c r="K3" s="119"/>
      <c r="O3" s="268"/>
      <c r="P3" s="266"/>
      <c r="Q3" s="266"/>
      <c r="R3" s="266"/>
    </row>
    <row r="4" spans="2:18" ht="12.75">
      <c r="B4" s="351" t="s">
        <v>109</v>
      </c>
      <c r="C4" s="351"/>
      <c r="D4" s="351"/>
      <c r="E4" s="351"/>
      <c r="F4" s="351"/>
      <c r="G4" s="351"/>
      <c r="H4" s="351"/>
      <c r="I4" s="351"/>
      <c r="J4" s="351"/>
      <c r="K4" s="119"/>
      <c r="O4" s="268"/>
      <c r="P4" s="266"/>
      <c r="Q4" s="266"/>
      <c r="R4" s="266"/>
    </row>
    <row r="5" spans="2:16" ht="15" customHeight="1">
      <c r="B5" s="356" t="s">
        <v>46</v>
      </c>
      <c r="C5" s="359" t="s">
        <v>67</v>
      </c>
      <c r="D5" s="360"/>
      <c r="E5" s="360"/>
      <c r="F5" s="361"/>
      <c r="G5" s="359" t="s">
        <v>68</v>
      </c>
      <c r="H5" s="360"/>
      <c r="I5" s="360"/>
      <c r="J5" s="361"/>
      <c r="K5" s="119"/>
      <c r="O5" s="268"/>
      <c r="P5" s="266"/>
    </row>
    <row r="6" spans="2:16" ht="12.75" customHeight="1">
      <c r="B6" s="357"/>
      <c r="C6" s="359" t="s">
        <v>45</v>
      </c>
      <c r="D6" s="360"/>
      <c r="E6" s="360" t="s">
        <v>44</v>
      </c>
      <c r="F6" s="361"/>
      <c r="G6" s="359" t="s">
        <v>45</v>
      </c>
      <c r="H6" s="360"/>
      <c r="I6" s="360" t="s">
        <v>44</v>
      </c>
      <c r="J6" s="361"/>
      <c r="K6" s="119"/>
      <c r="O6" s="268"/>
      <c r="P6" s="266"/>
    </row>
    <row r="7" spans="2:16" ht="21.75" customHeight="1">
      <c r="B7" s="358"/>
      <c r="C7" s="96">
        <v>2015</v>
      </c>
      <c r="D7" s="97">
        <v>2016</v>
      </c>
      <c r="E7" s="97" t="s">
        <v>43</v>
      </c>
      <c r="F7" s="98" t="s">
        <v>42</v>
      </c>
      <c r="G7" s="96">
        <f>+C7</f>
        <v>2015</v>
      </c>
      <c r="H7" s="97">
        <f>+D7</f>
        <v>2016</v>
      </c>
      <c r="I7" s="97" t="s">
        <v>43</v>
      </c>
      <c r="J7" s="98" t="s">
        <v>42</v>
      </c>
      <c r="K7" s="183"/>
      <c r="L7" s="185"/>
      <c r="O7" s="268"/>
      <c r="P7" s="266"/>
    </row>
    <row r="8" spans="2:38" ht="12.75" customHeight="1">
      <c r="B8" s="68" t="s">
        <v>41</v>
      </c>
      <c r="C8" s="93">
        <v>1057</v>
      </c>
      <c r="D8" s="80">
        <v>1409</v>
      </c>
      <c r="E8" s="94">
        <f>+(D8/C19-1)*100</f>
        <v>-5.436241610738257</v>
      </c>
      <c r="F8" s="95">
        <f aca="true" t="shared" si="0" ref="F8:F13">(D8/C8-1)*100</f>
        <v>33.30179754020814</v>
      </c>
      <c r="G8" s="80">
        <v>418</v>
      </c>
      <c r="H8" s="80">
        <v>476</v>
      </c>
      <c r="I8" s="94">
        <f>+(H8/G19-1)*100</f>
        <v>-15.452930728241565</v>
      </c>
      <c r="J8" s="95">
        <f aca="true" t="shared" si="1" ref="J8:J13">(H8/G8-1)*100</f>
        <v>13.875598086124397</v>
      </c>
      <c r="K8" s="94"/>
      <c r="N8" s="317">
        <f>+D8/H8-1</f>
        <v>1.9600840336134455</v>
      </c>
      <c r="O8" s="268"/>
      <c r="P8" s="266"/>
      <c r="Q8" s="266"/>
      <c r="R8" s="266"/>
      <c r="S8" s="266"/>
      <c r="T8" s="266"/>
      <c r="U8" s="266"/>
      <c r="V8" s="266"/>
      <c r="W8" s="266"/>
      <c r="X8" s="266"/>
      <c r="Y8" s="266"/>
      <c r="Z8" s="266"/>
      <c r="AA8" s="266"/>
      <c r="AB8" s="266"/>
      <c r="AC8" s="266"/>
      <c r="AD8" s="266"/>
      <c r="AE8" s="266"/>
      <c r="AF8" s="266"/>
      <c r="AG8" s="266"/>
      <c r="AH8" s="266"/>
      <c r="AI8" s="266"/>
      <c r="AJ8" s="266"/>
      <c r="AK8" s="266"/>
      <c r="AL8" s="266"/>
    </row>
    <row r="9" spans="2:38" ht="12.75" customHeight="1">
      <c r="B9" s="68" t="s">
        <v>40</v>
      </c>
      <c r="C9" s="93">
        <v>981</v>
      </c>
      <c r="D9" s="80">
        <v>1396</v>
      </c>
      <c r="E9" s="94">
        <f aca="true" t="shared" si="2" ref="E9:E14">+(D9/D8-1)*100</f>
        <v>-0.9226401703335663</v>
      </c>
      <c r="F9" s="95">
        <f t="shared" si="0"/>
        <v>42.303771661569826</v>
      </c>
      <c r="G9" s="80">
        <v>408</v>
      </c>
      <c r="H9" s="80">
        <v>439</v>
      </c>
      <c r="I9" s="94">
        <f aca="true" t="shared" si="3" ref="I9:I14">+(H9/H8-1)*100</f>
        <v>-7.773109243697474</v>
      </c>
      <c r="J9" s="95">
        <f t="shared" si="1"/>
        <v>7.59803921568627</v>
      </c>
      <c r="K9" s="94"/>
      <c r="N9" s="317">
        <f>+D9/H9-1</f>
        <v>2.1799544419134396</v>
      </c>
      <c r="O9" s="268"/>
      <c r="P9" s="266"/>
      <c r="Q9" s="266"/>
      <c r="R9" s="266"/>
      <c r="S9" s="266"/>
      <c r="T9" s="266"/>
      <c r="U9" s="266"/>
      <c r="V9" s="266"/>
      <c r="W9" s="266"/>
      <c r="X9" s="266"/>
      <c r="Y9" s="266"/>
      <c r="Z9" s="266"/>
      <c r="AA9" s="266"/>
      <c r="AB9" s="266"/>
      <c r="AC9" s="266"/>
      <c r="AD9" s="266"/>
      <c r="AE9" s="266"/>
      <c r="AF9" s="266"/>
      <c r="AG9" s="266"/>
      <c r="AH9" s="266"/>
      <c r="AI9" s="266"/>
      <c r="AJ9" s="266"/>
      <c r="AK9" s="266"/>
      <c r="AL9" s="266"/>
    </row>
    <row r="10" spans="2:38" ht="12.75" customHeight="1">
      <c r="B10" s="68" t="s">
        <v>39</v>
      </c>
      <c r="C10" s="93">
        <v>1002</v>
      </c>
      <c r="D10" s="80">
        <v>1197</v>
      </c>
      <c r="E10" s="94">
        <f t="shared" si="2"/>
        <v>-14.255014326647563</v>
      </c>
      <c r="F10" s="95">
        <f t="shared" si="0"/>
        <v>19.46107784431137</v>
      </c>
      <c r="G10" s="80">
        <v>442</v>
      </c>
      <c r="H10" s="80">
        <v>435</v>
      </c>
      <c r="I10" s="94">
        <f t="shared" si="3"/>
        <v>-0.9111617312072884</v>
      </c>
      <c r="J10" s="95">
        <f t="shared" si="1"/>
        <v>-1.5837104072398245</v>
      </c>
      <c r="K10" s="94"/>
      <c r="N10" s="317">
        <f aca="true" t="shared" si="4" ref="N10:N19">+D10/H10-1</f>
        <v>1.7517241379310344</v>
      </c>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row>
    <row r="11" spans="2:38" ht="12.75">
      <c r="B11" s="68" t="s">
        <v>38</v>
      </c>
      <c r="C11" s="93">
        <v>991</v>
      </c>
      <c r="D11" s="80">
        <v>1117</v>
      </c>
      <c r="E11" s="94">
        <f t="shared" si="2"/>
        <v>-6.683375104427736</v>
      </c>
      <c r="F11" s="95">
        <f t="shared" si="0"/>
        <v>12.714429868819366</v>
      </c>
      <c r="G11" s="80">
        <v>482</v>
      </c>
      <c r="H11" s="80">
        <v>470</v>
      </c>
      <c r="I11" s="94">
        <f t="shared" si="3"/>
        <v>8.045977011494255</v>
      </c>
      <c r="J11" s="95">
        <f t="shared" si="1"/>
        <v>-2.4896265560165998</v>
      </c>
      <c r="K11" s="94"/>
      <c r="N11" s="317">
        <f t="shared" si="4"/>
        <v>1.3765957446808512</v>
      </c>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row>
    <row r="12" spans="2:38" ht="12.75" customHeight="1">
      <c r="B12" s="68" t="s">
        <v>37</v>
      </c>
      <c r="C12" s="93">
        <v>970</v>
      </c>
      <c r="D12" s="80">
        <v>1090</v>
      </c>
      <c r="E12" s="94">
        <f t="shared" si="2"/>
        <v>-2.4171888988361645</v>
      </c>
      <c r="F12" s="95">
        <f t="shared" si="0"/>
        <v>12.371134020618557</v>
      </c>
      <c r="G12" s="80">
        <v>479</v>
      </c>
      <c r="H12" s="80">
        <v>462</v>
      </c>
      <c r="I12" s="94">
        <f t="shared" si="3"/>
        <v>-1.7021276595744705</v>
      </c>
      <c r="J12" s="95">
        <f t="shared" si="1"/>
        <v>-3.5490605427974997</v>
      </c>
      <c r="K12" s="94"/>
      <c r="N12" s="317">
        <f t="shared" si="4"/>
        <v>1.3593073593073592</v>
      </c>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row>
    <row r="13" spans="2:16" ht="12.75" customHeight="1">
      <c r="B13" s="68" t="s">
        <v>36</v>
      </c>
      <c r="C13" s="93">
        <v>954</v>
      </c>
      <c r="D13" s="80">
        <v>1136</v>
      </c>
      <c r="E13" s="94">
        <f t="shared" si="2"/>
        <v>4.220183486238538</v>
      </c>
      <c r="F13" s="95">
        <f t="shared" si="0"/>
        <v>19.07756813417192</v>
      </c>
      <c r="G13" s="80">
        <v>455</v>
      </c>
      <c r="H13" s="80">
        <v>528</v>
      </c>
      <c r="I13" s="94">
        <f t="shared" si="3"/>
        <v>14.28571428571428</v>
      </c>
      <c r="J13" s="95">
        <f t="shared" si="1"/>
        <v>16.043956043956054</v>
      </c>
      <c r="K13" s="94"/>
      <c r="M13" s="195"/>
      <c r="N13" s="317">
        <f t="shared" si="4"/>
        <v>1.1515151515151514</v>
      </c>
      <c r="O13" s="268"/>
      <c r="P13" s="268"/>
    </row>
    <row r="14" spans="2:25" ht="12.75">
      <c r="B14" s="68" t="s">
        <v>35</v>
      </c>
      <c r="C14" s="93">
        <v>974</v>
      </c>
      <c r="D14" s="80">
        <v>1067</v>
      </c>
      <c r="E14" s="94">
        <f t="shared" si="2"/>
        <v>-6.073943661971826</v>
      </c>
      <c r="F14" s="95">
        <f>(D14/C14-1)*100</f>
        <v>9.54825462012321</v>
      </c>
      <c r="G14" s="80">
        <v>525</v>
      </c>
      <c r="H14" s="80">
        <v>522</v>
      </c>
      <c r="I14" s="94">
        <f t="shared" si="3"/>
        <v>-1.1363636363636354</v>
      </c>
      <c r="J14" s="95">
        <f>(H14/G14-1)*100</f>
        <v>-0.5714285714285672</v>
      </c>
      <c r="K14" s="94"/>
      <c r="N14" s="317">
        <f t="shared" si="4"/>
        <v>1.0440613026819925</v>
      </c>
      <c r="O14" s="268"/>
      <c r="P14" s="266"/>
      <c r="Q14" s="266"/>
      <c r="R14" s="266"/>
      <c r="S14" s="266"/>
      <c r="T14" s="266"/>
      <c r="U14" s="266"/>
      <c r="W14" s="266"/>
      <c r="Y14" s="266"/>
    </row>
    <row r="15" spans="2:25" ht="13.5" customHeight="1">
      <c r="B15" s="68" t="s">
        <v>34</v>
      </c>
      <c r="C15" s="93">
        <v>1094</v>
      </c>
      <c r="D15" s="80">
        <v>1043</v>
      </c>
      <c r="E15" s="94">
        <f>+(D15/D14-1)*100</f>
        <v>-2.2492970946579205</v>
      </c>
      <c r="F15" s="95">
        <f>(D15/C15-1)*100</f>
        <v>-4.6617915904936025</v>
      </c>
      <c r="G15" s="80">
        <v>651</v>
      </c>
      <c r="H15" s="80">
        <v>537</v>
      </c>
      <c r="I15" s="94">
        <f>+(H15/H14-1)*100</f>
        <v>2.8735632183908066</v>
      </c>
      <c r="J15" s="95">
        <f>(H15/G15-1)*100</f>
        <v>-17.511520737327192</v>
      </c>
      <c r="K15" s="94"/>
      <c r="N15" s="317">
        <f t="shared" si="4"/>
        <v>0.9422718808193669</v>
      </c>
      <c r="O15" s="268"/>
      <c r="P15" s="266"/>
      <c r="Q15" s="266"/>
      <c r="R15" s="266"/>
      <c r="S15" s="266"/>
      <c r="T15" s="266"/>
      <c r="U15" s="266"/>
      <c r="W15" s="266"/>
      <c r="Y15" s="266"/>
    </row>
    <row r="16" spans="2:25" ht="12.75">
      <c r="B16" s="68" t="s">
        <v>33</v>
      </c>
      <c r="C16" s="93">
        <v>1299</v>
      </c>
      <c r="D16" s="80"/>
      <c r="E16" s="94"/>
      <c r="F16" s="95"/>
      <c r="G16" s="80">
        <v>624</v>
      </c>
      <c r="H16" s="80"/>
      <c r="I16" s="94"/>
      <c r="J16" s="95"/>
      <c r="K16" s="94"/>
      <c r="N16" s="317" t="e">
        <f t="shared" si="4"/>
        <v>#DIV/0!</v>
      </c>
      <c r="O16" s="268"/>
      <c r="P16" s="266"/>
      <c r="Q16" s="266"/>
      <c r="R16" s="266"/>
      <c r="S16" s="266"/>
      <c r="T16" s="266"/>
      <c r="U16" s="266"/>
      <c r="W16" s="266"/>
      <c r="Y16" s="266"/>
    </row>
    <row r="17" spans="2:25" ht="12.75" customHeight="1">
      <c r="B17" s="68" t="s">
        <v>32</v>
      </c>
      <c r="C17" s="93">
        <v>1367</v>
      </c>
      <c r="D17" s="80"/>
      <c r="E17" s="94"/>
      <c r="F17" s="95"/>
      <c r="G17" s="80">
        <v>693</v>
      </c>
      <c r="H17" s="80"/>
      <c r="I17" s="94"/>
      <c r="J17" s="95"/>
      <c r="K17" s="94"/>
      <c r="N17" s="317" t="e">
        <f t="shared" si="4"/>
        <v>#DIV/0!</v>
      </c>
      <c r="O17" s="268"/>
      <c r="P17" s="266"/>
      <c r="Q17" s="266"/>
      <c r="R17" s="266"/>
      <c r="S17" s="266"/>
      <c r="T17" s="266"/>
      <c r="U17" s="266"/>
      <c r="W17" s="266"/>
      <c r="X17" s="266"/>
      <c r="Y17" s="266"/>
    </row>
    <row r="18" spans="2:25" ht="12.75">
      <c r="B18" s="68" t="s">
        <v>31</v>
      </c>
      <c r="C18" s="93">
        <v>1468</v>
      </c>
      <c r="D18" s="80"/>
      <c r="E18" s="94"/>
      <c r="F18" s="95"/>
      <c r="G18" s="80">
        <v>666</v>
      </c>
      <c r="H18" s="80"/>
      <c r="I18" s="94"/>
      <c r="J18" s="95"/>
      <c r="K18" s="94"/>
      <c r="N18" s="317" t="e">
        <f t="shared" si="4"/>
        <v>#DIV/0!</v>
      </c>
      <c r="O18" s="268"/>
      <c r="P18" s="266"/>
      <c r="Q18" s="266"/>
      <c r="R18" s="266"/>
      <c r="S18" s="266"/>
      <c r="T18" s="266"/>
      <c r="U18" s="266"/>
      <c r="W18" s="266"/>
      <c r="X18" s="266"/>
      <c r="Y18" s="266"/>
    </row>
    <row r="19" spans="2:25" ht="12.75">
      <c r="B19" s="68" t="s">
        <v>30</v>
      </c>
      <c r="C19" s="93">
        <v>1490</v>
      </c>
      <c r="D19" s="80"/>
      <c r="E19" s="94"/>
      <c r="F19" s="95"/>
      <c r="G19" s="80">
        <v>563</v>
      </c>
      <c r="H19" s="80"/>
      <c r="I19" s="94"/>
      <c r="J19" s="95"/>
      <c r="K19" s="94"/>
      <c r="N19" s="317" t="e">
        <f t="shared" si="4"/>
        <v>#DIV/0!</v>
      </c>
      <c r="O19" s="268"/>
      <c r="P19" s="266"/>
      <c r="Q19" s="266"/>
      <c r="R19" s="266"/>
      <c r="S19" s="266"/>
      <c r="T19" s="266"/>
      <c r="U19" s="266"/>
      <c r="V19" s="266"/>
      <c r="W19" s="266"/>
      <c r="X19" s="266"/>
      <c r="Y19" s="266"/>
    </row>
    <row r="20" spans="2:25" ht="12.75">
      <c r="B20" s="163" t="s">
        <v>69</v>
      </c>
      <c r="C20" s="165">
        <f>AVERAGE(C8:C19)</f>
        <v>1137.25</v>
      </c>
      <c r="D20" s="166">
        <f>AVERAGE(D8:D19)</f>
        <v>1181.875</v>
      </c>
      <c r="E20" s="167"/>
      <c r="F20" s="168"/>
      <c r="G20" s="165">
        <f>AVERAGE(G8:G19)</f>
        <v>533.8333333333334</v>
      </c>
      <c r="H20" s="166">
        <f>AVERAGE(H8:H19)</f>
        <v>483.625</v>
      </c>
      <c r="I20" s="169"/>
      <c r="J20" s="168"/>
      <c r="K20" s="94"/>
      <c r="O20" s="268"/>
      <c r="P20" s="266"/>
      <c r="Q20" s="266"/>
      <c r="R20" s="266"/>
      <c r="S20" s="266"/>
      <c r="T20" s="266"/>
      <c r="U20" s="266"/>
      <c r="V20" s="266"/>
      <c r="W20" s="266"/>
      <c r="X20" s="266"/>
      <c r="Y20" s="266"/>
    </row>
    <row r="21" spans="2:15" ht="12.75" customHeight="1">
      <c r="B21" s="164" t="str">
        <f>+'precio mayorista'!B21</f>
        <v>Promedio simple en a la fecha**</v>
      </c>
      <c r="C21" s="170">
        <f>AVERAGE(C8:C15)</f>
        <v>1002.875</v>
      </c>
      <c r="D21" s="171">
        <f>AVERAGE(D8:D19)</f>
        <v>1181.875</v>
      </c>
      <c r="E21" s="172"/>
      <c r="F21" s="173">
        <f>(D21/C21-1)*100</f>
        <v>17.848685030537204</v>
      </c>
      <c r="G21" s="170">
        <f>AVERAGE(G8:G15)</f>
        <v>482.5</v>
      </c>
      <c r="H21" s="171">
        <f>AVERAGE(H8:H19)</f>
        <v>483.625</v>
      </c>
      <c r="I21" s="174"/>
      <c r="J21" s="173">
        <f>(H21/G21-1)*100</f>
        <v>0.2331606217616633</v>
      </c>
      <c r="K21" s="94"/>
      <c r="O21" s="268"/>
    </row>
    <row r="22" spans="2:15" ht="12.75">
      <c r="B22" s="355" t="s">
        <v>187</v>
      </c>
      <c r="C22" s="355"/>
      <c r="D22" s="355"/>
      <c r="E22" s="355"/>
      <c r="F22" s="355"/>
      <c r="G22" s="355"/>
      <c r="H22" s="355"/>
      <c r="I22" s="355"/>
      <c r="J22" s="355"/>
      <c r="K22" s="120"/>
      <c r="O22" s="268"/>
    </row>
    <row r="23" ht="12.75">
      <c r="O23" s="268"/>
    </row>
    <row r="24" spans="4:19" ht="12.75">
      <c r="D24" s="155" t="s">
        <v>67</v>
      </c>
      <c r="E24" s="155" t="s">
        <v>68</v>
      </c>
      <c r="O24" s="268"/>
      <c r="R24" s="294"/>
      <c r="S24" s="266"/>
    </row>
    <row r="25" spans="3:25" ht="12.75">
      <c r="C25" s="157">
        <v>41974</v>
      </c>
      <c r="D25" s="156">
        <v>1071</v>
      </c>
      <c r="E25" s="156">
        <v>421</v>
      </c>
      <c r="O25" s="268"/>
      <c r="P25" s="266"/>
      <c r="Q25" s="266"/>
      <c r="V25" s="266"/>
      <c r="W25" s="266"/>
      <c r="X25" s="266"/>
      <c r="Y25" s="266"/>
    </row>
    <row r="26" spans="3:25" ht="12.75">
      <c r="C26" s="157">
        <v>42005</v>
      </c>
      <c r="D26" s="156">
        <f aca="true" t="shared" si="5" ref="D26:D37">+C8</f>
        <v>1057</v>
      </c>
      <c r="E26" s="156">
        <f aca="true" t="shared" si="6" ref="E26:E37">+G8</f>
        <v>418</v>
      </c>
      <c r="O26" s="268"/>
      <c r="P26" s="266"/>
      <c r="Q26" s="266"/>
      <c r="R26" s="294"/>
      <c r="S26" s="266"/>
      <c r="U26" s="266"/>
      <c r="V26" s="266"/>
      <c r="W26" s="266"/>
      <c r="X26" s="266"/>
      <c r="Y26" s="266"/>
    </row>
    <row r="27" spans="3:25" ht="12.75">
      <c r="C27" s="157">
        <v>42036</v>
      </c>
      <c r="D27" s="156">
        <f t="shared" si="5"/>
        <v>981</v>
      </c>
      <c r="E27" s="156">
        <f t="shared" si="6"/>
        <v>408</v>
      </c>
      <c r="O27" s="268"/>
      <c r="P27" s="266"/>
      <c r="Q27" s="266"/>
      <c r="V27" s="266"/>
      <c r="W27" s="266"/>
      <c r="X27" s="266"/>
      <c r="Y27" s="266"/>
    </row>
    <row r="28" spans="3:19" ht="12.75">
      <c r="C28" s="157">
        <v>42064</v>
      </c>
      <c r="D28" s="156">
        <f t="shared" si="5"/>
        <v>1002</v>
      </c>
      <c r="E28" s="156">
        <f t="shared" si="6"/>
        <v>442</v>
      </c>
      <c r="O28" s="268"/>
      <c r="P28" s="266"/>
      <c r="Q28" s="266"/>
      <c r="R28" s="294"/>
      <c r="S28" s="266"/>
    </row>
    <row r="29" spans="3:19" ht="12.75">
      <c r="C29" s="157">
        <v>42095</v>
      </c>
      <c r="D29" s="156">
        <f t="shared" si="5"/>
        <v>991</v>
      </c>
      <c r="E29" s="156">
        <f t="shared" si="6"/>
        <v>482</v>
      </c>
      <c r="O29" s="268"/>
      <c r="P29" s="266"/>
      <c r="Q29" s="266"/>
      <c r="R29" s="266"/>
      <c r="S29" s="266"/>
    </row>
    <row r="30" spans="3:19" ht="12.75">
      <c r="C30" s="157">
        <v>42125</v>
      </c>
      <c r="D30" s="156">
        <f t="shared" si="5"/>
        <v>970</v>
      </c>
      <c r="E30" s="156">
        <f t="shared" si="6"/>
        <v>479</v>
      </c>
      <c r="O30" s="268"/>
      <c r="P30" s="266"/>
      <c r="S30" s="266"/>
    </row>
    <row r="31" spans="3:16" ht="12.75">
      <c r="C31" s="157">
        <v>42156</v>
      </c>
      <c r="D31" s="156">
        <f t="shared" si="5"/>
        <v>954</v>
      </c>
      <c r="E31" s="156">
        <f t="shared" si="6"/>
        <v>455</v>
      </c>
      <c r="O31" s="268"/>
      <c r="P31" s="266"/>
    </row>
    <row r="32" spans="3:16" ht="12.75">
      <c r="C32" s="157">
        <v>42186</v>
      </c>
      <c r="D32" s="156">
        <f t="shared" si="5"/>
        <v>974</v>
      </c>
      <c r="E32" s="156">
        <f t="shared" si="6"/>
        <v>525</v>
      </c>
      <c r="O32" s="268"/>
      <c r="P32" s="266"/>
    </row>
    <row r="33" spans="3:16" ht="12.75">
      <c r="C33" s="157">
        <v>42217</v>
      </c>
      <c r="D33" s="156">
        <f t="shared" si="5"/>
        <v>1094</v>
      </c>
      <c r="E33" s="156">
        <f t="shared" si="6"/>
        <v>651</v>
      </c>
      <c r="O33" s="268"/>
      <c r="P33" s="266"/>
    </row>
    <row r="34" spans="3:16" ht="12.75">
      <c r="C34" s="157">
        <v>42248</v>
      </c>
      <c r="D34" s="156">
        <f t="shared" si="5"/>
        <v>1299</v>
      </c>
      <c r="E34" s="156">
        <f t="shared" si="6"/>
        <v>624</v>
      </c>
      <c r="O34" s="268"/>
      <c r="P34" s="266"/>
    </row>
    <row r="35" spans="3:16" ht="12.75">
      <c r="C35" s="157">
        <v>42278</v>
      </c>
      <c r="D35" s="156">
        <f t="shared" si="5"/>
        <v>1367</v>
      </c>
      <c r="E35" s="156">
        <f t="shared" si="6"/>
        <v>693</v>
      </c>
      <c r="O35" s="268"/>
      <c r="P35" s="266"/>
    </row>
    <row r="36" spans="3:16" ht="12.75">
      <c r="C36" s="157">
        <v>42309</v>
      </c>
      <c r="D36" s="156">
        <f t="shared" si="5"/>
        <v>1468</v>
      </c>
      <c r="E36" s="156">
        <f t="shared" si="6"/>
        <v>666</v>
      </c>
      <c r="O36" s="268"/>
      <c r="P36" s="266"/>
    </row>
    <row r="37" spans="3:16" ht="12.75">
      <c r="C37" s="157">
        <v>42339</v>
      </c>
      <c r="D37" s="156">
        <f t="shared" si="5"/>
        <v>1490</v>
      </c>
      <c r="E37" s="156">
        <f t="shared" si="6"/>
        <v>563</v>
      </c>
      <c r="O37" s="268"/>
      <c r="P37" s="266"/>
    </row>
    <row r="38" spans="3:16" ht="12.75">
      <c r="C38" s="208">
        <v>42370</v>
      </c>
      <c r="D38" s="58">
        <f aca="true" t="shared" si="7" ref="D38:D45">+D8</f>
        <v>1409</v>
      </c>
      <c r="E38" s="58">
        <f aca="true" t="shared" si="8" ref="E38:E45">+H8</f>
        <v>476</v>
      </c>
      <c r="O38" s="268"/>
      <c r="P38" s="266"/>
    </row>
    <row r="39" spans="3:18" ht="12.75">
      <c r="C39" s="208">
        <v>42401</v>
      </c>
      <c r="D39" s="58">
        <f t="shared" si="7"/>
        <v>1396</v>
      </c>
      <c r="E39" s="58">
        <f t="shared" si="8"/>
        <v>439</v>
      </c>
      <c r="O39" s="268"/>
      <c r="P39" s="266"/>
      <c r="Q39" s="266"/>
      <c r="R39" s="266"/>
    </row>
    <row r="40" spans="3:5" ht="12.75">
      <c r="C40" s="208">
        <v>42430</v>
      </c>
      <c r="D40" s="58">
        <f t="shared" si="7"/>
        <v>1197</v>
      </c>
      <c r="E40" s="58">
        <f t="shared" si="8"/>
        <v>435</v>
      </c>
    </row>
    <row r="41" spans="3:5" ht="12.75">
      <c r="C41" s="208">
        <v>42461</v>
      </c>
      <c r="D41" s="58">
        <f t="shared" si="7"/>
        <v>1117</v>
      </c>
      <c r="E41" s="58">
        <f t="shared" si="8"/>
        <v>470</v>
      </c>
    </row>
    <row r="42" spans="3:5" ht="12.75">
      <c r="C42" s="208">
        <v>42491</v>
      </c>
      <c r="D42" s="58">
        <f t="shared" si="7"/>
        <v>1090</v>
      </c>
      <c r="E42" s="58">
        <f t="shared" si="8"/>
        <v>462</v>
      </c>
    </row>
    <row r="43" spans="3:5" ht="12.75">
      <c r="C43" s="208">
        <v>42522</v>
      </c>
      <c r="D43" s="58">
        <f t="shared" si="7"/>
        <v>1136</v>
      </c>
      <c r="E43" s="58">
        <f t="shared" si="8"/>
        <v>528</v>
      </c>
    </row>
    <row r="44" spans="3:5" ht="12.75">
      <c r="C44" s="208">
        <v>42552</v>
      </c>
      <c r="D44" s="58">
        <f t="shared" si="7"/>
        <v>1067</v>
      </c>
      <c r="E44" s="58">
        <f t="shared" si="8"/>
        <v>522</v>
      </c>
    </row>
    <row r="45" spans="3:5" ht="12.75">
      <c r="C45" s="208">
        <v>42583</v>
      </c>
      <c r="D45" s="58">
        <f t="shared" si="7"/>
        <v>1043</v>
      </c>
      <c r="E45" s="58">
        <f t="shared" si="8"/>
        <v>537</v>
      </c>
    </row>
    <row r="46" ht="12.75">
      <c r="B46" s="55"/>
    </row>
    <row r="47" ht="12.75">
      <c r="E47"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2016-09-08T15:08:22Z</cp:lastPrinted>
  <dcterms:created xsi:type="dcterms:W3CDTF">2011-10-13T14:46:36Z</dcterms:created>
  <dcterms:modified xsi:type="dcterms:W3CDTF">2019-02-14T15:03:29Z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