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s>
  <definedNames>
    <definedName name="_xlnm.Print_Area" localSheetId="1">'colofón'!$A$1:$I$39</definedName>
    <definedName name="_xlnm.Print_Area" localSheetId="4">'Comentarios'!$B$2:$L$8</definedName>
    <definedName name="_xlnm.Print_Area" localSheetId="15">'export'!$B$2:$K$42</definedName>
    <definedName name="_xlnm.Print_Area" localSheetId="14">'Ficha de Costos'!$B$2:$E$34</definedName>
    <definedName name="_xlnm.Print_Area" localSheetId="16">'import'!$B$2:$K$92</definedName>
    <definedName name="_xlnm.Print_Area" localSheetId="3">'Índice'!$A$1:$E$46</definedName>
    <definedName name="_xlnm.Print_Area" localSheetId="2">'Introducción'!$A$1:$J$39</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regiones'!$B$2:$R$57</definedName>
    <definedName name="_xlnm.Print_Area" localSheetId="12">'prod región'!$B$2:$L$48</definedName>
    <definedName name="_xlnm.Print_Area" localSheetId="13">'rend región'!$B$2:$L$46</definedName>
    <definedName name="_xlnm.Print_Area" localSheetId="11">'sup región'!$B$2:$L$47</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<sst xmlns="http://schemas.openxmlformats.org/spreadsheetml/2006/main" count="655" uniqueCount="278">
  <si>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</si>
  <si>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</si>
  <si>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</si>
  <si>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</si>
  <si>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</si>
  <si>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</si>
  <si>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</si>
  <si>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</si>
  <si>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</si>
  <si>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</si>
  <si>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</si>
  <si>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</si>
  <si>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</si>
  <si>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</si>
  <si>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</si>
  <si>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</si>
  <si>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</si>
  <si>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</si>
  <si>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</si>
  <si>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</si>
  <si>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</si>
  <si>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</si>
  <si>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</si>
  <si>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</si>
  <si>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</si>
  <si>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</si>
  <si>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</si>
  <si>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</si>
  <si>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</si>
  <si>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</si>
  <si>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</si>
  <si>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</si>
  <si>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</si>
  <si>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</si>
  <si>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</si>
  <si>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</si>
  <si>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</si>
  <si>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</si>
  <si>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</si>
  <si>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</si>
  <si>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</si>
  <si>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</si>
  <si>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</si>
  <si>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</si>
  <si>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</si>
  <si>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</si>
  <si>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</si>
  <si>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</si>
  <si>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</si>
  <si>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</si>
  <si>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</si>
  <si>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</si>
  <si>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</si>
  <si>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</si>
  <si>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</si>
  <si>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</si>
  <si>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</si>
  <si>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</si>
  <si>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</si>
  <si>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</si>
  <si>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</si>
  <si>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</si>
  <si>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</si>
  <si>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</si>
  <si>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</si>
  <si>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</si>
  <si>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</si>
  <si>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</si>
  <si>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</si>
  <si>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</si>
  <si>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</si>
  <si>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</si>
  <si>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</si>
  <si>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</si>
  <si>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</si>
  <si>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</si>
  <si>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</si>
  <si>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</si>
  <si>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</si>
  <si>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</si>
  <si>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</si>
  <si>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</si>
  <si>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</si>
  <si>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</si>
  <si>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</si>
  <si>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</si>
  <si>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</si>
  <si>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</si>
  <si>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</si>
  <si>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</si>
  <si>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</si>
  <si>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</si>
  <si>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</si>
  <si>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</si>
  <si>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</si>
  <si>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</si>
  <si>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</si>
  <si>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</si>
  <si>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</si>
  <si>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</si>
  <si>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</si>
  <si>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</si>
  <si>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</si>
  <si>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</si>
  <si>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</si>
  <si>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</si>
  <si>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</si>
  <si>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</si>
  <si>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</si>
  <si>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</si>
  <si>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</si>
  <si>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</si>
  <si>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</si>
  <si>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</si>
  <si>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</si>
  <si>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</si>
  <si>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</si>
  <si>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</si>
  <si>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</si>
  <si>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</si>
  <si>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</si>
  <si>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</si>
  <si>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</si>
  <si>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</si>
  <si>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</si>
  <si>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</si>
  <si>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</si>
  <si>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</si>
  <si>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</si>
  <si>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</si>
  <si>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</si>
  <si>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</si>
  <si>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</si>
  <si>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</si>
  <si>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</si>
  <si>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</si>
  <si>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</si>
  <si>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</si>
  <si>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</si>
  <si>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</si>
  <si>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</si>
  <si>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</si>
  <si>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</si>
  <si>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</si>
  <si>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</si>
  <si>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</si>
  <si>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</si>
  <si>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</si>
  <si>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</si>
  <si>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</si>
  <si>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</si>
  <si>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</si>
  <si>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</si>
  <si>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</si>
  <si>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</si>
  <si>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</si>
  <si>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</si>
  <si>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</si>
  <si>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</si>
  <si>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</si>
  <si>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</si>
  <si>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</si>
  <si>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</si>
  <si>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</si>
  <si>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</si>
  <si>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</si>
  <si>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</si>
  <si>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</si>
  <si>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</si>
  <si>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</si>
  <si>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</si>
  <si>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</si>
  <si>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</si>
  <si>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</si>
  <si>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</si>
  <si>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</si>
  <si>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</si>
  <si>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</si>
  <si>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</si>
  <si>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</si>
  <si>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</si>
  <si>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</si>
  <si>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</si>
  <si>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</si>
  <si>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</si>
  <si>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</si>
  <si>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Rusia</t>
  </si>
  <si>
    <r>
      <rPr>
        <i/>
        <sz val="9"/>
        <color indexed="8"/>
        <rFont val="Arial"/>
        <family val="2"/>
      </rPr>
      <t>Fuente</t>
    </r>
    <r>
      <rPr>
        <sz val="9"/>
        <color indexed="8"/>
        <rFont val="Arial"/>
        <family val="2"/>
      </rPr>
      <t>: Odepa.</t>
    </r>
  </si>
  <si>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</si>
  <si>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</si>
  <si>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</si>
  <si>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</si>
  <si>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</si>
  <si>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</si>
  <si>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</si>
  <si>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</si>
  <si>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</si>
  <si>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</si>
  <si>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</si>
  <si>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</si>
  <si>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</si>
  <si>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</si>
  <si>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</si>
  <si>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</si>
  <si>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</si>
  <si>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</si>
  <si>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</si>
  <si>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</si>
  <si>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</si>
  <si>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</si>
  <si>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</si>
  <si>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</si>
  <si>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</si>
  <si>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</si>
  <si>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</si>
  <si>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</si>
  <si>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</si>
  <si>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</si>
  <si>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</si>
  <si>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</si>
  <si>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</si>
  <si>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</si>
  <si>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</si>
  <si>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</si>
  <si>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</si>
  <si>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</si>
  <si>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</si>
  <si>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</si>
  <si>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</si>
  <si>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</si>
  <si>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</si>
  <si>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</si>
  <si>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</si>
  <si>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</si>
  <si>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</si>
  <si>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</si>
  <si>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</si>
  <si>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</si>
  <si>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</si>
  <si>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</si>
  <si>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</si>
  <si>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2016/17*</t>
  </si>
  <si>
    <t>Holanda</t>
  </si>
  <si>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</si>
  <si>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</si>
  <si>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</si>
  <si>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 xml:space="preserve"> </t>
  </si>
  <si>
    <t>*: la superficie corresponde la estimación de siembra nacional a octubre para la temporada. El rendimiento se estima igual a la temporada anterior.</t>
  </si>
  <si>
    <r>
      <rPr>
        <i/>
        <sz val="10"/>
        <rFont val="Arial"/>
        <family val="2"/>
      </rPr>
      <t>Fuente</t>
    </r>
    <r>
      <rPr>
        <sz val="10"/>
        <rFont val="Arial"/>
        <family val="2"/>
      </rPr>
      <t xml:space="preserve">: elaborado por Odepa con información del INE. </t>
    </r>
  </si>
  <si>
    <r>
      <rPr>
        <i/>
        <sz val="10"/>
        <rFont val="Arial"/>
        <family val="2"/>
      </rPr>
      <t>Fuente</t>
    </r>
    <r>
      <rPr>
        <sz val="10"/>
        <rFont val="Arial"/>
        <family val="2"/>
      </rPr>
      <t>: elaborado por Odepa con información del INE.</t>
    </r>
  </si>
  <si>
    <r>
      <t xml:space="preserve">Fuente: </t>
    </r>
    <r>
      <rPr>
        <sz val="10"/>
        <rFont val="Arial"/>
        <family val="2"/>
      </rPr>
      <t>elaborado por Odepa con información del INE.</t>
    </r>
  </si>
  <si>
    <r>
      <t xml:space="preserve">Biobío
</t>
    </r>
    <r>
      <rPr>
        <sz val="10"/>
        <rFont val="Arial"/>
        <family val="2"/>
      </rPr>
      <t>Variedad Patagonia
Papa Guarda</t>
    </r>
  </si>
  <si>
    <t>2016</t>
  </si>
  <si>
    <t>diff Vol</t>
  </si>
  <si>
    <t>diff $</t>
  </si>
  <si>
    <t>Px 2017</t>
  </si>
  <si>
    <t>($ nominales sin IVA / kilo)</t>
  </si>
  <si>
    <t>Origen o destino no precisado</t>
  </si>
  <si>
    <r>
      <t xml:space="preserve">4. </t>
    </r>
    <r>
      <rPr>
        <u val="single"/>
        <sz val="10"/>
        <rFont val="Arial"/>
        <family val="2"/>
      </rPr>
      <t>Ficha de Costos</t>
    </r>
    <r>
      <rPr>
        <sz val="10"/>
        <rFont val="Arial"/>
        <family val="2"/>
      </rPr>
      <t xml:space="preserve">: Márgenes negativos en escenarios de bajo rendimiento.
Odepa lleva un registro de fichas de costos de varios rubros, lo que permite analizar los costos asociados al desarrollo del cultivo, y los ingresos promedios que éstos generan para el productor. 
Para este mes, el análisis de margen neto entrega un valor negativo para la realidad de la Región Metropolitana, Maule y Biobío en un escenario de rendimiento de 25 toneladas por hectárea. Los costos de Maule corresponden al año 2013, los de Biobío al año 2016, y los de la Región Metropolitana corresponden a 2015. En el análisis de sensibilidad (cuadro 10) se puede revisar los precios que permiten alcanzar números rentables del cultivo. El punto de equilibrio para este mes, en la Región Metropolitana, se alcanzaría en $121 por kilo para un rendimiento de 30 ton/ha.
Los valores son referenciales. Para mayor información y detalle del cálculo, revisar www.odepa.cl/rubro/papas-y-tuberculos .
Además, en el siguiente link encontrará una ficha técnico-económica interactiva que le permitirá estimar los costos de producción: http://manualinia.papachile.cl/?page=login </t>
    </r>
  </si>
  <si>
    <t xml:space="preserve">Promedio anual </t>
  </si>
  <si>
    <t>Promedio a la fecha</t>
  </si>
  <si>
    <r>
      <rPr>
        <i/>
        <sz val="10"/>
        <rFont val="Arial"/>
        <family val="2"/>
      </rPr>
      <t>Fuente</t>
    </r>
    <r>
      <rPr>
        <sz val="10"/>
        <rFont val="Arial"/>
        <family val="2"/>
      </rPr>
      <t>: 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r>
  </si>
  <si>
    <t>Abril 2017</t>
  </si>
  <si>
    <r>
      <t>Información de mercado nacional y comercio exterior hasta marzo</t>
    </r>
    <r>
      <rPr>
        <sz val="11"/>
        <color indexed="8"/>
        <rFont val="Arial"/>
        <family val="2"/>
      </rPr>
      <t xml:space="preserve"> de 2017</t>
    </r>
  </si>
  <si>
    <t>2016/17</t>
  </si>
  <si>
    <r>
      <t xml:space="preserve">(3) El precio de la papa utilizado corresponde al precio promedio mayorista regional durante </t>
    </r>
    <r>
      <rPr>
        <sz val="10"/>
        <color indexed="10"/>
        <rFont val="Arial"/>
        <family val="2"/>
      </rPr>
      <t>marzo</t>
    </r>
    <r>
      <rPr>
        <sz val="10"/>
        <color indexed="8"/>
        <rFont val="Arial"/>
        <family val="2"/>
      </rPr>
      <t xml:space="preserve"> </t>
    </r>
    <r>
      <rPr>
        <sz val="10"/>
        <color indexed="8"/>
        <rFont val="Arial"/>
        <family val="2"/>
      </rPr>
      <t>de 2017.</t>
    </r>
  </si>
  <si>
    <t>ene-mar 2016</t>
  </si>
  <si>
    <t>ene-mar 2017</t>
  </si>
  <si>
    <t>variación interanual</t>
  </si>
  <si>
    <r>
      <t xml:space="preserve">5. </t>
    </r>
    <r>
      <rPr>
        <u val="single"/>
        <sz val="10"/>
        <rFont val="Arial"/>
        <family val="2"/>
      </rPr>
      <t>Comercio exterior papa fresca y procesada</t>
    </r>
    <r>
      <rPr>
        <sz val="10"/>
        <rFont val="Arial"/>
        <family val="2"/>
      </rPr>
      <t>: disminuyen las compras de papas procesadas desde Argentina
La balanza comercial del período enero-marzo 2017 de los productos derivados de papa es negativa, con importaciones muy superiores a las ventas al exterior (cuadros 11 y 12).
Entre enero y marzo 2017 las exportaciones sumaron USD 1,05 millones, cifra 5,9% inferior a la registrada en el mismo período del año anterior. En volumen, se exportaron 310,6 toneladas, 74% más que en el mismo período del año 2016. Destaca el alza en valor de las exportaciones de papa preparadas sin congelar hacia Argentina, con ventas por 143,5 toneladas, por un valor de USD 900 mil. 
Las importaciones sumaron USD 24 millones y 27 mil toneladas entre enero y febrero 2017, lo que representa un alza en valor de 3,3% y en volumen de 4% en comparación con igual período del año anterior. Las papas preparadas congeladas son la principal categoría comprada por Chile, representando 81% del total de las compras de papas. En esa categoría destaca fuertemente Bélgica como principal exportador a Chile, concentrando 50% del total de compras en esa categoría. Junto con Países Bajos, Argentina y Alemania concentran el 98% del total de compras para el período de análisis. Bélgica además presenta en entre enero y marzo 2017 el mayor aumento en las ventas hacia Chile en comparación con igual período del año 2016. Argentina en cambio, registra entre enero y marzo 2017 la baja más destacada en valor y volumen en papas preparadas congeladas enviadas a Chile, en comparación con 2016.</t>
    </r>
  </si>
  <si>
    <r>
      <rPr>
        <i/>
        <sz val="10"/>
        <rFont val="Arial"/>
        <family val="2"/>
      </rPr>
      <t xml:space="preserve">Fuente: </t>
    </r>
    <r>
      <rPr>
        <sz val="10"/>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corresponde a un promedio entre los precios mínimos y máximos ponderados por el volumen del producto arribado.</t>
    </r>
  </si>
  <si>
    <t>Mayorista</t>
  </si>
  <si>
    <t>Precios mensuales de papa en supermercados, ferias libres y mercados mayoristas de Santiago</t>
  </si>
  <si>
    <r>
      <t xml:space="preserve">1. </t>
    </r>
    <r>
      <rPr>
        <u val="single"/>
        <sz val="10"/>
        <rFont val="Arial"/>
        <family val="2"/>
      </rPr>
      <t>Precios de la papa en mercados mayoristas</t>
    </r>
    <r>
      <rPr>
        <sz val="10"/>
        <rFont val="Arial"/>
        <family val="2"/>
      </rPr>
      <t>: precios medios recuperándose.
El precio promedio ponderado mensual de la papa en los mercados mayoristas durante marzo 2017 fue de $144,8 por kilo, valor 5% superior al del mes anterior y 20% inferior al del mismo mes en el año 2016 (cuadro 1 y gráfico 1).
El precio promedio diario para el saco de 50 kilos, en los mercados mayoristas, ha tenido un comportamiento errática entre noviembre 2016 y enero 2017, luego de varias semanas con precio para el saco de 50 kilos cercano a $13.000. En noviembre se observa en el grafico una tendencia general a la disminución del precio más bajo en 4 años: $5.268 a principios de enero. En febrero se observa una recuperación de éste. Es común que en los meses estivales el precio disminuya, y es lo que está reflejando actualmente los mercados mayoristas (gráfico 2 y cuadro 2). La variedad con precio promedio por saco más alto en marzo 2017 fue Cardinal (en promedio $9.214, un 28% más que el precio promedio nacional). Pukará en cambio presentó el precio más bajo (en promedio $5.883, un 18% menos que el precio promedio nacional). El promedio nacional para el mes de análisis es $7.197 el saco de 50 kilos. 
Los precios mayoristas de los mercados se presentan en general con precios estables durante febrero y marzo de este año. Arica destaca una vez más por ser el mercado que muestra los precios más altos comparado con todos los otros mercados nacionales donde Odepa registra precios. En marzo ese mercado registra un precio promedio de $11.872 el saco de 50 kilos, un 65% más alto que el promedio nacional. Por otro lado, Chillán registra el precio medio más bajo de marzo ($5.264), es decir, 27% menos que el promedio nacional (cuadro 3 y gráfico 3), lo que guardaría cierta relación entre la distancia de los centros de distribución con la producción y sus volumenes.</t>
    </r>
  </si>
  <si>
    <r>
      <t xml:space="preserve">2. </t>
    </r>
    <r>
      <rPr>
        <u val="single"/>
        <sz val="10"/>
        <rFont val="Arial"/>
        <family val="2"/>
      </rPr>
      <t>Precio de la papa en mercados minoristas</t>
    </r>
    <r>
      <rPr>
        <sz val="10"/>
        <rFont val="Arial"/>
        <family val="2"/>
      </rPr>
      <t>: precios al consumidor no registran variaciones destacables.
El monitoreo de precios al consumidor que realiza Odepa en la ciudad de Santiago, se observó que el precio promedio mensual de marzo 2017 en supermercado aumentó 4,8% en comparación con el mes anterior, y disminuyó 4,5% con relación al mismo mes del año anterior. En ferias el precio aumentó 1,3% en relación al mes anterior, y disminuyó 9,7% respecto del mismo mes del año anterior. Como siempre, los precios son más altos en supermercados que en ferias. En marzo 2017, en Santiago, el precio promedio de supermercados alcanzó $1.143 por kilo, y en ferias, $393 por kilo, es decir, el precio en supermercados es 191% más alto que en ferias libres (cuadro 4 y gráfico 4). Se observa en el gráfico 4 que existe una transmisión de precios desde el mayotista hacia los precios medios de ferias libres y supermercados.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noviembre 2016 y marzo 2017, entre ferias y supermercados, por región, se observa que la menor diferencia de precios en los últimos cinco meses se presentó en la Región de Arica, donde el promedio de precios en supermercados ($1.102) fue 120% más caro que en ferias ($500). Por otra parte, la mayor diferencia de precios entre supermercados y ferias libres se registró en la Región del Biobío, donde el promedio de precios en supermercado ($1.083) fue 270% más caro que en ferias libres ($293). El promedio de precios más alto en supermercado se registró en Coquimbo ($1.134 pesos por kilo), y el más bajo en la Región de Los Lagos ($1.037 pesos por kilo). En ferias libres, el promedio de precios más alto se registró en Arica ($500 pesos por kilo), y el más bajo en Biobío ($293 pesos por kilo).</t>
    </r>
  </si>
  <si>
    <t>Fecha de publicación: 2015 Region Metropolitana, 2016 Biobío</t>
  </si>
  <si>
    <r>
      <t>Otros costos (indirectos + imprevistos)</t>
    </r>
    <r>
      <rPr>
        <b/>
        <vertAlign val="superscript"/>
        <sz val="10"/>
        <rFont val="Arial"/>
        <family val="2"/>
      </rPr>
      <t>2</t>
    </r>
  </si>
  <si>
    <r>
      <t xml:space="preserve">3. </t>
    </r>
    <r>
      <rPr>
        <u val="single"/>
        <sz val="10"/>
        <rFont val="Arial"/>
        <family val="2"/>
      </rPr>
      <t>Superficie, producción y rendimiento</t>
    </r>
    <r>
      <rPr>
        <sz val="10"/>
        <rFont val="Arial"/>
        <family val="2"/>
      </rPr>
      <t>: se recuperan favorablemente los rendimientos y la superficie
La encuesta de INE sobre estimación de superficie de cultivos anuales para la temporada 2016/17 indica que en Chile la superficie sembrada estimada de 54.082 hectáreas de papas, lo que representa un aumento de 1,1% en la superficie nacional para la papa en comparación con la temporada 2015/16. Si se considera un rendimiento similar al de la temporada 2015/16, de 21,8 ton/ha, la producción alcanzaría esta temporada 1,18 millones de toneladas (cuadro 6 y gráfico 7).
Según la distribución regional de la superficie en 2016/17, la Región de La Araucanía nuevamente se presenta con la mayor área de papas a nivel nacional, con 13.886 hectáreas, concentrando 26% del total de la superficie nacional encuestada. Esta región disminuyó 7% la superficie de papas, en comparación con la temporada anterior. La siguieron en importancia la Región de Los Lagos, con 11.022 hectáreas (representando 20% del total de la superficie nacional), y la Región del Bío Bío, con 9.892 hectáreas (ocupando 18% del total de la superficie de papa). Sumando a la región de Los Ríos, estas cuatro regiones del sur concentran 72% del total de la superficie de papa nacional.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Es importante recordar que está vigente la resolución del SAG n°3276 de 2016, en la cual se informa sobre el Área Libre de plagas cuarentenarias - la cual comprende la provincia de Arauco en la Región del Biobio, y el territorio insular y continental de las regiones de La Araucanía, de Los Ríos, de Aysén, y de Magallanes - y además actualiza las disposiciones relativas a evitar la diseminación de estas plagas cuarentenarias hacia esta área, como por ejemplo la obligatoriedad de inscribirse en la Nómina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</si>
</sst>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_-* #,##0.0_-;\-* #,##0.0_-;_-* &quot;-&quot;??_-;_-@_-"/>
    <numFmt numFmtId="184" formatCode="#,##0_ ;\-#,##0\ "/>
    <numFmt numFmtId="185" formatCode="#,##0.0_ ;\-#,##0.0\ "/>
    <numFmt numFmtId="186" formatCode="dd/mm"/>
  </numFmts>
  <fonts count="127">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12"/>
      <color indexed="8"/>
      <name val="Verdana"/>
      <family val="2"/>
    </font>
    <font>
      <u val="single"/>
      <sz val="10"/>
      <color indexed="10"/>
      <name val="Arial"/>
      <family val="2"/>
    </font>
    <font>
      <b/>
      <sz val="12"/>
      <color indexed="8"/>
      <name val="Arial"/>
      <family val="2"/>
    </font>
    <font>
      <sz val="10"/>
      <color indexed="10"/>
      <name val="Calibri"/>
      <family val="2"/>
    </font>
    <font>
      <b/>
      <sz val="10"/>
      <color indexed="10"/>
      <name val="Arial"/>
      <family val="2"/>
    </font>
    <font>
      <i/>
      <sz val="10"/>
      <color indexed="10"/>
      <name val="Arial"/>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rgb="FFFF0000"/>
      <name val="Arial"/>
      <family val="2"/>
    </font>
    <font>
      <i/>
      <sz val="10"/>
      <color rgb="FFFF0000"/>
      <name val="Arial"/>
      <family val="2"/>
    </font>
    <font>
      <b/>
      <sz val="10"/>
      <color theme="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1" tint="0.49998000264167786"/>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border>
    <border>
      <left style="thin"/>
      <right style="thin"/>
      <top style="thin"/>
      <bottom style="thin"/>
    </border>
    <border>
      <left style="thin"/>
      <right/>
      <top/>
      <bottom style="thin"/>
    </border>
    <border>
      <left/>
      <right style="thin"/>
      <top/>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right/>
      <top style="thin">
        <color theme="1" tint="0.49998000264167786"/>
      </top>
      <bottom style="thin">
        <color theme="1" tint="0.34999001026153564"/>
      </bottom>
    </border>
    <border>
      <left style="thin"/>
      <right/>
      <top style="thin"/>
      <bottom style="thin">
        <color theme="0" tint="-0.1499900072813034"/>
      </bottom>
    </border>
    <border>
      <left/>
      <right style="thin"/>
      <top style="thin"/>
      <bottom style="thin">
        <color theme="0" tint="-0.1499900072813034"/>
      </bottom>
    </border>
    <border>
      <left style="thin"/>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right/>
      <top style="thin">
        <color theme="0" tint="-0.1499900072813034"/>
      </top>
      <bottom style="thin"/>
    </border>
    <border>
      <left/>
      <right/>
      <top style="thin">
        <color theme="0" tint="-0.1499900072813034"/>
      </top>
      <bottom style="thin"/>
    </border>
    <border>
      <left/>
      <right style="thin"/>
      <top style="thin">
        <color theme="0" tint="-0.1499900072813034"/>
      </top>
      <bottom style="thin"/>
    </border>
    <border>
      <left style="thin"/>
      <right style="thin"/>
      <top style="thin"/>
      <bottom style="thin">
        <color theme="0" tint="-0.1499900072813034"/>
      </bottom>
    </border>
    <border>
      <left style="thin"/>
      <right style="thin"/>
      <top style="thin">
        <color theme="0" tint="-0.1499900072813034"/>
      </top>
      <bottom style="thin">
        <color theme="0" tint="-0.1499900072813034"/>
      </bottom>
    </border>
    <border>
      <left style="thin"/>
      <right style="thin"/>
      <top style="thin">
        <color theme="0" tint="-0.1499900072813034"/>
      </top>
      <bottom style="thin"/>
    </border>
    <border>
      <left style="thin"/>
      <right/>
      <top style="thin"/>
      <bottom style="thin">
        <color theme="0" tint="-0.24997000396251678"/>
      </bottom>
    </border>
    <border>
      <left/>
      <right/>
      <top style="thin"/>
      <bottom style="thin">
        <color theme="0" tint="-0.24997000396251678"/>
      </bottom>
    </border>
    <border>
      <left/>
      <right style="thin"/>
      <top style="thin"/>
      <bottom style="thin">
        <color theme="0" tint="-0.24997000396251678"/>
      </bottom>
    </border>
    <border>
      <left style="thin"/>
      <right/>
      <top/>
      <bottom style="thin">
        <color theme="0" tint="-0.24997000396251678"/>
      </bottom>
    </border>
    <border>
      <left/>
      <right/>
      <top/>
      <bottom style="thin">
        <color theme="0" tint="-0.24997000396251678"/>
      </bottom>
    </border>
    <border>
      <left/>
      <right style="thin"/>
      <top/>
      <bottom style="thin">
        <color theme="0" tint="-0.24997000396251678"/>
      </bottom>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2" fillId="24" borderId="0" applyNumberFormat="0" applyBorder="0" applyAlignment="0" applyProtection="0"/>
    <xf numFmtId="0" fontId="8" fillId="25"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 fillId="25" borderId="0" applyNumberFormat="0" applyBorder="0" applyAlignment="0" applyProtection="0"/>
    <xf numFmtId="0" fontId="82" fillId="24" borderId="0" applyNumberFormat="0" applyBorder="0" applyAlignment="0" applyProtection="0"/>
    <xf numFmtId="0" fontId="82" fillId="24" borderId="0" applyNumberFormat="0" applyBorder="0" applyAlignment="0" applyProtection="0"/>
    <xf numFmtId="0" fontId="8" fillId="25" borderId="0" applyNumberFormat="0" applyBorder="0" applyAlignment="0" applyProtection="0"/>
    <xf numFmtId="0" fontId="82" fillId="26" borderId="0" applyNumberFormat="0" applyBorder="0" applyAlignment="0" applyProtection="0"/>
    <xf numFmtId="0" fontId="8" fillId="17"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 fillId="17" borderId="0" applyNumberFormat="0" applyBorder="0" applyAlignment="0" applyProtection="0"/>
    <xf numFmtId="0" fontId="82" fillId="26" borderId="0" applyNumberFormat="0" applyBorder="0" applyAlignment="0" applyProtection="0"/>
    <xf numFmtId="0" fontId="82" fillId="26" borderId="0" applyNumberFormat="0" applyBorder="0" applyAlignment="0" applyProtection="0"/>
    <xf numFmtId="0" fontId="8" fillId="17" borderId="0" applyNumberFormat="0" applyBorder="0" applyAlignment="0" applyProtection="0"/>
    <xf numFmtId="0" fontId="82" fillId="27" borderId="0" applyNumberFormat="0" applyBorder="0" applyAlignment="0" applyProtection="0"/>
    <xf numFmtId="0" fontId="8" fillId="19"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 fillId="19" borderId="0" applyNumberFormat="0" applyBorder="0" applyAlignment="0" applyProtection="0"/>
    <xf numFmtId="0" fontId="82" fillId="27" borderId="0" applyNumberFormat="0" applyBorder="0" applyAlignment="0" applyProtection="0"/>
    <xf numFmtId="0" fontId="82" fillId="27" borderId="0" applyNumberFormat="0" applyBorder="0" applyAlignment="0" applyProtection="0"/>
    <xf numFmtId="0" fontId="8" fillId="19" borderId="0" applyNumberFormat="0" applyBorder="0" applyAlignment="0" applyProtection="0"/>
    <xf numFmtId="0" fontId="82" fillId="28" borderId="0" applyNumberFormat="0" applyBorder="0" applyAlignment="0" applyProtection="0"/>
    <xf numFmtId="0" fontId="8" fillId="29"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 fillId="29" borderId="0" applyNumberFormat="0" applyBorder="0" applyAlignment="0" applyProtection="0"/>
    <xf numFmtId="0" fontId="82" fillId="28" borderId="0" applyNumberFormat="0" applyBorder="0" applyAlignment="0" applyProtection="0"/>
    <xf numFmtId="0" fontId="82" fillId="28" borderId="0" applyNumberFormat="0" applyBorder="0" applyAlignment="0" applyProtection="0"/>
    <xf numFmtId="0" fontId="8" fillId="29"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2" fillId="30" borderId="0" applyNumberFormat="0" applyBorder="0" applyAlignment="0" applyProtection="0"/>
    <xf numFmtId="0" fontId="82" fillId="30" borderId="0" applyNumberFormat="0" applyBorder="0" applyAlignment="0" applyProtection="0"/>
    <xf numFmtId="0" fontId="8" fillId="31" borderId="0" applyNumberFormat="0" applyBorder="0" applyAlignment="0" applyProtection="0"/>
    <xf numFmtId="0" fontId="82" fillId="32" borderId="0" applyNumberFormat="0" applyBorder="0" applyAlignment="0" applyProtection="0"/>
    <xf numFmtId="0" fontId="8" fillId="33"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 fillId="33" borderId="0" applyNumberFormat="0" applyBorder="0" applyAlignment="0" applyProtection="0"/>
    <xf numFmtId="0" fontId="82" fillId="32" borderId="0" applyNumberFormat="0" applyBorder="0" applyAlignment="0" applyProtection="0"/>
    <xf numFmtId="0" fontId="82"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9" fillId="7" borderId="0" applyNumberFormat="0" applyBorder="0" applyAlignment="0" applyProtection="0"/>
    <xf numFmtId="0" fontId="83" fillId="34" borderId="0" applyNumberFormat="0" applyBorder="0" applyAlignment="0" applyProtection="0"/>
    <xf numFmtId="0" fontId="83" fillId="34" borderId="0" applyNumberFormat="0" applyBorder="0" applyAlignment="0" applyProtection="0"/>
    <xf numFmtId="0" fontId="9" fillId="7" borderId="0" applyNumberFormat="0" applyBorder="0" applyAlignment="0" applyProtection="0"/>
    <xf numFmtId="0" fontId="83" fillId="34" borderId="0" applyNumberFormat="0" applyBorder="0" applyAlignment="0" applyProtection="0"/>
    <xf numFmtId="0" fontId="84" fillId="35" borderId="1" applyNumberFormat="0" applyAlignment="0" applyProtection="0"/>
    <xf numFmtId="0" fontId="10" fillId="36" borderId="2" applyNumberFormat="0" applyAlignment="0" applyProtection="0"/>
    <xf numFmtId="0" fontId="84" fillId="35" borderId="1" applyNumberFormat="0" applyAlignment="0" applyProtection="0"/>
    <xf numFmtId="0" fontId="84" fillId="35" borderId="1" applyNumberFormat="0" applyAlignment="0" applyProtection="0"/>
    <xf numFmtId="0" fontId="84" fillId="35" borderId="1" applyNumberFormat="0" applyAlignment="0" applyProtection="0"/>
    <xf numFmtId="0" fontId="10" fillId="36" borderId="2" applyNumberFormat="0" applyAlignment="0" applyProtection="0"/>
    <xf numFmtId="0" fontId="84" fillId="35" borderId="1" applyNumberFormat="0" applyAlignment="0" applyProtection="0"/>
    <xf numFmtId="0" fontId="84" fillId="35" borderId="1" applyNumberFormat="0" applyAlignment="0" applyProtection="0"/>
    <xf numFmtId="0" fontId="10" fillId="36" borderId="2" applyNumberFormat="0" applyAlignment="0" applyProtection="0"/>
    <xf numFmtId="0" fontId="85" fillId="37" borderId="3" applyNumberFormat="0" applyAlignment="0" applyProtection="0"/>
    <xf numFmtId="0" fontId="11" fillId="38" borderId="4" applyNumberFormat="0" applyAlignment="0" applyProtection="0"/>
    <xf numFmtId="0" fontId="85" fillId="37" borderId="3" applyNumberFormat="0" applyAlignment="0" applyProtection="0"/>
    <xf numFmtId="0" fontId="85" fillId="37" borderId="3" applyNumberFormat="0" applyAlignment="0" applyProtection="0"/>
    <xf numFmtId="0" fontId="85" fillId="37" borderId="3" applyNumberFormat="0" applyAlignment="0" applyProtection="0"/>
    <xf numFmtId="0" fontId="11" fillId="38" borderId="4" applyNumberFormat="0" applyAlignment="0" applyProtection="0"/>
    <xf numFmtId="0" fontId="85" fillId="37" borderId="3" applyNumberFormat="0" applyAlignment="0" applyProtection="0"/>
    <xf numFmtId="0" fontId="85" fillId="37" borderId="3" applyNumberFormat="0" applyAlignment="0" applyProtection="0"/>
    <xf numFmtId="0" fontId="11" fillId="38" borderId="4" applyNumberFormat="0" applyAlignment="0" applyProtection="0"/>
    <xf numFmtId="0" fontId="86" fillId="0" borderId="5" applyNumberFormat="0" applyFill="0" applyAlignment="0" applyProtection="0"/>
    <xf numFmtId="0" fontId="12" fillId="0" borderId="6"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12" fillId="0" borderId="6" applyNumberFormat="0" applyFill="0" applyAlignment="0" applyProtection="0"/>
    <xf numFmtId="0" fontId="86" fillId="0" borderId="5" applyNumberFormat="0" applyFill="0" applyAlignment="0" applyProtection="0"/>
    <xf numFmtId="0" fontId="86" fillId="0" borderId="5" applyNumberFormat="0" applyFill="0" applyAlignment="0" applyProtection="0"/>
    <xf numFmtId="0" fontId="12" fillId="0" borderId="6" applyNumberFormat="0" applyFill="0" applyAlignment="0" applyProtection="0"/>
    <xf numFmtId="0" fontId="87" fillId="0" borderId="7" applyNumberFormat="0" applyFill="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3" fillId="0" borderId="0" applyNumberFormat="0" applyFill="0" applyBorder="0" applyAlignment="0" applyProtection="0"/>
    <xf numFmtId="0" fontId="82" fillId="39" borderId="0" applyNumberFormat="0" applyBorder="0" applyAlignment="0" applyProtection="0"/>
    <xf numFmtId="0" fontId="8" fillId="40"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 fillId="40" borderId="0" applyNumberFormat="0" applyBorder="0" applyAlignment="0" applyProtection="0"/>
    <xf numFmtId="0" fontId="82" fillId="39" borderId="0" applyNumberFormat="0" applyBorder="0" applyAlignment="0" applyProtection="0"/>
    <xf numFmtId="0" fontId="82" fillId="39" borderId="0" applyNumberFormat="0" applyBorder="0" applyAlignment="0" applyProtection="0"/>
    <xf numFmtId="0" fontId="8" fillId="40" borderId="0" applyNumberFormat="0" applyBorder="0" applyAlignment="0" applyProtection="0"/>
    <xf numFmtId="0" fontId="82" fillId="41" borderId="0" applyNumberFormat="0" applyBorder="0" applyAlignment="0" applyProtection="0"/>
    <xf numFmtId="0" fontId="8" fillId="42"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 fillId="42" borderId="0" applyNumberFormat="0" applyBorder="0" applyAlignment="0" applyProtection="0"/>
    <xf numFmtId="0" fontId="82" fillId="41" borderId="0" applyNumberFormat="0" applyBorder="0" applyAlignment="0" applyProtection="0"/>
    <xf numFmtId="0" fontId="82" fillId="41" borderId="0" applyNumberFormat="0" applyBorder="0" applyAlignment="0" applyProtection="0"/>
    <xf numFmtId="0" fontId="8" fillId="42" borderId="0" applyNumberFormat="0" applyBorder="0" applyAlignment="0" applyProtection="0"/>
    <xf numFmtId="0" fontId="82" fillId="43" borderId="0" applyNumberFormat="0" applyBorder="0" applyAlignment="0" applyProtection="0"/>
    <xf numFmtId="0" fontId="8" fillId="44"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 fillId="44" borderId="0" applyNumberFormat="0" applyBorder="0" applyAlignment="0" applyProtection="0"/>
    <xf numFmtId="0" fontId="82" fillId="43" borderId="0" applyNumberFormat="0" applyBorder="0" applyAlignment="0" applyProtection="0"/>
    <xf numFmtId="0" fontId="82" fillId="43" borderId="0" applyNumberFormat="0" applyBorder="0" applyAlignment="0" applyProtection="0"/>
    <xf numFmtId="0" fontId="8" fillId="44" borderId="0" applyNumberFormat="0" applyBorder="0" applyAlignment="0" applyProtection="0"/>
    <xf numFmtId="0" fontId="82" fillId="45" borderId="0" applyNumberFormat="0" applyBorder="0" applyAlignment="0" applyProtection="0"/>
    <xf numFmtId="0" fontId="8" fillId="2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 fillId="29" borderId="0" applyNumberFormat="0" applyBorder="0" applyAlignment="0" applyProtection="0"/>
    <xf numFmtId="0" fontId="82" fillId="45" borderId="0" applyNumberFormat="0" applyBorder="0" applyAlignment="0" applyProtection="0"/>
    <xf numFmtId="0" fontId="82" fillId="45" borderId="0" applyNumberFormat="0" applyBorder="0" applyAlignment="0" applyProtection="0"/>
    <xf numFmtId="0" fontId="8" fillId="29" borderId="0" applyNumberFormat="0" applyBorder="0" applyAlignment="0" applyProtection="0"/>
    <xf numFmtId="0" fontId="82" fillId="46" borderId="0" applyNumberFormat="0" applyBorder="0" applyAlignment="0" applyProtection="0"/>
    <xf numFmtId="0" fontId="8" fillId="3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 fillId="31" borderId="0" applyNumberFormat="0" applyBorder="0" applyAlignment="0" applyProtection="0"/>
    <xf numFmtId="0" fontId="82" fillId="46" borderId="0" applyNumberFormat="0" applyBorder="0" applyAlignment="0" applyProtection="0"/>
    <xf numFmtId="0" fontId="82" fillId="46" borderId="0" applyNumberFormat="0" applyBorder="0" applyAlignment="0" applyProtection="0"/>
    <xf numFmtId="0" fontId="8" fillId="31" borderId="0" applyNumberFormat="0" applyBorder="0" applyAlignment="0" applyProtection="0"/>
    <xf numFmtId="0" fontId="82" fillId="47" borderId="0" applyNumberFormat="0" applyBorder="0" applyAlignment="0" applyProtection="0"/>
    <xf numFmtId="0" fontId="8" fillId="48"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 fillId="48" borderId="0" applyNumberFormat="0" applyBorder="0" applyAlignment="0" applyProtection="0"/>
    <xf numFmtId="0" fontId="82" fillId="47" borderId="0" applyNumberFormat="0" applyBorder="0" applyAlignment="0" applyProtection="0"/>
    <xf numFmtId="0" fontId="82" fillId="47" borderId="0" applyNumberFormat="0" applyBorder="0" applyAlignment="0" applyProtection="0"/>
    <xf numFmtId="0" fontId="8" fillId="48" borderId="0" applyNumberFormat="0" applyBorder="0" applyAlignment="0" applyProtection="0"/>
    <xf numFmtId="0" fontId="89" fillId="49" borderId="1" applyNumberFormat="0" applyAlignment="0" applyProtection="0"/>
    <xf numFmtId="0" fontId="14" fillId="13" borderId="2" applyNumberFormat="0" applyAlignment="0" applyProtection="0"/>
    <xf numFmtId="0" fontId="89" fillId="49" borderId="1" applyNumberFormat="0" applyAlignment="0" applyProtection="0"/>
    <xf numFmtId="0" fontId="89" fillId="49" borderId="1" applyNumberFormat="0" applyAlignment="0" applyProtection="0"/>
    <xf numFmtId="0" fontId="89" fillId="49" borderId="1" applyNumberFormat="0" applyAlignment="0" applyProtection="0"/>
    <xf numFmtId="0" fontId="14" fillId="13" borderId="2" applyNumberFormat="0" applyAlignment="0" applyProtection="0"/>
    <xf numFmtId="0" fontId="89" fillId="49" borderId="1" applyNumberFormat="0" applyAlignment="0" applyProtection="0"/>
    <xf numFmtId="0" fontId="89" fillId="49" borderId="1" applyNumberFormat="0" applyAlignment="0" applyProtection="0"/>
    <xf numFmtId="0" fontId="14" fillId="13" borderId="2" applyNumberFormat="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23" fillId="0" borderId="0" applyNumberFormat="0" applyFill="0" applyBorder="0" applyAlignment="0" applyProtection="0"/>
    <xf numFmtId="0" fontId="92" fillId="0" borderId="0" applyNumberFormat="0" applyFill="0" applyBorder="0" applyAlignment="0" applyProtection="0"/>
    <xf numFmtId="0" fontId="93" fillId="50" borderId="0" applyNumberFormat="0" applyBorder="0" applyAlignment="0" applyProtection="0"/>
    <xf numFmtId="0" fontId="15" fillId="5"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15" fillId="5"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51" borderId="0" applyNumberFormat="0" applyBorder="0" applyAlignment="0" applyProtection="0"/>
    <xf numFmtId="0" fontId="16" fillId="52"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16" fillId="52" borderId="0" applyNumberFormat="0" applyBorder="0" applyAlignment="0" applyProtection="0"/>
    <xf numFmtId="0" fontId="94" fillId="51" borderId="0" applyNumberFormat="0" applyBorder="0" applyAlignment="0" applyProtection="0"/>
    <xf numFmtId="0" fontId="94"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6" fillId="35" borderId="10" applyNumberFormat="0" applyAlignment="0" applyProtection="0"/>
    <xf numFmtId="0" fontId="17" fillId="36" borderId="11" applyNumberFormat="0" applyAlignment="0" applyProtection="0"/>
    <xf numFmtId="0" fontId="96" fillId="35" borderId="10" applyNumberFormat="0" applyAlignment="0" applyProtection="0"/>
    <xf numFmtId="0" fontId="96" fillId="35" borderId="10" applyNumberFormat="0" applyAlignment="0" applyProtection="0"/>
    <xf numFmtId="0" fontId="96" fillId="35" borderId="10" applyNumberFormat="0" applyAlignment="0" applyProtection="0"/>
    <xf numFmtId="0" fontId="17" fillId="36" borderId="11" applyNumberFormat="0" applyAlignment="0" applyProtection="0"/>
    <xf numFmtId="0" fontId="96" fillId="35" borderId="10" applyNumberFormat="0" applyAlignment="0" applyProtection="0"/>
    <xf numFmtId="0" fontId="96" fillId="35" borderId="10" applyNumberFormat="0" applyAlignment="0" applyProtection="0"/>
    <xf numFmtId="0" fontId="17" fillId="36" borderId="11" applyNumberFormat="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20" fillId="0" borderId="12"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20" fillId="0" borderId="12" applyNumberFormat="0" applyFill="0" applyAlignment="0" applyProtection="0"/>
    <xf numFmtId="0" fontId="87" fillId="0" borderId="7" applyNumberFormat="0" applyFill="0" applyAlignment="0" applyProtection="0"/>
    <xf numFmtId="0" fontId="87" fillId="0" borderId="7" applyNumberFormat="0" applyFill="0" applyAlignment="0" applyProtection="0"/>
    <xf numFmtId="0" fontId="20" fillId="0" borderId="12" applyNumberFormat="0" applyFill="0" applyAlignment="0" applyProtection="0"/>
    <xf numFmtId="0" fontId="100" fillId="0" borderId="13" applyNumberFormat="0" applyFill="0" applyAlignment="0" applyProtection="0"/>
    <xf numFmtId="0" fontId="21" fillId="0" borderId="14"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21" fillId="0" borderId="14" applyNumberFormat="0" applyFill="0" applyAlignment="0" applyProtection="0"/>
    <xf numFmtId="0" fontId="100" fillId="0" borderId="13" applyNumberFormat="0" applyFill="0" applyAlignment="0" applyProtection="0"/>
    <xf numFmtId="0" fontId="100" fillId="0" borderId="13" applyNumberFormat="0" applyFill="0" applyAlignment="0" applyProtection="0"/>
    <xf numFmtId="0" fontId="21" fillId="0" borderId="14" applyNumberFormat="0" applyFill="0" applyAlignment="0" applyProtection="0"/>
    <xf numFmtId="0" fontId="88" fillId="0" borderId="15" applyNumberFormat="0" applyFill="0" applyAlignment="0" applyProtection="0"/>
    <xf numFmtId="0" fontId="13" fillId="0" borderId="16"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13" fillId="0" borderId="16" applyNumberFormat="0" applyFill="0" applyAlignment="0" applyProtection="0"/>
    <xf numFmtId="0" fontId="88" fillId="0" borderId="15" applyNumberFormat="0" applyFill="0" applyAlignment="0" applyProtection="0"/>
    <xf numFmtId="0" fontId="88"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5" fillId="0" borderId="0" applyNumberFormat="0" applyFill="0" applyBorder="0" applyAlignment="0" applyProtection="0"/>
    <xf numFmtId="0" fontId="101" fillId="0" borderId="17" applyNumberFormat="0" applyFill="0" applyAlignment="0" applyProtection="0"/>
    <xf numFmtId="0" fontId="6" fillId="0" borderId="18"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6" fillId="0" borderId="18" applyNumberFormat="0" applyFill="0" applyAlignment="0" applyProtection="0"/>
    <xf numFmtId="0" fontId="101" fillId="0" borderId="17" applyNumberFormat="0" applyFill="0" applyAlignment="0" applyProtection="0"/>
    <xf numFmtId="0" fontId="101" fillId="0" borderId="17" applyNumberFormat="0" applyFill="0" applyAlignment="0" applyProtection="0"/>
    <xf numFmtId="0" fontId="6" fillId="0" borderId="18" applyNumberFormat="0" applyFill="0" applyAlignment="0" applyProtection="0"/>
  </cellStyleXfs>
  <cellXfs count="428">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lignment/>
      <protection/>
    </xf>
    <xf numFmtId="0" fontId="22" fillId="55" borderId="20"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2"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2" fillId="55" borderId="0" xfId="372" applyFont="1" applyFill="1" applyBorder="1" applyAlignment="1" applyProtection="1">
      <alignment horizontal="center"/>
      <protection/>
    </xf>
    <xf numFmtId="0" fontId="102"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3"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1" xfId="372" applyFont="1" applyFill="1" applyBorder="1" applyAlignment="1" applyProtection="1">
      <alignment horizontal="center" vertical="center"/>
      <protection/>
    </xf>
    <xf numFmtId="0" fontId="22" fillId="55" borderId="21" xfId="372" applyFont="1" applyFill="1" applyBorder="1" applyAlignment="1" applyProtection="1">
      <alignment horizontal="left" vertical="center"/>
      <protection/>
    </xf>
    <xf numFmtId="0" fontId="22" fillId="55" borderId="21"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91" fillId="55" borderId="0" xfId="286" applyFont="1" applyFill="1" applyAlignment="1" applyProtection="1">
      <alignment/>
      <protection/>
    </xf>
    <xf numFmtId="0" fontId="91" fillId="55" borderId="0" xfId="286" applyFont="1" applyFill="1" applyBorder="1" applyAlignment="1" applyProtection="1">
      <alignment horizontal="right"/>
      <protection/>
    </xf>
    <xf numFmtId="0" fontId="91"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4" fillId="56" borderId="21" xfId="0" applyFont="1" applyFill="1" applyBorder="1" applyAlignment="1">
      <alignment vertical="center"/>
    </xf>
    <xf numFmtId="0" fontId="104" fillId="56" borderId="21" xfId="0" applyFont="1" applyFill="1" applyBorder="1" applyAlignment="1">
      <alignment horizontal="center" vertical="center" wrapText="1"/>
    </xf>
    <xf numFmtId="3" fontId="105" fillId="55" borderId="22"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105" fillId="55" borderId="0" xfId="0" applyFont="1" applyFill="1" applyAlignment="1">
      <alignment/>
    </xf>
    <xf numFmtId="3" fontId="104" fillId="55" borderId="23" xfId="0" applyNumberFormat="1" applyFont="1" applyFill="1" applyBorder="1" applyAlignment="1" quotePrefix="1">
      <alignment horizontal="center" vertical="center" wrapText="1"/>
    </xf>
    <xf numFmtId="3" fontId="104" fillId="55" borderId="24" xfId="0" applyNumberFormat="1" applyFont="1" applyFill="1" applyBorder="1" applyAlignment="1" quotePrefix="1">
      <alignment horizontal="center" vertical="center" wrapText="1"/>
    </xf>
    <xf numFmtId="175" fontId="104" fillId="55" borderId="24" xfId="0" applyNumberFormat="1" applyFont="1" applyFill="1" applyBorder="1" applyAlignment="1">
      <alignment horizontal="center" vertical="center" wrapText="1"/>
    </xf>
    <xf numFmtId="3" fontId="104" fillId="55" borderId="24" xfId="0" applyNumberFormat="1" applyFont="1" applyFill="1" applyBorder="1" applyAlignment="1">
      <alignment horizontal="center" vertical="center" wrapText="1"/>
    </xf>
    <xf numFmtId="175" fontId="104" fillId="55" borderId="25" xfId="0" applyNumberFormat="1" applyFont="1" applyFill="1" applyBorder="1" applyAlignment="1">
      <alignment horizontal="center" vertical="center" wrapText="1"/>
    </xf>
    <xf numFmtId="3" fontId="105" fillId="55" borderId="0" xfId="0" applyNumberFormat="1" applyFont="1" applyFill="1" applyAlignment="1">
      <alignment/>
    </xf>
    <xf numFmtId="3" fontId="105" fillId="55" borderId="26" xfId="0" applyNumberFormat="1" applyFont="1" applyFill="1" applyBorder="1" applyAlignment="1">
      <alignment/>
    </xf>
    <xf numFmtId="3" fontId="105" fillId="55" borderId="0" xfId="0" applyNumberFormat="1" applyFont="1" applyFill="1" applyBorder="1" applyAlignment="1">
      <alignment/>
    </xf>
    <xf numFmtId="175" fontId="105" fillId="55" borderId="27" xfId="0" applyNumberFormat="1" applyFont="1" applyFill="1" applyBorder="1" applyAlignment="1">
      <alignment horizontal="right"/>
    </xf>
    <xf numFmtId="0" fontId="91" fillId="55" borderId="0" xfId="286" applyFont="1" applyFill="1" applyAlignment="1">
      <alignment/>
    </xf>
    <xf numFmtId="175"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9" fontId="2" fillId="55" borderId="0" xfId="362" applyNumberFormat="1" applyFont="1" applyFill="1">
      <alignment/>
      <protection/>
    </xf>
    <xf numFmtId="178" fontId="2" fillId="55" borderId="0" xfId="362" applyNumberFormat="1" applyFont="1" applyFill="1">
      <alignment/>
      <protection/>
    </xf>
    <xf numFmtId="3" fontId="106" fillId="0" borderId="0" xfId="0" applyNumberFormat="1" applyFont="1" applyAlignment="1">
      <alignment/>
    </xf>
    <xf numFmtId="0" fontId="107" fillId="55" borderId="0" xfId="0" applyFont="1" applyFill="1" applyAlignment="1">
      <alignment/>
    </xf>
    <xf numFmtId="14" fontId="105" fillId="55" borderId="22" xfId="0" applyNumberFormat="1" applyFont="1" applyFill="1" applyBorder="1" applyAlignment="1">
      <alignment horizontal="left"/>
    </xf>
    <xf numFmtId="0" fontId="105" fillId="55" borderId="0" xfId="0" applyFont="1" applyFill="1" applyAlignment="1">
      <alignment horizontal="center"/>
    </xf>
    <xf numFmtId="0" fontId="104" fillId="55" borderId="21" xfId="0" applyFont="1" applyFill="1" applyBorder="1" applyAlignment="1">
      <alignment vertical="center"/>
    </xf>
    <xf numFmtId="0" fontId="104" fillId="55" borderId="21" xfId="0" applyFont="1" applyFill="1" applyBorder="1" applyAlignment="1">
      <alignment horizontal="center" vertical="center"/>
    </xf>
    <xf numFmtId="0" fontId="108" fillId="55" borderId="0" xfId="0" applyFont="1" applyFill="1" applyAlignment="1">
      <alignment horizontal="center" vertical="center" readingOrder="1"/>
    </xf>
    <xf numFmtId="0" fontId="2" fillId="55" borderId="26" xfId="362" applyFont="1" applyFill="1" applyBorder="1">
      <alignment/>
      <protection/>
    </xf>
    <xf numFmtId="3" fontId="104" fillId="55" borderId="28" xfId="0" applyNumberFormat="1" applyFont="1" applyFill="1" applyBorder="1" applyAlignment="1">
      <alignment/>
    </xf>
    <xf numFmtId="3" fontId="104" fillId="55" borderId="21" xfId="0" applyNumberFormat="1" applyFont="1" applyFill="1" applyBorder="1" applyAlignment="1">
      <alignment/>
    </xf>
    <xf numFmtId="175" fontId="104" fillId="55" borderId="29" xfId="0" applyNumberFormat="1" applyFont="1" applyFill="1" applyBorder="1" applyAlignment="1">
      <alignment horizontal="right"/>
    </xf>
    <xf numFmtId="3" fontId="104" fillId="55" borderId="23" xfId="0" applyNumberFormat="1" applyFont="1" applyFill="1" applyBorder="1" applyAlignment="1">
      <alignment/>
    </xf>
    <xf numFmtId="3" fontId="104" fillId="55" borderId="24" xfId="0" applyNumberFormat="1" applyFont="1" applyFill="1" applyBorder="1" applyAlignment="1">
      <alignment/>
    </xf>
    <xf numFmtId="175" fontId="104" fillId="55" borderId="25" xfId="0" applyNumberFormat="1" applyFont="1" applyFill="1" applyBorder="1" applyAlignment="1">
      <alignment horizontal="right"/>
    </xf>
    <xf numFmtId="0" fontId="105" fillId="55" borderId="24" xfId="0" applyFont="1" applyFill="1" applyBorder="1" applyAlignment="1">
      <alignment/>
    </xf>
    <xf numFmtId="0" fontId="105" fillId="55" borderId="0" xfId="0" applyFont="1" applyFill="1" applyBorder="1" applyAlignment="1">
      <alignment/>
    </xf>
    <xf numFmtId="0" fontId="109" fillId="55" borderId="0" xfId="286" applyFont="1" applyFill="1" applyAlignment="1">
      <alignment/>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0" fontId="0" fillId="55" borderId="0" xfId="0" applyFill="1" applyAlignment="1">
      <alignment/>
    </xf>
    <xf numFmtId="0" fontId="110" fillId="55" borderId="0" xfId="0" applyFont="1" applyFill="1" applyAlignment="1">
      <alignment/>
    </xf>
    <xf numFmtId="0" fontId="110" fillId="55" borderId="0" xfId="358" applyFont="1" applyFill="1">
      <alignment/>
      <protection/>
    </xf>
    <xf numFmtId="0" fontId="0" fillId="55" borderId="0" xfId="0" applyFill="1" applyAlignment="1">
      <alignment horizontal="center" vertical="center"/>
    </xf>
    <xf numFmtId="0" fontId="111" fillId="55" borderId="0" xfId="358" applyFont="1" applyFill="1" applyAlignment="1">
      <alignment vertical="top"/>
      <protection/>
    </xf>
    <xf numFmtId="0" fontId="112" fillId="55" borderId="0" xfId="358" applyFont="1" applyFill="1" applyAlignment="1">
      <alignment horizontal="left" vertical="top"/>
      <protection/>
    </xf>
    <xf numFmtId="17" fontId="113" fillId="55" borderId="0" xfId="358" applyNumberFormat="1" applyFont="1" applyFill="1" applyAlignment="1" quotePrefix="1">
      <alignment vertical="center"/>
      <protection/>
    </xf>
    <xf numFmtId="0" fontId="113" fillId="55" borderId="0" xfId="358" applyFont="1" applyFill="1" applyAlignment="1">
      <alignment vertical="center"/>
      <protection/>
    </xf>
    <xf numFmtId="0" fontId="114" fillId="55" borderId="0" xfId="358" applyFont="1" applyFill="1" applyAlignment="1">
      <alignment horizontal="left" vertical="center"/>
      <protection/>
    </xf>
    <xf numFmtId="174" fontId="2" fillId="55" borderId="0" xfId="362" applyNumberFormat="1"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30" xfId="305" applyNumberFormat="1" applyFont="1" applyFill="1" applyBorder="1" applyAlignment="1">
      <alignment horizontal="center" vertical="center" wrapText="1"/>
    </xf>
    <xf numFmtId="175" fontId="2" fillId="55" borderId="0" xfId="305" applyNumberFormat="1" applyFont="1" applyFill="1" applyBorder="1" applyAlignment="1">
      <alignment horizontal="center" vertical="center" wrapText="1"/>
    </xf>
    <xf numFmtId="175" fontId="2" fillId="55" borderId="0" xfId="362" applyNumberFormat="1" applyFont="1" applyFill="1" applyBorder="1" applyAlignment="1">
      <alignment horizontal="center"/>
      <protection/>
    </xf>
    <xf numFmtId="0" fontId="2" fillId="55" borderId="0" xfId="350" applyFont="1" applyFill="1" applyBorder="1">
      <alignment/>
      <protection/>
    </xf>
    <xf numFmtId="0" fontId="104" fillId="55" borderId="21" xfId="0" applyFont="1" applyFill="1" applyBorder="1" applyAlignment="1">
      <alignment horizontal="center" vertical="center" wrapText="1"/>
    </xf>
    <xf numFmtId="175" fontId="2" fillId="55" borderId="0" xfId="305" applyNumberFormat="1" applyFont="1" applyFill="1" applyBorder="1" applyAlignment="1">
      <alignment horizontal="center" vertical="center"/>
    </xf>
    <xf numFmtId="180" fontId="105" fillId="55" borderId="0" xfId="0" applyNumberFormat="1" applyFont="1" applyFill="1" applyAlignment="1">
      <alignment horizontal="left"/>
    </xf>
    <xf numFmtId="14" fontId="105" fillId="55" borderId="31" xfId="0" applyNumberFormat="1" applyFont="1" applyFill="1" applyBorder="1" applyAlignment="1">
      <alignment horizontal="left"/>
    </xf>
    <xf numFmtId="3" fontId="105" fillId="55" borderId="31" xfId="0" applyNumberFormat="1" applyFont="1" applyFill="1" applyBorder="1" applyAlignment="1">
      <alignment horizontal="center"/>
    </xf>
    <xf numFmtId="14" fontId="105" fillId="55" borderId="32" xfId="0" applyNumberFormat="1" applyFont="1" applyFill="1" applyBorder="1" applyAlignment="1">
      <alignment horizontal="left"/>
    </xf>
    <xf numFmtId="3" fontId="105" fillId="55" borderId="32" xfId="0" applyNumberFormat="1" applyFont="1" applyFill="1" applyBorder="1" applyAlignment="1">
      <alignment horizontal="center"/>
    </xf>
    <xf numFmtId="180" fontId="105" fillId="55" borderId="33" xfId="0" applyNumberFormat="1" applyFont="1" applyFill="1" applyBorder="1" applyAlignment="1">
      <alignment horizontal="left"/>
    </xf>
    <xf numFmtId="180" fontId="105"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104"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0" fillId="55" borderId="0" xfId="0" applyFont="1" applyFill="1" applyAlignment="1">
      <alignment/>
    </xf>
    <xf numFmtId="0" fontId="115" fillId="55" borderId="0" xfId="358" applyFont="1" applyFill="1" applyAlignment="1">
      <alignment horizontal="center"/>
      <protection/>
    </xf>
    <xf numFmtId="0" fontId="110" fillId="55" borderId="0" xfId="358" applyFont="1" applyFill="1" applyAlignment="1">
      <alignment horizontal="center"/>
      <protection/>
    </xf>
    <xf numFmtId="0" fontId="115" fillId="55" borderId="0" xfId="358" applyFont="1" applyFill="1" applyAlignment="1">
      <alignment/>
      <protection/>
    </xf>
    <xf numFmtId="0" fontId="110" fillId="55" borderId="0" xfId="358" applyFont="1" applyFill="1" applyAlignment="1">
      <alignment/>
      <protection/>
    </xf>
    <xf numFmtId="0" fontId="28" fillId="55" borderId="0" xfId="286" applyFont="1" applyFill="1" applyAlignment="1">
      <alignment vertical="center"/>
    </xf>
    <xf numFmtId="0" fontId="28" fillId="55" borderId="0" xfId="286" applyFont="1" applyFill="1" applyAlignment="1">
      <alignment horizontal="center" vertical="center"/>
    </xf>
    <xf numFmtId="0" fontId="115" fillId="55" borderId="0" xfId="358" applyFont="1" applyFill="1" applyAlignment="1">
      <alignment vertical="center"/>
      <protection/>
    </xf>
    <xf numFmtId="0" fontId="104" fillId="55" borderId="0" xfId="0" applyFont="1" applyFill="1" applyBorder="1" applyAlignment="1">
      <alignment horizontal="center"/>
    </xf>
    <xf numFmtId="175" fontId="104" fillId="55" borderId="0" xfId="0" applyNumberFormat="1" applyFont="1" applyFill="1" applyBorder="1" applyAlignment="1">
      <alignment horizontal="center" vertical="center" wrapText="1"/>
    </xf>
    <xf numFmtId="175" fontId="105" fillId="55" borderId="0" xfId="0" applyNumberFormat="1" applyFont="1" applyFill="1" applyBorder="1" applyAlignment="1">
      <alignment horizontal="right"/>
    </xf>
    <xf numFmtId="175" fontId="104" fillId="55" borderId="0" xfId="0" applyNumberFormat="1" applyFont="1" applyFill="1" applyBorder="1" applyAlignment="1">
      <alignment horizontal="right"/>
    </xf>
    <xf numFmtId="0" fontId="107" fillId="55" borderId="0" xfId="0" applyFont="1" applyFill="1" applyBorder="1" applyAlignment="1">
      <alignment horizontal="left"/>
    </xf>
    <xf numFmtId="0" fontId="104" fillId="56" borderId="0" xfId="0" applyFont="1" applyFill="1" applyBorder="1" applyAlignment="1">
      <alignment horizontal="center" vertical="center" wrapText="1"/>
    </xf>
    <xf numFmtId="3" fontId="105" fillId="55" borderId="0" xfId="0" applyNumberFormat="1" applyFont="1" applyFill="1" applyBorder="1" applyAlignment="1">
      <alignment horizontal="center"/>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30" xfId="362" applyFont="1" applyFill="1" applyBorder="1" applyAlignment="1">
      <alignment horizontal="center" wrapText="1"/>
      <protection/>
    </xf>
    <xf numFmtId="3" fontId="2" fillId="55" borderId="3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115" fillId="55" borderId="0" xfId="358" applyFont="1" applyFill="1" applyAlignment="1">
      <alignment horizontal="center"/>
      <protection/>
    </xf>
    <xf numFmtId="0" fontId="104" fillId="55" borderId="28" xfId="0" applyFont="1" applyFill="1" applyBorder="1" applyAlignment="1">
      <alignment/>
    </xf>
    <xf numFmtId="0" fontId="104" fillId="55" borderId="29" xfId="0" applyFont="1" applyFill="1" applyBorder="1" applyAlignment="1">
      <alignment/>
    </xf>
    <xf numFmtId="0" fontId="104" fillId="55" borderId="28" xfId="0" applyFont="1" applyFill="1" applyBorder="1" applyAlignment="1">
      <alignment horizontal="left" vertical="center"/>
    </xf>
    <xf numFmtId="0" fontId="104" fillId="55" borderId="29" xfId="0" applyFont="1" applyFill="1" applyBorder="1" applyAlignment="1">
      <alignment horizontal="left" vertical="center"/>
    </xf>
    <xf numFmtId="3" fontId="2" fillId="0" borderId="0" xfId="362" applyNumberFormat="1" applyFont="1" applyFill="1">
      <alignment/>
      <protection/>
    </xf>
    <xf numFmtId="17" fontId="2" fillId="0" borderId="0" xfId="362" applyNumberFormat="1" applyFont="1" applyFill="1">
      <alignment/>
      <protection/>
    </xf>
    <xf numFmtId="181" fontId="2" fillId="55" borderId="0" xfId="382" applyNumberFormat="1" applyFont="1" applyFill="1" applyAlignment="1">
      <alignment/>
    </xf>
    <xf numFmtId="0" fontId="110" fillId="55" borderId="0" xfId="358" applyFont="1" applyFill="1" applyAlignment="1">
      <alignment wrapText="1"/>
      <protection/>
    </xf>
    <xf numFmtId="17" fontId="110" fillId="55" borderId="0" xfId="358" applyNumberFormat="1" applyFont="1" applyFill="1" applyAlignment="1" quotePrefix="1">
      <alignment horizontal="center"/>
      <protection/>
    </xf>
    <xf numFmtId="0" fontId="105" fillId="55" borderId="25" xfId="0" applyFont="1" applyFill="1" applyBorder="1" applyAlignment="1">
      <alignment/>
    </xf>
    <xf numFmtId="0" fontId="105" fillId="55" borderId="27" xfId="0" applyFont="1" applyFill="1" applyBorder="1" applyAlignment="1">
      <alignment/>
    </xf>
    <xf numFmtId="0" fontId="22" fillId="55" borderId="0" xfId="362" applyFont="1" applyFill="1" applyBorder="1" applyAlignment="1">
      <alignment/>
      <protection/>
    </xf>
    <xf numFmtId="182" fontId="2" fillId="55" borderId="0" xfId="362" applyNumberFormat="1" applyFont="1" applyFill="1">
      <alignment/>
      <protection/>
    </xf>
    <xf numFmtId="0" fontId="24" fillId="55" borderId="0" xfId="366" applyFont="1" applyFill="1" applyBorder="1" applyAlignment="1">
      <alignment vertical="center" wrapText="1"/>
      <protection/>
    </xf>
    <xf numFmtId="0" fontId="116" fillId="55" borderId="0" xfId="0" applyFont="1" applyFill="1" applyAlignment="1" quotePrefix="1">
      <alignment horizontal="center"/>
    </xf>
    <xf numFmtId="0" fontId="22" fillId="55" borderId="0" xfId="362" applyFont="1" applyFill="1" applyBorder="1" applyAlignment="1">
      <alignment horizontal="center"/>
      <protection/>
    </xf>
    <xf numFmtId="9" fontId="2" fillId="55" borderId="0" xfId="382" applyFont="1" applyFill="1" applyAlignment="1">
      <alignment/>
    </xf>
    <xf numFmtId="0" fontId="117" fillId="55" borderId="0" xfId="362" applyFont="1" applyFill="1">
      <alignment/>
      <protection/>
    </xf>
    <xf numFmtId="0" fontId="24" fillId="55" borderId="24" xfId="366" applyFont="1" applyFill="1" applyBorder="1" applyAlignment="1">
      <alignment horizontal="left" vertical="center" wrapText="1"/>
      <protection/>
    </xf>
    <xf numFmtId="0" fontId="24" fillId="55" borderId="24" xfId="362" applyFont="1" applyFill="1" applyBorder="1">
      <alignment/>
      <protection/>
    </xf>
    <xf numFmtId="3" fontId="105" fillId="55" borderId="33" xfId="0" applyNumberFormat="1" applyFont="1" applyFill="1" applyBorder="1" applyAlignment="1">
      <alignment horizontal="center"/>
    </xf>
    <xf numFmtId="3" fontId="105" fillId="55" borderId="0" xfId="0" applyNumberFormat="1" applyFont="1" applyFill="1" applyAlignment="1">
      <alignment horizontal="center"/>
    </xf>
    <xf numFmtId="0" fontId="118" fillId="55" borderId="0" xfId="0" applyFont="1" applyFill="1" applyAlignment="1">
      <alignment/>
    </xf>
    <xf numFmtId="181" fontId="118" fillId="55" borderId="0" xfId="382" applyNumberFormat="1" applyFont="1" applyFill="1" applyAlignment="1">
      <alignment/>
    </xf>
    <xf numFmtId="0" fontId="119" fillId="55" borderId="0" xfId="286" applyFont="1" applyFill="1" applyAlignment="1">
      <alignment/>
    </xf>
    <xf numFmtId="0" fontId="118" fillId="55" borderId="0" xfId="362" applyFont="1" applyFill="1">
      <alignment/>
      <protection/>
    </xf>
    <xf numFmtId="178" fontId="118" fillId="55" borderId="0" xfId="362" applyNumberFormat="1" applyFont="1" applyFill="1">
      <alignment/>
      <protection/>
    </xf>
    <xf numFmtId="183" fontId="2" fillId="55" borderId="0" xfId="300" applyNumberFormat="1" applyFont="1" applyFill="1" applyAlignment="1">
      <alignment/>
    </xf>
    <xf numFmtId="175" fontId="2" fillId="55" borderId="34" xfId="351" applyNumberFormat="1" applyFont="1" applyFill="1" applyBorder="1" applyAlignment="1">
      <alignment horizontal="center" vertical="center" wrapText="1"/>
      <protection/>
    </xf>
    <xf numFmtId="175" fontId="2" fillId="55" borderId="32" xfId="351" applyNumberFormat="1" applyFont="1" applyFill="1" applyBorder="1" applyAlignment="1">
      <alignment horizontal="center" vertical="center" wrapText="1"/>
      <protection/>
    </xf>
    <xf numFmtId="175" fontId="2" fillId="0" borderId="32" xfId="351" applyNumberFormat="1" applyFont="1" applyFill="1" applyBorder="1" applyAlignment="1">
      <alignment horizontal="center" vertical="center" wrapText="1"/>
      <protection/>
    </xf>
    <xf numFmtId="175" fontId="2" fillId="55" borderId="0" xfId="351" applyNumberFormat="1" applyFont="1" applyFill="1" applyBorder="1" applyAlignment="1">
      <alignment horizontal="center" vertical="center" wrapText="1"/>
      <protection/>
    </xf>
    <xf numFmtId="175" fontId="22" fillId="55" borderId="20" xfId="351" applyNumberFormat="1" applyFont="1" applyFill="1" applyBorder="1" applyAlignment="1">
      <alignment horizontal="center" vertical="center" wrapText="1"/>
      <protection/>
    </xf>
    <xf numFmtId="175" fontId="22" fillId="0" borderId="20" xfId="351" applyNumberFormat="1" applyFont="1" applyFill="1" applyBorder="1" applyAlignment="1">
      <alignment horizontal="center" vertical="center" wrapText="1"/>
      <protection/>
    </xf>
    <xf numFmtId="175"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5" fillId="55" borderId="35" xfId="0" applyFont="1" applyFill="1" applyBorder="1" applyAlignment="1">
      <alignment horizontal="left" vertical="center"/>
    </xf>
    <xf numFmtId="3" fontId="105" fillId="55" borderId="0" xfId="0" applyNumberFormat="1" applyFont="1" applyFill="1" applyBorder="1" applyAlignment="1">
      <alignment horizontal="right" vertical="center"/>
    </xf>
    <xf numFmtId="175" fontId="105" fillId="55" borderId="27" xfId="0" applyNumberFormat="1" applyFont="1" applyFill="1" applyBorder="1" applyAlignment="1">
      <alignment horizontal="right" vertical="center"/>
    </xf>
    <xf numFmtId="181" fontId="105" fillId="55" borderId="0" xfId="382" applyNumberFormat="1" applyFont="1" applyFill="1" applyAlignment="1">
      <alignment/>
    </xf>
    <xf numFmtId="175" fontId="118"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18" fillId="55" borderId="0" xfId="0" applyNumberFormat="1" applyFont="1" applyFill="1" applyAlignment="1">
      <alignment/>
    </xf>
    <xf numFmtId="0" fontId="2" fillId="55" borderId="0" xfId="0" applyFont="1" applyFill="1" applyAlignment="1">
      <alignment/>
    </xf>
    <xf numFmtId="181" fontId="117" fillId="55" borderId="0" xfId="382" applyNumberFormat="1" applyFont="1" applyFill="1" applyAlignment="1">
      <alignment/>
    </xf>
    <xf numFmtId="0" fontId="2" fillId="55" borderId="27" xfId="362" applyFont="1" applyFill="1" applyBorder="1">
      <alignment/>
      <protection/>
    </xf>
    <xf numFmtId="0" fontId="104" fillId="56" borderId="0" xfId="0" applyFont="1" applyFill="1" applyBorder="1" applyAlignment="1">
      <alignment horizontal="center"/>
    </xf>
    <xf numFmtId="0" fontId="104" fillId="56" borderId="36" xfId="0" applyFont="1" applyFill="1" applyBorder="1" applyAlignment="1">
      <alignment vertical="center"/>
    </xf>
    <xf numFmtId="0" fontId="104" fillId="56" borderId="37" xfId="0" applyFont="1" applyFill="1" applyBorder="1" applyAlignment="1">
      <alignment horizontal="center" vertical="center" wrapText="1"/>
    </xf>
    <xf numFmtId="0" fontId="104" fillId="56" borderId="22" xfId="0" applyFont="1" applyFill="1" applyBorder="1" applyAlignment="1">
      <alignment horizontal="center" vertical="center" wrapText="1"/>
    </xf>
    <xf numFmtId="0" fontId="104" fillId="56" borderId="38" xfId="0" applyFont="1" applyFill="1" applyBorder="1" applyAlignment="1">
      <alignment horizontal="center" vertical="center" wrapText="1"/>
    </xf>
    <xf numFmtId="180" fontId="105" fillId="55" borderId="39" xfId="0" applyNumberFormat="1" applyFont="1" applyFill="1" applyBorder="1" applyAlignment="1">
      <alignment horizontal="left"/>
    </xf>
    <xf numFmtId="3" fontId="105" fillId="55" borderId="40" xfId="0" applyNumberFormat="1" applyFont="1" applyFill="1" applyBorder="1" applyAlignment="1">
      <alignment horizontal="center"/>
    </xf>
    <xf numFmtId="3" fontId="105" fillId="55" borderId="41" xfId="0" applyNumberFormat="1" applyFont="1" applyFill="1" applyBorder="1" applyAlignment="1">
      <alignment horizontal="center"/>
    </xf>
    <xf numFmtId="180" fontId="105" fillId="55" borderId="42" xfId="0" applyNumberFormat="1" applyFont="1" applyFill="1" applyBorder="1" applyAlignment="1">
      <alignment horizontal="left"/>
    </xf>
    <xf numFmtId="3" fontId="105" fillId="55" borderId="37" xfId="0" applyNumberFormat="1" applyFont="1" applyFill="1" applyBorder="1" applyAlignment="1">
      <alignment horizontal="center"/>
    </xf>
    <xf numFmtId="3" fontId="105" fillId="55" borderId="38" xfId="0" applyNumberFormat="1" applyFont="1" applyFill="1" applyBorder="1" applyAlignment="1">
      <alignment horizontal="center"/>
    </xf>
    <xf numFmtId="3" fontId="2" fillId="55" borderId="0" xfId="0" applyNumberFormat="1" applyFont="1" applyFill="1" applyAlignment="1">
      <alignment/>
    </xf>
    <xf numFmtId="0" fontId="90" fillId="55" borderId="0" xfId="286" applyFill="1" applyBorder="1" applyAlignment="1" applyProtection="1">
      <alignment horizontal="right"/>
      <protection/>
    </xf>
    <xf numFmtId="0" fontId="22" fillId="55" borderId="36" xfId="0" applyFont="1" applyFill="1" applyBorder="1" applyAlignment="1">
      <alignment horizontal="center" vertical="center" wrapText="1"/>
    </xf>
    <xf numFmtId="0" fontId="22" fillId="55" borderId="36" xfId="0" applyFont="1" applyFill="1" applyBorder="1" applyAlignment="1">
      <alignment vertical="center" wrapText="1"/>
    </xf>
    <xf numFmtId="185" fontId="2" fillId="55" borderId="36" xfId="301" applyNumberFormat="1" applyFont="1" applyFill="1" applyBorder="1" applyAlignment="1">
      <alignment horizontal="center" vertical="center" wrapText="1"/>
    </xf>
    <xf numFmtId="5" fontId="2" fillId="55" borderId="36" xfId="336" applyNumberFormat="1" applyFont="1" applyFill="1" applyBorder="1" applyAlignment="1">
      <alignment horizontal="center" vertical="center" wrapText="1"/>
    </xf>
    <xf numFmtId="0" fontId="22" fillId="55" borderId="36" xfId="0" applyFont="1" applyFill="1" applyBorder="1" applyAlignment="1">
      <alignment vertical="center"/>
    </xf>
    <xf numFmtId="0" fontId="33" fillId="55" borderId="36" xfId="0" applyFont="1" applyFill="1" applyBorder="1" applyAlignment="1">
      <alignment horizontal="right" vertical="center" wrapText="1"/>
    </xf>
    <xf numFmtId="5" fontId="34" fillId="55" borderId="36" xfId="336" applyNumberFormat="1" applyFont="1" applyFill="1" applyBorder="1" applyAlignment="1">
      <alignment horizontal="right" vertical="center" wrapText="1"/>
    </xf>
    <xf numFmtId="0" fontId="33" fillId="55" borderId="36" xfId="0" applyFont="1" applyFill="1" applyBorder="1" applyAlignment="1">
      <alignment horizontal="right"/>
    </xf>
    <xf numFmtId="5" fontId="33" fillId="55" borderId="36" xfId="336" applyNumberFormat="1" applyFont="1" applyFill="1" applyBorder="1" applyAlignment="1">
      <alignment horizontal="right" vertical="center" wrapText="1"/>
    </xf>
    <xf numFmtId="0" fontId="22" fillId="55" borderId="0" xfId="0" applyFont="1" applyFill="1" applyBorder="1" applyAlignment="1">
      <alignment/>
    </xf>
    <xf numFmtId="5" fontId="34" fillId="55" borderId="0" xfId="336" applyNumberFormat="1" applyFont="1" applyFill="1" applyBorder="1" applyAlignment="1">
      <alignment vertical="center" wrapText="1"/>
    </xf>
    <xf numFmtId="3" fontId="22" fillId="55" borderId="36" xfId="300" applyNumberFormat="1" applyFont="1" applyFill="1" applyBorder="1" applyAlignment="1">
      <alignment horizontal="center" vertical="center"/>
    </xf>
    <xf numFmtId="0" fontId="2" fillId="55" borderId="0" xfId="0" applyFont="1" applyFill="1" applyBorder="1" applyAlignment="1">
      <alignment vertical="center"/>
    </xf>
    <xf numFmtId="0" fontId="105" fillId="55" borderId="0" xfId="0" applyFont="1" applyFill="1" applyBorder="1" applyAlignment="1">
      <alignment/>
    </xf>
    <xf numFmtId="3" fontId="22" fillId="55" borderId="0" xfId="300" applyNumberFormat="1" applyFont="1" applyFill="1" applyBorder="1" applyAlignment="1">
      <alignment horizontal="center" vertical="center"/>
    </xf>
    <xf numFmtId="5" fontId="34" fillId="55" borderId="36" xfId="336" applyNumberFormat="1" applyFont="1" applyFill="1" applyBorder="1" applyAlignment="1">
      <alignment horizontal="center" vertical="center" wrapText="1"/>
    </xf>
    <xf numFmtId="0" fontId="22" fillId="55" borderId="36" xfId="0" applyFont="1" applyFill="1" applyBorder="1" applyAlignment="1">
      <alignment horizontal="left"/>
    </xf>
    <xf numFmtId="0" fontId="120" fillId="55" borderId="0" xfId="358" applyFont="1" applyFill="1" applyAlignment="1">
      <alignment horizontal="center"/>
      <protection/>
    </xf>
    <xf numFmtId="0" fontId="104" fillId="55" borderId="0" xfId="358" applyFont="1" applyFill="1" applyAlignment="1">
      <alignment horizontal="center" vertical="center"/>
      <protection/>
    </xf>
    <xf numFmtId="0" fontId="37" fillId="55" borderId="0" xfId="362" applyFont="1" applyFill="1" applyBorder="1" applyAlignment="1">
      <alignment horizontal="center" vertical="center"/>
      <protection/>
    </xf>
    <xf numFmtId="0" fontId="38" fillId="55" borderId="0" xfId="362" applyFont="1" applyFill="1">
      <alignment/>
      <protection/>
    </xf>
    <xf numFmtId="0" fontId="38" fillId="55" borderId="0" xfId="362" applyFont="1" applyFill="1" applyBorder="1">
      <alignment/>
      <protection/>
    </xf>
    <xf numFmtId="0" fontId="38" fillId="55" borderId="0" xfId="362" applyFont="1" applyFill="1" applyBorder="1" applyAlignment="1">
      <alignment horizontal="left" vertical="top" wrapText="1"/>
      <protection/>
    </xf>
    <xf numFmtId="16" fontId="105" fillId="55" borderId="0" xfId="0" applyNumberFormat="1" applyFont="1" applyFill="1" applyAlignment="1">
      <alignment/>
    </xf>
    <xf numFmtId="0" fontId="2" fillId="55" borderId="0" xfId="362" applyNumberFormat="1" applyFont="1" applyFill="1">
      <alignment/>
      <protection/>
    </xf>
    <xf numFmtId="5" fontId="121" fillId="55" borderId="36" xfId="336" applyNumberFormat="1" applyFont="1" applyFill="1" applyBorder="1" applyAlignment="1">
      <alignment horizontal="center" vertical="center" wrapText="1"/>
    </xf>
    <xf numFmtId="0" fontId="118" fillId="55" borderId="0" xfId="362" applyNumberFormat="1" applyFont="1" applyFill="1">
      <alignment/>
      <protection/>
    </xf>
    <xf numFmtId="0" fontId="105" fillId="55" borderId="35" xfId="0" applyFont="1" applyFill="1" applyBorder="1" applyAlignment="1">
      <alignment horizontal="left" vertical="center" wrapText="1"/>
    </xf>
    <xf numFmtId="3" fontId="104" fillId="55" borderId="28" xfId="0" applyNumberFormat="1" applyFont="1" applyFill="1" applyBorder="1" applyAlignment="1" quotePrefix="1">
      <alignment horizontal="center" vertical="center" wrapText="1"/>
    </xf>
    <xf numFmtId="3" fontId="104" fillId="55" borderId="21" xfId="0" applyNumberFormat="1" applyFont="1" applyFill="1" applyBorder="1" applyAlignment="1" quotePrefix="1">
      <alignment horizontal="center" vertical="center" wrapText="1"/>
    </xf>
    <xf numFmtId="175" fontId="104" fillId="55" borderId="21" xfId="0" applyNumberFormat="1" applyFont="1" applyFill="1" applyBorder="1" applyAlignment="1">
      <alignment horizontal="center" vertical="center" wrapText="1"/>
    </xf>
    <xf numFmtId="3" fontId="104" fillId="55" borderId="21" xfId="0" applyNumberFormat="1" applyFont="1" applyFill="1" applyBorder="1" applyAlignment="1">
      <alignment horizontal="center" vertical="center" wrapText="1"/>
    </xf>
    <xf numFmtId="175" fontId="104" fillId="55" borderId="29" xfId="0" applyNumberFormat="1" applyFont="1" applyFill="1" applyBorder="1" applyAlignment="1">
      <alignment horizontal="center" vertical="center" wrapText="1"/>
    </xf>
    <xf numFmtId="0" fontId="122" fillId="55" borderId="0" xfId="0" applyFont="1" applyFill="1" applyAlignment="1">
      <alignment/>
    </xf>
    <xf numFmtId="175" fontId="34" fillId="55" borderId="0" xfId="305" applyNumberFormat="1" applyFont="1" applyFill="1" applyBorder="1" applyAlignment="1">
      <alignment horizontal="center" vertical="center"/>
    </xf>
    <xf numFmtId="3" fontId="34"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5" fillId="55" borderId="0" xfId="0" applyFont="1" applyFill="1" applyAlignment="1">
      <alignmen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175" fontId="105" fillId="55" borderId="25" xfId="0" applyNumberFormat="1" applyFont="1" applyFill="1" applyBorder="1" applyAlignment="1">
      <alignment horizontal="right"/>
    </xf>
    <xf numFmtId="3" fontId="105" fillId="55" borderId="26" xfId="0" applyNumberFormat="1" applyFont="1" applyFill="1" applyBorder="1" applyAlignment="1">
      <alignment/>
    </xf>
    <xf numFmtId="3" fontId="105" fillId="55" borderId="0" xfId="0" applyNumberFormat="1" applyFont="1" applyFill="1" applyBorder="1" applyAlignment="1">
      <alignment/>
    </xf>
    <xf numFmtId="175" fontId="105" fillId="55" borderId="27" xfId="0" applyNumberFormat="1" applyFont="1" applyFill="1" applyBorder="1" applyAlignment="1">
      <alignment horizontal="right"/>
    </xf>
    <xf numFmtId="3" fontId="104" fillId="55" borderId="23" xfId="0" applyNumberFormat="1" applyFont="1" applyFill="1" applyBorder="1" applyAlignment="1">
      <alignment/>
    </xf>
    <xf numFmtId="3" fontId="104" fillId="55" borderId="24" xfId="0" applyNumberFormat="1" applyFont="1" applyFill="1" applyBorder="1" applyAlignment="1">
      <alignment/>
    </xf>
    <xf numFmtId="0" fontId="105" fillId="55" borderId="24" xfId="0" applyFont="1" applyFill="1" applyBorder="1" applyAlignment="1">
      <alignment/>
    </xf>
    <xf numFmtId="0" fontId="105" fillId="55" borderId="0" xfId="0" applyFont="1" applyFill="1" applyBorder="1" applyAlignment="1">
      <alignment/>
    </xf>
    <xf numFmtId="175" fontId="105" fillId="55" borderId="0" xfId="0" applyNumberFormat="1" applyFont="1" applyFill="1" applyBorder="1" applyAlignment="1">
      <alignment horizontal="right"/>
    </xf>
    <xf numFmtId="0" fontId="104" fillId="55" borderId="28" xfId="0" applyFont="1" applyFill="1" applyBorder="1" applyAlignment="1">
      <alignment/>
    </xf>
    <xf numFmtId="0" fontId="104" fillId="55" borderId="29" xfId="0" applyFont="1" applyFill="1" applyBorder="1" applyAlignment="1">
      <alignment/>
    </xf>
    <xf numFmtId="0" fontId="105" fillId="55" borderId="27" xfId="0" applyFont="1" applyFill="1" applyBorder="1" applyAlignment="1">
      <alignment/>
    </xf>
    <xf numFmtId="0" fontId="24" fillId="55" borderId="0" xfId="366" applyFont="1" applyFill="1" applyBorder="1" applyAlignment="1">
      <alignment vertical="center" wrapText="1"/>
      <protection/>
    </xf>
    <xf numFmtId="0" fontId="105" fillId="55" borderId="35" xfId="0" applyFont="1" applyFill="1" applyBorder="1" applyAlignment="1">
      <alignment horizontal="left" vertical="center" wrapText="1"/>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0" fontId="123" fillId="55" borderId="0" xfId="362" applyFont="1" applyFill="1" applyBorder="1" applyAlignment="1">
      <alignment horizontal="center"/>
      <protection/>
    </xf>
    <xf numFmtId="0" fontId="105" fillId="55" borderId="35" xfId="0" applyFont="1" applyFill="1" applyBorder="1" applyAlignment="1">
      <alignment horizontal="left" vertical="center" wrapText="1"/>
    </xf>
    <xf numFmtId="9" fontId="118" fillId="55" borderId="0" xfId="382" applyFont="1" applyFill="1" applyAlignment="1">
      <alignment/>
    </xf>
    <xf numFmtId="3" fontId="0" fillId="0" borderId="0" xfId="0" applyNumberFormat="1" applyAlignment="1">
      <alignment/>
    </xf>
    <xf numFmtId="0" fontId="82" fillId="0" borderId="0" xfId="0" applyFont="1" applyAlignment="1">
      <alignment/>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5" fontId="2" fillId="55" borderId="0" xfId="362" applyNumberFormat="1" applyFont="1" applyFill="1">
      <alignment/>
      <protection/>
    </xf>
    <xf numFmtId="0" fontId="2" fillId="55" borderId="0" xfId="362" applyFont="1" applyFill="1" applyBorder="1" applyAlignment="1">
      <alignment vertical="center" wrapText="1"/>
      <protection/>
    </xf>
    <xf numFmtId="0" fontId="2" fillId="55" borderId="0" xfId="0" applyFont="1" applyFill="1" applyBorder="1" applyAlignment="1">
      <alignment horizontal="left" vertical="center" wrapText="1"/>
    </xf>
    <xf numFmtId="0" fontId="118" fillId="55" borderId="0" xfId="0" applyFont="1" applyFill="1" applyBorder="1" applyAlignment="1">
      <alignment horizontal="left" vertical="center" wrapText="1"/>
    </xf>
    <xf numFmtId="0" fontId="7" fillId="55" borderId="0" xfId="0" applyFont="1" applyFill="1" applyAlignment="1">
      <alignment/>
    </xf>
    <xf numFmtId="0" fontId="34" fillId="55" borderId="0" xfId="362" applyFont="1" applyFill="1">
      <alignment/>
      <protection/>
    </xf>
    <xf numFmtId="3" fontId="118" fillId="55" borderId="0" xfId="362" applyNumberFormat="1" applyFont="1" applyFill="1" applyBorder="1" applyAlignment="1">
      <alignment horizontal="center"/>
      <protection/>
    </xf>
    <xf numFmtId="0" fontId="124" fillId="55" borderId="0" xfId="362" applyFont="1" applyFill="1">
      <alignment/>
      <protection/>
    </xf>
    <xf numFmtId="181" fontId="124" fillId="55" borderId="0" xfId="382" applyNumberFormat="1" applyFont="1" applyFill="1" applyAlignment="1">
      <alignment/>
    </xf>
    <xf numFmtId="0" fontId="118" fillId="55" borderId="0" xfId="362" applyFont="1" applyFill="1" applyAlignment="1">
      <alignment horizontal="center"/>
      <protection/>
    </xf>
    <xf numFmtId="3" fontId="124" fillId="55" borderId="0" xfId="362" applyNumberFormat="1" applyFont="1" applyFill="1" applyBorder="1" applyAlignment="1">
      <alignment horizontal="center"/>
      <protection/>
    </xf>
    <xf numFmtId="3" fontId="118" fillId="55" borderId="0" xfId="362" applyNumberFormat="1" applyFont="1" applyFill="1">
      <alignment/>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0" xfId="362" applyNumberFormat="1" applyFont="1" applyFill="1" applyBorder="1" applyAlignment="1">
      <alignment/>
      <protection/>
    </xf>
    <xf numFmtId="0" fontId="118" fillId="55" borderId="0" xfId="362" applyFont="1" applyFill="1" applyAlignment="1">
      <alignment wrapText="1"/>
      <protection/>
    </xf>
    <xf numFmtId="181" fontId="118" fillId="55" borderId="0" xfId="382" applyNumberFormat="1" applyFont="1" applyFill="1" applyAlignment="1">
      <alignment wrapText="1"/>
    </xf>
    <xf numFmtId="181" fontId="118" fillId="55" borderId="0" xfId="362" applyNumberFormat="1" applyFont="1" applyFill="1" applyAlignment="1">
      <alignment wrapText="1"/>
      <protection/>
    </xf>
    <xf numFmtId="0" fontId="2" fillId="55" borderId="0" xfId="362" applyFont="1" applyFill="1" applyAlignment="1">
      <alignment/>
      <protection/>
    </xf>
    <xf numFmtId="0" fontId="34" fillId="55" borderId="0" xfId="362" applyFont="1" applyFill="1" applyAlignment="1">
      <alignment/>
      <protection/>
    </xf>
    <xf numFmtId="0" fontId="118" fillId="55" borderId="0" xfId="362" applyFont="1" applyFill="1" applyBorder="1">
      <alignment/>
      <protection/>
    </xf>
    <xf numFmtId="0" fontId="123" fillId="55" borderId="0" xfId="362" applyFont="1" applyFill="1" applyBorder="1" applyAlignment="1">
      <alignment horizontal="center" vertical="center" wrapText="1"/>
      <protection/>
    </xf>
    <xf numFmtId="175" fontId="118" fillId="55" borderId="0" xfId="362" applyNumberFormat="1" applyFont="1" applyFill="1" applyBorder="1">
      <alignment/>
      <protection/>
    </xf>
    <xf numFmtId="9" fontId="117" fillId="55" borderId="0" xfId="382" applyFont="1" applyFill="1" applyAlignment="1">
      <alignment horizontal="center"/>
    </xf>
    <xf numFmtId="0" fontId="117" fillId="55" borderId="0" xfId="362" applyFont="1" applyFill="1" applyAlignment="1">
      <alignment horizontal="center"/>
      <protection/>
    </xf>
    <xf numFmtId="0" fontId="125" fillId="55" borderId="0" xfId="362" applyFont="1" applyFill="1" applyBorder="1" applyAlignment="1">
      <alignment horizontal="center"/>
      <protection/>
    </xf>
    <xf numFmtId="0" fontId="117" fillId="55" borderId="0" xfId="362" applyFont="1" applyFill="1" applyBorder="1">
      <alignment/>
      <protection/>
    </xf>
    <xf numFmtId="0" fontId="125" fillId="55" borderId="0" xfId="362" applyFont="1" applyFill="1" applyBorder="1" applyAlignment="1">
      <alignment horizontal="center" vertical="center" wrapText="1"/>
      <protection/>
    </xf>
    <xf numFmtId="0" fontId="22" fillId="55" borderId="43" xfId="362" applyFont="1" applyFill="1" applyBorder="1" applyAlignment="1">
      <alignment horizontal="center"/>
      <protection/>
    </xf>
    <xf numFmtId="6" fontId="34" fillId="55" borderId="36" xfId="336" applyNumberFormat="1" applyFont="1" applyFill="1" applyBorder="1" applyAlignment="1">
      <alignment horizontal="center" vertical="center" wrapText="1"/>
    </xf>
    <xf numFmtId="6" fontId="2" fillId="55" borderId="0" xfId="336" applyNumberFormat="1" applyFont="1" applyFill="1" applyBorder="1" applyAlignment="1">
      <alignment horizontal="center" vertical="center" wrapText="1"/>
    </xf>
    <xf numFmtId="0" fontId="117" fillId="55" borderId="0" xfId="0" applyFont="1" applyFill="1" applyAlignment="1">
      <alignment/>
    </xf>
    <xf numFmtId="0" fontId="125" fillId="55" borderId="0" xfId="0" applyFont="1" applyFill="1" applyBorder="1" applyAlignment="1">
      <alignment horizontal="center" vertical="center" wrapText="1"/>
    </xf>
    <xf numFmtId="181" fontId="117" fillId="55" borderId="0" xfId="382" applyNumberFormat="1" applyFont="1" applyFill="1" applyAlignment="1">
      <alignment horizontal="center"/>
    </xf>
    <xf numFmtId="0" fontId="117" fillId="55" borderId="0" xfId="0" applyFont="1" applyFill="1" applyAlignment="1">
      <alignment horizontal="center"/>
    </xf>
    <xf numFmtId="0" fontId="117" fillId="55" borderId="0" xfId="0" applyFont="1" applyFill="1" applyAlignment="1">
      <alignment horizontal="right"/>
    </xf>
    <xf numFmtId="3" fontId="117" fillId="55" borderId="0" xfId="0" applyNumberFormat="1" applyFont="1" applyFill="1" applyAlignment="1">
      <alignment horizontal="center"/>
    </xf>
    <xf numFmtId="9" fontId="117" fillId="55" borderId="0" xfId="382" applyNumberFormat="1" applyFont="1" applyFill="1" applyAlignment="1">
      <alignment horizontal="center"/>
    </xf>
    <xf numFmtId="0" fontId="126" fillId="55" borderId="0" xfId="286" applyFont="1" applyFill="1" applyAlignment="1">
      <alignment/>
    </xf>
    <xf numFmtId="0" fontId="125" fillId="55" borderId="0" xfId="0" applyFont="1" applyFill="1" applyAlignment="1">
      <alignment horizontal="center" vertical="center" wrapText="1"/>
    </xf>
    <xf numFmtId="3" fontId="117" fillId="55" borderId="0" xfId="0" applyNumberFormat="1" applyFont="1" applyFill="1" applyAlignment="1">
      <alignment/>
    </xf>
    <xf numFmtId="184" fontId="117" fillId="55" borderId="0" xfId="300" applyNumberFormat="1" applyFont="1" applyFill="1" applyAlignment="1">
      <alignment horizontal="center"/>
    </xf>
    <xf numFmtId="9" fontId="125" fillId="55" borderId="0" xfId="0" applyNumberFormat="1" applyFont="1" applyFill="1" applyAlignment="1">
      <alignment horizontal="center"/>
    </xf>
    <xf numFmtId="181" fontId="125" fillId="55" borderId="0" xfId="0" applyNumberFormat="1" applyFont="1" applyFill="1" applyAlignment="1">
      <alignment horizontal="center"/>
    </xf>
    <xf numFmtId="171" fontId="117" fillId="55" borderId="0" xfId="300" applyFont="1" applyFill="1" applyAlignment="1">
      <alignment/>
    </xf>
    <xf numFmtId="0" fontId="125" fillId="56" borderId="0" xfId="0" applyFont="1" applyFill="1" applyBorder="1" applyAlignment="1">
      <alignment horizontal="center" vertical="center"/>
    </xf>
    <xf numFmtId="0" fontId="125" fillId="55" borderId="0" xfId="0" applyFont="1" applyFill="1" applyAlignment="1">
      <alignment horizontal="right"/>
    </xf>
    <xf numFmtId="0" fontId="125" fillId="55" borderId="0" xfId="0" applyFont="1" applyFill="1" applyAlignment="1">
      <alignment horizontal="center" vertical="center"/>
    </xf>
    <xf numFmtId="0" fontId="82" fillId="55" borderId="0" xfId="0" applyFont="1" applyFill="1" applyAlignment="1">
      <alignment/>
    </xf>
    <xf numFmtId="9" fontId="82" fillId="55" borderId="0" xfId="382" applyFont="1" applyFill="1" applyAlignment="1">
      <alignment/>
    </xf>
    <xf numFmtId="1" fontId="82" fillId="55" borderId="0" xfId="0" applyNumberFormat="1" applyFont="1" applyFill="1" applyAlignment="1">
      <alignment/>
    </xf>
    <xf numFmtId="9" fontId="82" fillId="55" borderId="0" xfId="382" applyFont="1" applyFill="1" applyAlignment="1">
      <alignment horizontal="center"/>
    </xf>
    <xf numFmtId="9" fontId="117" fillId="55" borderId="0" xfId="382" applyFont="1" applyFill="1" applyAlignment="1">
      <alignment/>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3" fontId="2" fillId="0" borderId="0" xfId="362" applyNumberFormat="1" applyFont="1" applyFill="1" applyBorder="1" applyAlignment="1">
      <alignment horizontal="center" vertical="center"/>
      <protection/>
    </xf>
    <xf numFmtId="175" fontId="105" fillId="55" borderId="31" xfId="0" applyNumberFormat="1" applyFont="1" applyFill="1" applyBorder="1" applyAlignment="1">
      <alignment horizontal="center"/>
    </xf>
    <xf numFmtId="3" fontId="105" fillId="55" borderId="44" xfId="0" applyNumberFormat="1" applyFont="1" applyFill="1" applyBorder="1" applyAlignment="1">
      <alignment horizontal="center"/>
    </xf>
    <xf numFmtId="3" fontId="2" fillId="0" borderId="24" xfId="362" applyNumberFormat="1" applyFont="1" applyFill="1" applyBorder="1" applyAlignment="1">
      <alignment horizontal="center" vertical="center"/>
      <protection/>
    </xf>
    <xf numFmtId="175" fontId="105" fillId="55" borderId="33" xfId="0" applyNumberFormat="1" applyFont="1" applyFill="1" applyBorder="1" applyAlignment="1">
      <alignment horizontal="center"/>
    </xf>
    <xf numFmtId="175" fontId="105" fillId="55" borderId="45" xfId="0" applyNumberFormat="1" applyFont="1" applyFill="1" applyBorder="1" applyAlignment="1">
      <alignment horizontal="center"/>
    </xf>
    <xf numFmtId="3" fontId="105" fillId="55" borderId="46" xfId="0" applyNumberFormat="1" applyFont="1" applyFill="1" applyBorder="1" applyAlignment="1">
      <alignment horizontal="center"/>
    </xf>
    <xf numFmtId="175" fontId="105" fillId="55" borderId="47" xfId="0" applyNumberFormat="1" applyFont="1" applyFill="1" applyBorder="1" applyAlignment="1">
      <alignment horizontal="center"/>
    </xf>
    <xf numFmtId="3" fontId="105" fillId="55" borderId="48" xfId="0" applyNumberFormat="1" applyFont="1" applyFill="1" applyBorder="1" applyAlignment="1">
      <alignment horizontal="center"/>
    </xf>
    <xf numFmtId="3" fontId="2" fillId="0" borderId="22" xfId="362" applyNumberFormat="1" applyFont="1" applyFill="1" applyBorder="1" applyAlignment="1">
      <alignment horizontal="center" vertical="center"/>
      <protection/>
    </xf>
    <xf numFmtId="175" fontId="105" fillId="55" borderId="49" xfId="0" applyNumberFormat="1" applyFont="1" applyFill="1" applyBorder="1" applyAlignment="1">
      <alignment horizontal="center"/>
    </xf>
    <xf numFmtId="175" fontId="105" fillId="55" borderId="50" xfId="0" applyNumberFormat="1" applyFont="1" applyFill="1" applyBorder="1" applyAlignment="1">
      <alignment horizontal="center"/>
    </xf>
    <xf numFmtId="3" fontId="105" fillId="55" borderId="33" xfId="0" applyNumberFormat="1" applyFont="1" applyFill="1" applyBorder="1" applyAlignment="1">
      <alignment horizontal="center"/>
    </xf>
    <xf numFmtId="3" fontId="105" fillId="55" borderId="49" xfId="0" applyNumberFormat="1" applyFont="1" applyFill="1" applyBorder="1" applyAlignment="1">
      <alignment horizontal="center"/>
    </xf>
    <xf numFmtId="3" fontId="104" fillId="55" borderId="44" xfId="0" applyNumberFormat="1" applyFont="1" applyFill="1" applyBorder="1" applyAlignment="1">
      <alignment horizontal="center"/>
    </xf>
    <xf numFmtId="3" fontId="104" fillId="55" borderId="33" xfId="0" applyNumberFormat="1" applyFont="1" applyFill="1" applyBorder="1" applyAlignment="1">
      <alignment horizontal="center"/>
    </xf>
    <xf numFmtId="3" fontId="104" fillId="55" borderId="45" xfId="0" applyNumberFormat="1" applyFont="1" applyFill="1" applyBorder="1" applyAlignment="1">
      <alignment horizontal="center"/>
    </xf>
    <xf numFmtId="3" fontId="104" fillId="55" borderId="48" xfId="0" applyNumberFormat="1" applyFont="1" applyFill="1" applyBorder="1" applyAlignment="1">
      <alignment horizontal="center"/>
    </xf>
    <xf numFmtId="3" fontId="104" fillId="55" borderId="49" xfId="0" applyNumberFormat="1" applyFont="1" applyFill="1" applyBorder="1" applyAlignment="1">
      <alignment horizontal="center"/>
    </xf>
    <xf numFmtId="175" fontId="104" fillId="55" borderId="50" xfId="0" applyNumberFormat="1" applyFont="1" applyFill="1" applyBorder="1" applyAlignment="1">
      <alignment horizontal="center"/>
    </xf>
    <xf numFmtId="0" fontId="105" fillId="55" borderId="51" xfId="0" applyNumberFormat="1" applyFont="1" applyFill="1" applyBorder="1" applyAlignment="1">
      <alignment horizontal="left"/>
    </xf>
    <xf numFmtId="0" fontId="105" fillId="55" borderId="52" xfId="0" applyNumberFormat="1" applyFont="1" applyFill="1" applyBorder="1" applyAlignment="1">
      <alignment horizontal="left"/>
    </xf>
    <xf numFmtId="0" fontId="105" fillId="55" borderId="53" xfId="0" applyNumberFormat="1" applyFont="1" applyFill="1" applyBorder="1" applyAlignment="1">
      <alignment horizontal="left"/>
    </xf>
    <xf numFmtId="0" fontId="104" fillId="55" borderId="51" xfId="0" applyNumberFormat="1" applyFont="1" applyFill="1" applyBorder="1" applyAlignment="1">
      <alignment horizontal="left"/>
    </xf>
    <xf numFmtId="0" fontId="104" fillId="55" borderId="53" xfId="0" applyNumberFormat="1" applyFont="1" applyFill="1" applyBorder="1" applyAlignment="1">
      <alignment horizontal="left"/>
    </xf>
    <xf numFmtId="169" fontId="105" fillId="55" borderId="0" xfId="301" applyFont="1" applyFill="1" applyAlignment="1">
      <alignment horizontal="center"/>
    </xf>
    <xf numFmtId="9" fontId="118" fillId="55" borderId="0" xfId="382" applyFont="1" applyFill="1" applyAlignment="1">
      <alignment horizontal="center"/>
    </xf>
    <xf numFmtId="0" fontId="2" fillId="0" borderId="0" xfId="362" applyFont="1" applyFill="1" applyAlignment="1">
      <alignment horizontal="center"/>
      <protection/>
    </xf>
    <xf numFmtId="0" fontId="105" fillId="55" borderId="54" xfId="0" applyFont="1" applyFill="1" applyBorder="1" applyAlignment="1">
      <alignment/>
    </xf>
    <xf numFmtId="3" fontId="105" fillId="55" borderId="54" xfId="0" applyNumberFormat="1" applyFont="1" applyFill="1" applyBorder="1" applyAlignment="1">
      <alignment/>
    </xf>
    <xf numFmtId="3" fontId="105" fillId="55" borderId="55" xfId="0" applyNumberFormat="1" applyFont="1" applyFill="1" applyBorder="1" applyAlignment="1">
      <alignment/>
    </xf>
    <xf numFmtId="175" fontId="105" fillId="55" borderId="56" xfId="0" applyNumberFormat="1" applyFont="1" applyFill="1" applyBorder="1" applyAlignment="1">
      <alignment horizontal="right"/>
    </xf>
    <xf numFmtId="0" fontId="105" fillId="55" borderId="57" xfId="0" applyFont="1" applyFill="1" applyBorder="1" applyAlignment="1">
      <alignment/>
    </xf>
    <xf numFmtId="3" fontId="105" fillId="55" borderId="57" xfId="0" applyNumberFormat="1" applyFont="1" applyFill="1" applyBorder="1" applyAlignment="1">
      <alignment/>
    </xf>
    <xf numFmtId="3" fontId="105" fillId="55" borderId="58" xfId="0" applyNumberFormat="1" applyFont="1" applyFill="1" applyBorder="1" applyAlignment="1">
      <alignment/>
    </xf>
    <xf numFmtId="175" fontId="105" fillId="55" borderId="59" xfId="0" applyNumberFormat="1" applyFont="1" applyFill="1" applyBorder="1" applyAlignment="1">
      <alignment horizontal="right"/>
    </xf>
    <xf numFmtId="169" fontId="2" fillId="55" borderId="0" xfId="301" applyFont="1" applyFill="1" applyAlignment="1">
      <alignment/>
    </xf>
    <xf numFmtId="9" fontId="2" fillId="55" borderId="0" xfId="382" applyFont="1" applyFill="1" applyAlignment="1">
      <alignment horizontal="center"/>
    </xf>
    <xf numFmtId="0" fontId="2" fillId="55" borderId="0" xfId="362" applyFont="1" applyFill="1" applyAlignment="1">
      <alignment horizontal="center"/>
      <protection/>
    </xf>
    <xf numFmtId="17" fontId="120" fillId="55" borderId="0" xfId="0" applyNumberFormat="1" applyFont="1" applyFill="1" applyAlignment="1" quotePrefix="1">
      <alignment horizontal="center"/>
    </xf>
    <xf numFmtId="0" fontId="120" fillId="55" borderId="0" xfId="0" applyFont="1" applyFill="1" applyAlignment="1">
      <alignment horizontal="center"/>
    </xf>
    <xf numFmtId="0" fontId="38" fillId="55" borderId="0" xfId="362" applyFont="1" applyFill="1" applyBorder="1" applyAlignment="1">
      <alignment horizontal="left" vertical="top" wrapText="1" indent="3"/>
      <protection/>
    </xf>
    <xf numFmtId="0" fontId="37" fillId="55" borderId="0" xfId="362" applyFont="1" applyFill="1" applyBorder="1" applyAlignment="1">
      <alignment horizontal="center" vertical="center"/>
      <protection/>
    </xf>
    <xf numFmtId="0" fontId="38"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 fillId="55" borderId="26"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7" xfId="366" applyFont="1" applyFill="1" applyBorder="1" applyAlignment="1">
      <alignment horizontal="left" vertical="top" wrapText="1"/>
      <protection/>
    </xf>
    <xf numFmtId="0" fontId="2" fillId="55" borderId="26"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37" xfId="362" applyFont="1" applyFill="1" applyBorder="1" applyAlignment="1">
      <alignment horizontal="left" vertical="top" wrapText="1"/>
      <protection/>
    </xf>
    <xf numFmtId="0" fontId="2" fillId="55" borderId="22" xfId="362" applyFont="1" applyFill="1" applyBorder="1" applyAlignment="1">
      <alignment horizontal="left" vertical="top" wrapText="1"/>
      <protection/>
    </xf>
    <xf numFmtId="0" fontId="2" fillId="55" borderId="38" xfId="362" applyFont="1" applyFill="1" applyBorder="1" applyAlignment="1">
      <alignment horizontal="left" vertical="top" wrapText="1"/>
      <protection/>
    </xf>
    <xf numFmtId="0" fontId="2" fillId="55" borderId="30" xfId="362" applyFont="1" applyFill="1" applyBorder="1" applyAlignment="1">
      <alignment horizontal="left" vertical="center" wrapText="1"/>
      <protection/>
    </xf>
    <xf numFmtId="0" fontId="22" fillId="55" borderId="20" xfId="362" applyFont="1" applyFill="1" applyBorder="1" applyAlignment="1">
      <alignment horizontal="center"/>
      <protection/>
    </xf>
    <xf numFmtId="0" fontId="22" fillId="55" borderId="3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 fillId="55" borderId="24"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5" xfId="362" applyFont="1" applyFill="1" applyBorder="1" applyAlignment="1">
      <alignment horizontal="center" vertical="center"/>
      <protection/>
    </xf>
    <xf numFmtId="0" fontId="22" fillId="55" borderId="60"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0" fontId="104" fillId="56" borderId="36"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3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3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24" xfId="362" applyFont="1" applyFill="1" applyBorder="1" applyAlignment="1">
      <alignment horizontal="left" vertical="center" wrapText="1"/>
      <protection/>
    </xf>
    <xf numFmtId="0" fontId="2" fillId="55" borderId="24" xfId="362" applyFont="1" applyFill="1" applyBorder="1" applyAlignment="1">
      <alignment horizontal="left" vertic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2" fillId="55" borderId="24" xfId="362" applyNumberFormat="1" applyFont="1" applyFill="1" applyBorder="1" applyAlignment="1">
      <alignment horizontal="left" vertical="center" wrapText="1"/>
      <protection/>
    </xf>
    <xf numFmtId="0" fontId="2" fillId="55" borderId="24" xfId="362" applyNumberFormat="1" applyFont="1" applyFill="1" applyBorder="1" applyAlignment="1">
      <alignment horizontal="left" vertical="center"/>
      <protection/>
    </xf>
    <xf numFmtId="0" fontId="105" fillId="55" borderId="0" xfId="0" applyFont="1" applyFill="1" applyBorder="1" applyAlignment="1">
      <alignment horizontal="left"/>
    </xf>
    <xf numFmtId="0" fontId="125" fillId="57" borderId="28" xfId="0" applyFont="1" applyFill="1" applyBorder="1" applyAlignment="1">
      <alignment horizontal="center" wrapText="1"/>
    </xf>
    <xf numFmtId="0" fontId="125" fillId="57" borderId="21" xfId="0" applyFont="1" applyFill="1" applyBorder="1" applyAlignment="1">
      <alignment horizontal="center" wrapText="1"/>
    </xf>
    <xf numFmtId="0" fontId="125" fillId="57" borderId="29" xfId="0" applyFont="1" applyFill="1" applyBorder="1" applyAlignment="1">
      <alignment horizontal="center" wrapText="1"/>
    </xf>
    <xf numFmtId="0" fontId="105" fillId="55" borderId="0" xfId="0" applyFont="1" applyFill="1" applyBorder="1" applyAlignment="1">
      <alignment horizontal="left" wrapText="1"/>
    </xf>
    <xf numFmtId="177" fontId="22" fillId="55" borderId="60" xfId="300" applyNumberFormat="1" applyFont="1" applyFill="1" applyBorder="1" applyAlignment="1">
      <alignment horizontal="center" vertical="center"/>
    </xf>
    <xf numFmtId="177" fontId="22" fillId="55" borderId="42" xfId="300"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28" xfId="0" applyFont="1" applyFill="1" applyBorder="1" applyAlignment="1">
      <alignment horizontal="center"/>
    </xf>
    <xf numFmtId="0" fontId="22" fillId="55" borderId="21" xfId="0" applyFont="1" applyFill="1" applyBorder="1" applyAlignment="1">
      <alignment horizontal="center"/>
    </xf>
    <xf numFmtId="0" fontId="22" fillId="55" borderId="29" xfId="0" applyFont="1" applyFill="1" applyBorder="1" applyAlignment="1">
      <alignment horizontal="center"/>
    </xf>
    <xf numFmtId="0" fontId="105" fillId="55" borderId="60" xfId="0" applyFont="1" applyFill="1" applyBorder="1" applyAlignment="1">
      <alignment horizontal="left" vertical="center" wrapText="1"/>
    </xf>
    <xf numFmtId="0" fontId="107" fillId="55" borderId="0" xfId="0" applyFont="1" applyFill="1" applyBorder="1" applyAlignment="1">
      <alignment horizontal="left"/>
    </xf>
    <xf numFmtId="0" fontId="105" fillId="55" borderId="35" xfId="0" applyFont="1" applyFill="1" applyBorder="1" applyAlignment="1">
      <alignment horizontal="left" vertical="center" wrapText="1"/>
    </xf>
    <xf numFmtId="0" fontId="105" fillId="55" borderId="42" xfId="0" applyFont="1" applyFill="1" applyBorder="1" applyAlignment="1">
      <alignment horizontal="left" vertical="center" wrapText="1"/>
    </xf>
    <xf numFmtId="0" fontId="105" fillId="55" borderId="36" xfId="0" applyFont="1" applyFill="1" applyBorder="1" applyAlignment="1">
      <alignment horizontal="left" vertical="center" wrapText="1"/>
    </xf>
    <xf numFmtId="0" fontId="104" fillId="55" borderId="0" xfId="0" applyFont="1" applyFill="1" applyBorder="1" applyAlignment="1">
      <alignment horizontal="center"/>
    </xf>
    <xf numFmtId="0" fontId="104" fillId="55" borderId="28" xfId="0" applyFont="1" applyFill="1" applyBorder="1" applyAlignment="1">
      <alignment horizontal="center"/>
    </xf>
    <xf numFmtId="0" fontId="104" fillId="55" borderId="21" xfId="0" applyFont="1" applyFill="1" applyBorder="1" applyAlignment="1">
      <alignment horizontal="center"/>
    </xf>
    <xf numFmtId="0" fontId="104" fillId="55" borderId="29" xfId="0" applyFont="1" applyFill="1" applyBorder="1" applyAlignment="1">
      <alignment horizontal="center"/>
    </xf>
    <xf numFmtId="0" fontId="104" fillId="55" borderId="35" xfId="0" applyFont="1" applyFill="1" applyBorder="1" applyAlignment="1">
      <alignment horizontal="left" vertical="center"/>
    </xf>
    <xf numFmtId="0" fontId="104" fillId="55" borderId="42" xfId="0" applyFont="1" applyFill="1" applyBorder="1" applyAlignment="1">
      <alignment horizontal="left" vertical="center"/>
    </xf>
    <xf numFmtId="0" fontId="104" fillId="55" borderId="25" xfId="0" applyFont="1" applyFill="1" applyBorder="1" applyAlignment="1">
      <alignment horizontal="left" vertical="center"/>
    </xf>
    <xf numFmtId="0" fontId="104" fillId="55" borderId="38" xfId="0" applyFont="1" applyFill="1" applyBorder="1" applyAlignment="1">
      <alignment horizontal="left" vertical="center"/>
    </xf>
    <xf numFmtId="0" fontId="104" fillId="55" borderId="35" xfId="0" applyFont="1" applyFill="1" applyBorder="1" applyAlignment="1">
      <alignment horizontal="center" vertical="center"/>
    </xf>
    <xf numFmtId="0" fontId="104" fillId="55" borderId="60" xfId="0" applyFont="1" applyFill="1" applyBorder="1" applyAlignment="1">
      <alignment horizontal="center"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7"/>
          <c:w val="0.88825"/>
          <c:h val="0.8845"/>
        </c:manualLayout>
      </c:layout>
      <c:lineChart>
        <c:grouping val="standard"/>
        <c:varyColors val="0"/>
        <c:ser>
          <c:idx val="0"/>
          <c:order val="0"/>
          <c:tx>
            <c:strRef>
              <c:f>'precio mayorista'!$C$7</c:f>
              <c:strCache>
                <c:ptCount val="1"/>
                <c:pt idx="0">
                  <c:v>2015</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2016</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2017</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29414366"/>
        <c:axId val="63402703"/>
      </c:lineChart>
      <c:catAx>
        <c:axId val="2941436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63402703"/>
        <c:crosses val="autoZero"/>
        <c:auto val="1"/>
        <c:lblOffset val="100"/>
        <c:tickLblSkip val="1"/>
        <c:noMultiLvlLbl val="0"/>
      </c:catAx>
      <c:valAx>
        <c:axId val="63402703"/>
        <c:scaling>
          <c:orientation val="minMax"/>
          <c:min val="10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9414366"/>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2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14843042"/>
        <c:axId val="66478515"/>
      </c:barChart>
      <c:catAx>
        <c:axId val="148430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6478515"/>
        <c:crosses val="autoZero"/>
        <c:auto val="1"/>
        <c:lblOffset val="100"/>
        <c:tickLblSkip val="1"/>
        <c:noMultiLvlLbl val="0"/>
      </c:catAx>
      <c:valAx>
        <c:axId val="66478515"/>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5"/>
              <c:y val="0.002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4843042"/>
        <c:crossesAt val="1"/>
        <c:crossBetween val="between"/>
        <c:dispUnits/>
      </c:valAx>
      <c:spPr>
        <a:noFill/>
        <a:ln>
          <a:noFill/>
        </a:ln>
      </c:spPr>
    </c:plotArea>
    <c:legend>
      <c:legendPos val="r"/>
      <c:layout>
        <c:manualLayout>
          <c:xMode val="edge"/>
          <c:yMode val="edge"/>
          <c:x val="0.38025"/>
          <c:y val="0.92675"/>
          <c:w val="0.23825"/>
          <c:h val="0.05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3 de octubre 2016 al 31 de marzo 2017 
</a:t>
            </a:r>
            <a:r>
              <a:rPr lang="en-US" cap="none" sz="1000" b="1" i="0" u="none" baseline="0">
                <a:solidFill>
                  <a:srgbClr val="000000"/>
                </a:solidFill>
              </a:rPr>
              <a:t>(en $/50 kilos sin IVA)</a:t>
            </a:r>
          </a:p>
        </c:rich>
      </c:tx>
      <c:layout>
        <c:manualLayout>
          <c:xMode val="factor"/>
          <c:yMode val="factor"/>
          <c:x val="-0.00125"/>
          <c:y val="-0.0095"/>
        </c:manualLayout>
      </c:layout>
      <c:spPr>
        <a:noFill/>
        <a:ln>
          <a:noFill/>
        </a:ln>
      </c:spPr>
    </c:title>
    <c:plotArea>
      <c:layout>
        <c:manualLayout>
          <c:xMode val="edge"/>
          <c:yMode val="edge"/>
          <c:x val="0.0365"/>
          <c:y val="0.128"/>
          <c:w val="0.96"/>
          <c:h val="0.831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poly"/>
            <c:order val="3"/>
            <c:dispEq val="0"/>
            <c:dispRSqr val="0"/>
          </c:trendline>
          <c:cat>
            <c:numLit>
              <c:ptCount val="132"/>
              <c:pt idx="0">
                <c:v>42646</c:v>
              </c:pt>
              <c:pt idx="1">
                <c:v>42647</c:v>
              </c:pt>
              <c:pt idx="2">
                <c:v>42648</c:v>
              </c:pt>
              <c:pt idx="3">
                <c:v>42649</c:v>
              </c:pt>
              <c:pt idx="4">
                <c:v>42650</c:v>
              </c:pt>
              <c:pt idx="5">
                <c:v>42654</c:v>
              </c:pt>
              <c:pt idx="6">
                <c:v>42655</c:v>
              </c:pt>
              <c:pt idx="7">
                <c:v>42656</c:v>
              </c:pt>
              <c:pt idx="8">
                <c:v>42657</c:v>
              </c:pt>
              <c:pt idx="9">
                <c:v>42660</c:v>
              </c:pt>
              <c:pt idx="10">
                <c:v>42661</c:v>
              </c:pt>
              <c:pt idx="11">
                <c:v>42662</c:v>
              </c:pt>
              <c:pt idx="12">
                <c:v>42663</c:v>
              </c:pt>
              <c:pt idx="13">
                <c:v>42664</c:v>
              </c:pt>
              <c:pt idx="14">
                <c:v>42667</c:v>
              </c:pt>
              <c:pt idx="15">
                <c:v>42668</c:v>
              </c:pt>
              <c:pt idx="16">
                <c:v>42669</c:v>
              </c:pt>
              <c:pt idx="17">
                <c:v>42670</c:v>
              </c:pt>
              <c:pt idx="18">
                <c:v>42671</c:v>
              </c:pt>
              <c:pt idx="19">
                <c:v>42676</c:v>
              </c:pt>
              <c:pt idx="20">
                <c:v>42677</c:v>
              </c:pt>
              <c:pt idx="21">
                <c:v>42678</c:v>
              </c:pt>
              <c:pt idx="22">
                <c:v>42681</c:v>
              </c:pt>
              <c:pt idx="23">
                <c:v>42682</c:v>
              </c:pt>
              <c:pt idx="24">
                <c:v>42683</c:v>
              </c:pt>
              <c:pt idx="25">
                <c:v>42684</c:v>
              </c:pt>
              <c:pt idx="26">
                <c:v>42685</c:v>
              </c:pt>
              <c:pt idx="27">
                <c:v>42688</c:v>
              </c:pt>
              <c:pt idx="28">
                <c:v>42689</c:v>
              </c:pt>
              <c:pt idx="29">
                <c:v>42690</c:v>
              </c:pt>
              <c:pt idx="30">
                <c:v>42691</c:v>
              </c:pt>
              <c:pt idx="31">
                <c:v>42692</c:v>
              </c:pt>
              <c:pt idx="32">
                <c:v>42695</c:v>
              </c:pt>
              <c:pt idx="33">
                <c:v>42696</c:v>
              </c:pt>
              <c:pt idx="34">
                <c:v>42697</c:v>
              </c:pt>
              <c:pt idx="35">
                <c:v>42698</c:v>
              </c:pt>
              <c:pt idx="36">
                <c:v>42699</c:v>
              </c:pt>
              <c:pt idx="37">
                <c:v>42702</c:v>
              </c:pt>
              <c:pt idx="38">
                <c:v>42703</c:v>
              </c:pt>
              <c:pt idx="39">
                <c:v>42704</c:v>
              </c:pt>
              <c:pt idx="40">
                <c:v>42705</c:v>
              </c:pt>
              <c:pt idx="41">
                <c:v>42706</c:v>
              </c:pt>
              <c:pt idx="42">
                <c:v>42709</c:v>
              </c:pt>
              <c:pt idx="43">
                <c:v>42710</c:v>
              </c:pt>
              <c:pt idx="44">
                <c:v>42711</c:v>
              </c:pt>
              <c:pt idx="45">
                <c:v>42713</c:v>
              </c:pt>
              <c:pt idx="46">
                <c:v>42716</c:v>
              </c:pt>
              <c:pt idx="47">
                <c:v>42717</c:v>
              </c:pt>
              <c:pt idx="48">
                <c:v>42718</c:v>
              </c:pt>
              <c:pt idx="49">
                <c:v>42719</c:v>
              </c:pt>
              <c:pt idx="50">
                <c:v>42720</c:v>
              </c:pt>
              <c:pt idx="51">
                <c:v>42723</c:v>
              </c:pt>
              <c:pt idx="52">
                <c:v>42724</c:v>
              </c:pt>
              <c:pt idx="53">
                <c:v>42725</c:v>
              </c:pt>
              <c:pt idx="54">
                <c:v>42726</c:v>
              </c:pt>
              <c:pt idx="55">
                <c:v>42727</c:v>
              </c:pt>
              <c:pt idx="56">
                <c:v>42730</c:v>
              </c:pt>
              <c:pt idx="57">
                <c:v>42731</c:v>
              </c:pt>
              <c:pt idx="58">
                <c:v>42732</c:v>
              </c:pt>
              <c:pt idx="59">
                <c:v>42733</c:v>
              </c:pt>
              <c:pt idx="60">
                <c:v>42734</c:v>
              </c:pt>
              <c:pt idx="61">
                <c:v>42738</c:v>
              </c:pt>
              <c:pt idx="62">
                <c:v>42739</c:v>
              </c:pt>
              <c:pt idx="63">
                <c:v>42740</c:v>
              </c:pt>
              <c:pt idx="64">
                <c:v>42741</c:v>
              </c:pt>
              <c:pt idx="65">
                <c:v>42744</c:v>
              </c:pt>
              <c:pt idx="66">
                <c:v>42745</c:v>
              </c:pt>
              <c:pt idx="67">
                <c:v>42746</c:v>
              </c:pt>
              <c:pt idx="68">
                <c:v>42747</c:v>
              </c:pt>
              <c:pt idx="69">
                <c:v>42748</c:v>
              </c:pt>
              <c:pt idx="70">
                <c:v>42751</c:v>
              </c:pt>
              <c:pt idx="71">
                <c:v>42752</c:v>
              </c:pt>
              <c:pt idx="72">
                <c:v>42753</c:v>
              </c:pt>
              <c:pt idx="73">
                <c:v>42754</c:v>
              </c:pt>
              <c:pt idx="74">
                <c:v>42755</c:v>
              </c:pt>
              <c:pt idx="75">
                <c:v>42758</c:v>
              </c:pt>
              <c:pt idx="76">
                <c:v>42759</c:v>
              </c:pt>
              <c:pt idx="77">
                <c:v>42760</c:v>
              </c:pt>
              <c:pt idx="78">
                <c:v>42761</c:v>
              </c:pt>
              <c:pt idx="79">
                <c:v>42762</c:v>
              </c:pt>
              <c:pt idx="80">
                <c:v>42765</c:v>
              </c:pt>
              <c:pt idx="81">
                <c:v>42766</c:v>
              </c:pt>
              <c:pt idx="82">
                <c:v>42767</c:v>
              </c:pt>
              <c:pt idx="83">
                <c:v>42768</c:v>
              </c:pt>
              <c:pt idx="84">
                <c:v>42769</c:v>
              </c:pt>
              <c:pt idx="85">
                <c:v>42772</c:v>
              </c:pt>
              <c:pt idx="86">
                <c:v>42773</c:v>
              </c:pt>
              <c:pt idx="87">
                <c:v>42774</c:v>
              </c:pt>
              <c:pt idx="88">
                <c:v>42775</c:v>
              </c:pt>
              <c:pt idx="89">
                <c:v>42776</c:v>
              </c:pt>
              <c:pt idx="90">
                <c:v>42779</c:v>
              </c:pt>
              <c:pt idx="91">
                <c:v>42780</c:v>
              </c:pt>
              <c:pt idx="92">
                <c:v>42781</c:v>
              </c:pt>
              <c:pt idx="93">
                <c:v>42782</c:v>
              </c:pt>
              <c:pt idx="94">
                <c:v>42783</c:v>
              </c:pt>
              <c:pt idx="95">
                <c:v>42786</c:v>
              </c:pt>
              <c:pt idx="96">
                <c:v>42787</c:v>
              </c:pt>
              <c:pt idx="97">
                <c:v>42788</c:v>
              </c:pt>
              <c:pt idx="98">
                <c:v>42789</c:v>
              </c:pt>
              <c:pt idx="99">
                <c:v>42790</c:v>
              </c:pt>
              <c:pt idx="100">
                <c:v>42793</c:v>
              </c:pt>
              <c:pt idx="101">
                <c:v>42794</c:v>
              </c:pt>
              <c:pt idx="102">
                <c:v>42786</c:v>
              </c:pt>
              <c:pt idx="103">
                <c:v>42787</c:v>
              </c:pt>
              <c:pt idx="104">
                <c:v>42788</c:v>
              </c:pt>
              <c:pt idx="105">
                <c:v>42789</c:v>
              </c:pt>
              <c:pt idx="106">
                <c:v>42790</c:v>
              </c:pt>
              <c:pt idx="107">
                <c:v>42793</c:v>
              </c:pt>
              <c:pt idx="108">
                <c:v>42794</c:v>
              </c:pt>
              <c:pt idx="109">
                <c:v>42795</c:v>
              </c:pt>
              <c:pt idx="110">
                <c:v>42796</c:v>
              </c:pt>
              <c:pt idx="111">
                <c:v>42797</c:v>
              </c:pt>
              <c:pt idx="112">
                <c:v>42800</c:v>
              </c:pt>
              <c:pt idx="113">
                <c:v>42801</c:v>
              </c:pt>
              <c:pt idx="114">
                <c:v>42802</c:v>
              </c:pt>
              <c:pt idx="115">
                <c:v>42803</c:v>
              </c:pt>
              <c:pt idx="116">
                <c:v>42804</c:v>
              </c:pt>
              <c:pt idx="117">
                <c:v>42807</c:v>
              </c:pt>
              <c:pt idx="118">
                <c:v>42808</c:v>
              </c:pt>
              <c:pt idx="119">
                <c:v>42809</c:v>
              </c:pt>
              <c:pt idx="120">
                <c:v>42810</c:v>
              </c:pt>
              <c:pt idx="121">
                <c:v>42811</c:v>
              </c:pt>
              <c:pt idx="122">
                <c:v>42814</c:v>
              </c:pt>
              <c:pt idx="123">
                <c:v>42815</c:v>
              </c:pt>
              <c:pt idx="124">
                <c:v>42816</c:v>
              </c:pt>
              <c:pt idx="125">
                <c:v>42817</c:v>
              </c:pt>
              <c:pt idx="126">
                <c:v>42818</c:v>
              </c:pt>
              <c:pt idx="127">
                <c:v>42821</c:v>
              </c:pt>
              <c:pt idx="128">
                <c:v>42822</c:v>
              </c:pt>
              <c:pt idx="129">
                <c:v>42823</c:v>
              </c:pt>
              <c:pt idx="130">
                <c:v>42824</c:v>
              </c:pt>
              <c:pt idx="131">
                <c:v>42825</c:v>
              </c:pt>
            </c:numLit>
          </c:cat>
          <c:val>
            <c:numLit>
              <c:ptCount val="132"/>
              <c:pt idx="0">
                <c:v>10803.2314285714</c:v>
              </c:pt>
              <c:pt idx="1">
                <c:v>10944.6386666666</c:v>
              </c:pt>
              <c:pt idx="2">
                <c:v>11628.9299999999</c:v>
              </c:pt>
              <c:pt idx="3">
                <c:v>11310.4777777777</c:v>
              </c:pt>
              <c:pt idx="4">
                <c:v>12115.0847058823</c:v>
              </c:pt>
              <c:pt idx="5">
                <c:v>11626.4005263157</c:v>
              </c:pt>
              <c:pt idx="6">
                <c:v>12075.538125</c:v>
              </c:pt>
              <c:pt idx="7">
                <c:v>10748.0211764705</c:v>
              </c:pt>
              <c:pt idx="8">
                <c:v>10438.7</c:v>
              </c:pt>
              <c:pt idx="9">
                <c:v>11663.3399999999</c:v>
              </c:pt>
              <c:pt idx="10">
                <c:v>10620.0377777777</c:v>
              </c:pt>
              <c:pt idx="11">
                <c:v>10833.1716666666</c:v>
              </c:pt>
              <c:pt idx="12">
                <c:v>12918.8662499999</c:v>
              </c:pt>
              <c:pt idx="13">
                <c:v>11408.485</c:v>
              </c:pt>
              <c:pt idx="14">
                <c:v>11300.9306666666</c:v>
              </c:pt>
              <c:pt idx="15">
                <c:v>11943.2375</c:v>
              </c:pt>
              <c:pt idx="16">
                <c:v>11292.6322222222</c:v>
              </c:pt>
              <c:pt idx="17">
                <c:v>11944.809375</c:v>
              </c:pt>
              <c:pt idx="18">
                <c:v>11033.5561538461</c:v>
              </c:pt>
              <c:pt idx="19">
                <c:v>11371.2764285714</c:v>
              </c:pt>
              <c:pt idx="20">
                <c:v>10601.485</c:v>
              </c:pt>
              <c:pt idx="21">
                <c:v>12506.1564705882</c:v>
              </c:pt>
              <c:pt idx="22">
                <c:v>12594.1484615384</c:v>
              </c:pt>
              <c:pt idx="23">
                <c:v>11383.9205882352</c:v>
              </c:pt>
              <c:pt idx="24">
                <c:v>12628.1853333333</c:v>
              </c:pt>
              <c:pt idx="25">
                <c:v>11920.3766666666</c:v>
              </c:pt>
              <c:pt idx="26">
                <c:v>10821.9847058823</c:v>
              </c:pt>
              <c:pt idx="27">
                <c:v>11036.1569230769</c:v>
              </c:pt>
              <c:pt idx="28">
                <c:v>11459.3879999999</c:v>
              </c:pt>
              <c:pt idx="29">
                <c:v>11176.2923076923</c:v>
              </c:pt>
              <c:pt idx="30">
                <c:v>9770.02285714285</c:v>
              </c:pt>
              <c:pt idx="31">
                <c:v>10443.101875</c:v>
              </c:pt>
              <c:pt idx="32">
                <c:v>9662.6923076923</c:v>
              </c:pt>
              <c:pt idx="33">
                <c:v>11090.5464285714</c:v>
              </c:pt>
              <c:pt idx="34">
                <c:v>9622.96714285714</c:v>
              </c:pt>
              <c:pt idx="35">
                <c:v>9752.80071428571</c:v>
              </c:pt>
              <c:pt idx="36">
                <c:v>10702.92</c:v>
              </c:pt>
              <c:pt idx="37">
                <c:v>8106.70428571428</c:v>
              </c:pt>
              <c:pt idx="38">
                <c:v>9844.30315789473</c:v>
              </c:pt>
              <c:pt idx="39">
                <c:v>8669.94384615384</c:v>
              </c:pt>
              <c:pt idx="40">
                <c:v>9342.10249999999</c:v>
              </c:pt>
              <c:pt idx="41">
                <c:v>8007.09470588235</c:v>
              </c:pt>
              <c:pt idx="42">
                <c:v>7267.32666666666</c:v>
              </c:pt>
              <c:pt idx="43">
                <c:v>7565.26133333333</c:v>
              </c:pt>
              <c:pt idx="44">
                <c:v>8363.95411764705</c:v>
              </c:pt>
              <c:pt idx="45">
                <c:v>7597.29133333333</c:v>
              </c:pt>
              <c:pt idx="46">
                <c:v>6990.35636363636</c:v>
              </c:pt>
              <c:pt idx="47">
                <c:v>8278.16499999999</c:v>
              </c:pt>
              <c:pt idx="48">
                <c:v>6747.31692307692</c:v>
              </c:pt>
              <c:pt idx="49">
                <c:v>7892.27875</c:v>
              </c:pt>
              <c:pt idx="50">
                <c:v>6409.62642857142</c:v>
              </c:pt>
              <c:pt idx="51">
                <c:v>6687.56818181818</c:v>
              </c:pt>
              <c:pt idx="52">
                <c:v>6086.73928571428</c:v>
              </c:pt>
              <c:pt idx="53">
                <c:v>6485.28714285714</c:v>
              </c:pt>
              <c:pt idx="54">
                <c:v>7318.78647058823</c:v>
              </c:pt>
              <c:pt idx="55">
                <c:v>5925.37285714285</c:v>
              </c:pt>
              <c:pt idx="56">
                <c:v>8232.77</c:v>
              </c:pt>
              <c:pt idx="57">
                <c:v>7533.04937499999</c:v>
              </c:pt>
              <c:pt idx="58">
                <c:v>7222.26454545454</c:v>
              </c:pt>
              <c:pt idx="59">
                <c:v>7783.11615384615</c:v>
              </c:pt>
              <c:pt idx="60">
                <c:v>5852.01</c:v>
              </c:pt>
              <c:pt idx="61">
                <c:v>7102.33466666666</c:v>
              </c:pt>
              <c:pt idx="62">
                <c:v>7027.2423076923</c:v>
              </c:pt>
              <c:pt idx="63">
                <c:v>7756.81571428571</c:v>
              </c:pt>
              <c:pt idx="64">
                <c:v>6063.42999999999</c:v>
              </c:pt>
              <c:pt idx="65">
                <c:v>6119.10818181818</c:v>
              </c:pt>
              <c:pt idx="66">
                <c:v>6282.48294117647</c:v>
              </c:pt>
              <c:pt idx="67">
                <c:v>5267.89166666666</c:v>
              </c:pt>
              <c:pt idx="68">
                <c:v>7006.14799999999</c:v>
              </c:pt>
              <c:pt idx="69">
                <c:v>6022.37733333333</c:v>
              </c:pt>
              <c:pt idx="70">
                <c:v>6690.755</c:v>
              </c:pt>
              <c:pt idx="71">
                <c:v>5595.665</c:v>
              </c:pt>
              <c:pt idx="72">
                <c:v>6221.05384615384</c:v>
              </c:pt>
              <c:pt idx="73">
                <c:v>6805.90285714285</c:v>
              </c:pt>
              <c:pt idx="74">
                <c:v>5357.04</c:v>
              </c:pt>
              <c:pt idx="75">
                <c:v>6216.35642857142</c:v>
              </c:pt>
              <c:pt idx="76">
                <c:v>6080.17937499999</c:v>
              </c:pt>
              <c:pt idx="77">
                <c:v>5978.63642857142</c:v>
              </c:pt>
              <c:pt idx="78">
                <c:v>6110.47588235294</c:v>
              </c:pt>
              <c:pt idx="79">
                <c:v>6220.4</c:v>
              </c:pt>
              <c:pt idx="80">
                <c:v>6599.17545454545</c:v>
              </c:pt>
              <c:pt idx="81">
                <c:v>6746.73461538461</c:v>
              </c:pt>
              <c:pt idx="82">
                <c:v>6749.177</c:v>
              </c:pt>
              <c:pt idx="83">
                <c:v>6860.16066666666</c:v>
              </c:pt>
              <c:pt idx="84">
                <c:v>7088.81533333333</c:v>
              </c:pt>
              <c:pt idx="85">
                <c:v>7436.432</c:v>
              </c:pt>
              <c:pt idx="86">
                <c:v>6586.679375</c:v>
              </c:pt>
              <c:pt idx="87">
                <c:v>6931.20857142857</c:v>
              </c:pt>
              <c:pt idx="88">
                <c:v>7190.966875</c:v>
              </c:pt>
              <c:pt idx="89">
                <c:v>6743.78375</c:v>
              </c:pt>
              <c:pt idx="90">
                <c:v>7029.08133333333</c:v>
              </c:pt>
              <c:pt idx="91">
                <c:v>6979.57181818181</c:v>
              </c:pt>
              <c:pt idx="92">
                <c:v>6665.695</c:v>
              </c:pt>
              <c:pt idx="93">
                <c:v>6730.19833333333</c:v>
              </c:pt>
              <c:pt idx="94">
                <c:v>6455.51</c:v>
              </c:pt>
              <c:pt idx="95">
                <c:v>6424.448125</c:v>
              </c:pt>
              <c:pt idx="96">
                <c:v>6963.60833333333</c:v>
              </c:pt>
              <c:pt idx="97">
                <c:v>7708.30153846153</c:v>
              </c:pt>
              <c:pt idx="98">
                <c:v>6729.00588235294</c:v>
              </c:pt>
              <c:pt idx="99">
                <c:v>7096.64833333333</c:v>
              </c:pt>
              <c:pt idx="100">
                <c:v>7111.982</c:v>
              </c:pt>
              <c:pt idx="101">
                <c:v>7591.70523809523</c:v>
              </c:pt>
              <c:pt idx="102">
                <c:v>6424.448125</c:v>
              </c:pt>
              <c:pt idx="103">
                <c:v>6963.60833333333</c:v>
              </c:pt>
              <c:pt idx="104">
                <c:v>7708.30153846153</c:v>
              </c:pt>
              <c:pt idx="105">
                <c:v>6729.00588235294</c:v>
              </c:pt>
              <c:pt idx="106">
                <c:v>7096.64833333333</c:v>
              </c:pt>
              <c:pt idx="107">
                <c:v>7111.982</c:v>
              </c:pt>
              <c:pt idx="108">
                <c:v>7591.70523809523</c:v>
              </c:pt>
              <c:pt idx="109">
                <c:v>7412.41111111111</c:v>
              </c:pt>
              <c:pt idx="110">
                <c:v>7640.24571428571</c:v>
              </c:pt>
              <c:pt idx="111">
                <c:v>7616.93956521739</c:v>
              </c:pt>
              <c:pt idx="112">
                <c:v>7154.145</c:v>
              </c:pt>
              <c:pt idx="113">
                <c:v>7384.00476190476</c:v>
              </c:pt>
              <c:pt idx="114">
                <c:v>7165.24466666666</c:v>
              </c:pt>
              <c:pt idx="115">
                <c:v>7555.99684210526</c:v>
              </c:pt>
              <c:pt idx="116">
                <c:v>7011.63823529411</c:v>
              </c:pt>
              <c:pt idx="117">
                <c:v>6916.83076923076</c:v>
              </c:pt>
              <c:pt idx="118">
                <c:v>7571.00684210526</c:v>
              </c:pt>
              <c:pt idx="119">
                <c:v>7458.174375</c:v>
              </c:pt>
              <c:pt idx="120">
                <c:v>7668.01823529411</c:v>
              </c:pt>
              <c:pt idx="121">
                <c:v>7491.34476190476</c:v>
              </c:pt>
              <c:pt idx="122">
                <c:v>7547.10722222222</c:v>
              </c:pt>
              <c:pt idx="123">
                <c:v>7270.3145</c:v>
              </c:pt>
              <c:pt idx="124">
                <c:v>6661.78333333333</c:v>
              </c:pt>
              <c:pt idx="125">
                <c:v>6542.73352941176</c:v>
              </c:pt>
              <c:pt idx="126">
                <c:v>7013.78555555555</c:v>
              </c:pt>
              <c:pt idx="127">
                <c:v>6873.69238095238</c:v>
              </c:pt>
              <c:pt idx="128">
                <c:v>7373.84904761905</c:v>
              </c:pt>
              <c:pt idx="129">
                <c:v>6942.06235294117</c:v>
              </c:pt>
              <c:pt idx="130">
                <c:v>6494.854375</c:v>
              </c:pt>
              <c:pt idx="131">
                <c:v>6771.62749999999</c:v>
              </c:pt>
            </c:numLit>
          </c:val>
          <c:smooth val="0"/>
        </c:ser>
        <c:marker val="1"/>
        <c:axId val="33753416"/>
        <c:axId val="35345289"/>
      </c:lineChart>
      <c:catAx>
        <c:axId val="33753416"/>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35345289"/>
        <c:crosses val="autoZero"/>
        <c:auto val="0"/>
        <c:lblOffset val="100"/>
        <c:tickLblSkip val="3"/>
        <c:noMultiLvlLbl val="0"/>
      </c:catAx>
      <c:valAx>
        <c:axId val="35345289"/>
        <c:scaling>
          <c:orientation val="minMax"/>
          <c:max val="13000"/>
          <c:min val="5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33753416"/>
        <c:crossesAt val="1"/>
        <c:crossBetween val="between"/>
        <c:dispUnits/>
        <c:majorUnit val="10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20 de febrero al 31 de marzo 2017 
</a:t>
            </a:r>
            <a:r>
              <a:rPr lang="en-US" cap="none" sz="1000" b="1" i="0" u="none" baseline="0">
                <a:solidFill>
                  <a:srgbClr val="000000"/>
                </a:solidFill>
              </a:rPr>
              <a:t>(en $ por saco de 50 kilos, sin IVA)</a:t>
            </a:r>
          </a:p>
        </c:rich>
      </c:tx>
      <c:layout>
        <c:manualLayout>
          <c:xMode val="factor"/>
          <c:yMode val="factor"/>
          <c:x val="-0.0465"/>
          <c:y val="-0.01275"/>
        </c:manualLayout>
      </c:layout>
      <c:spPr>
        <a:noFill/>
        <a:ln w="3175">
          <a:noFill/>
        </a:ln>
      </c:spPr>
    </c:title>
    <c:plotArea>
      <c:layout>
        <c:manualLayout>
          <c:xMode val="edge"/>
          <c:yMode val="edge"/>
          <c:x val="0.016"/>
          <c:y val="0.1065"/>
          <c:w val="0.8125"/>
          <c:h val="0.807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49672146"/>
        <c:axId val="44396131"/>
      </c:lineChart>
      <c:dateAx>
        <c:axId val="49672146"/>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44396131"/>
        <c:crosses val="autoZero"/>
        <c:auto val="0"/>
        <c:baseTimeUnit val="days"/>
        <c:majorUnit val="2"/>
        <c:majorTimeUnit val="days"/>
        <c:minorUnit val="1"/>
        <c:minorTimeUnit val="days"/>
        <c:noMultiLvlLbl val="0"/>
      </c:dateAx>
      <c:valAx>
        <c:axId val="44396131"/>
        <c:scaling>
          <c:orientation val="minMax"/>
          <c:max val="15000"/>
          <c:min val="4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9672146"/>
        <c:crossesAt val="1"/>
        <c:crossBetween val="between"/>
        <c:dispUnits/>
      </c:valAx>
      <c:spPr>
        <a:noFill/>
        <a:ln>
          <a:noFill/>
        </a:ln>
      </c:spPr>
    </c:plotArea>
    <c:legend>
      <c:legendPos val="r"/>
      <c:layout>
        <c:manualLayout>
          <c:xMode val="edge"/>
          <c:yMode val="edge"/>
          <c:x val="0.83925"/>
          <c:y val="0.06425"/>
          <c:w val="0.1597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ferias libres y mercados mayoristas de Santiago</a:t>
            </a:r>
          </a:p>
        </c:rich>
      </c:tx>
      <c:layout>
        <c:manualLayout>
          <c:xMode val="factor"/>
          <c:yMode val="factor"/>
          <c:x val="-0.00225"/>
          <c:y val="-0.01275"/>
        </c:manualLayout>
      </c:layout>
      <c:spPr>
        <a:noFill/>
        <a:ln w="3175">
          <a:noFill/>
        </a:ln>
      </c:spPr>
    </c:title>
    <c:plotArea>
      <c:layout>
        <c:manualLayout>
          <c:xMode val="edge"/>
          <c:yMode val="edge"/>
          <c:x val="0.0265"/>
          <c:y val="0.071"/>
          <c:w val="0.98475"/>
          <c:h val="0.819"/>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ser>
          <c:idx val="2"/>
          <c:order val="2"/>
          <c:tx>
            <c:strRef>
              <c:f>'precio minorista'!$F$24</c:f>
              <c:strCache>
                <c:ptCount val="1"/>
                <c:pt idx="0">
                  <c:v>Mayorista</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noFill/>
              </a:ln>
            </c:spPr>
          </c:marker>
          <c:cat>
            <c:strRef>
              <c:f>'precio minorista'!$C$25:$C$45</c:f>
              <c:strCache/>
            </c:strRef>
          </c:cat>
          <c:val>
            <c:numRef>
              <c:f>'precio minorista'!$F$25:$F$45</c:f>
              <c:numCache/>
            </c:numRef>
          </c:val>
          <c:smooth val="0"/>
        </c:ser>
        <c:marker val="1"/>
        <c:axId val="64020860"/>
        <c:axId val="39316829"/>
      </c:lineChart>
      <c:dateAx>
        <c:axId val="64020860"/>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9316829"/>
        <c:crosses val="autoZero"/>
        <c:auto val="0"/>
        <c:baseTimeUnit val="months"/>
        <c:majorUnit val="2"/>
        <c:majorTimeUnit val="months"/>
        <c:minorUnit val="1"/>
        <c:minorTimeUnit val="months"/>
        <c:noMultiLvlLbl val="0"/>
      </c:dateAx>
      <c:valAx>
        <c:axId val="39316829"/>
        <c:scaling>
          <c:orientation val="minMax"/>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64020860"/>
        <c:crossesAt val="1"/>
        <c:crossBetween val="between"/>
        <c:dispUnits/>
      </c:valAx>
      <c:spPr>
        <a:noFill/>
        <a:ln>
          <a:noFill/>
        </a:ln>
      </c:spPr>
    </c:plotArea>
    <c:legend>
      <c:legendPos val="r"/>
      <c:layout>
        <c:manualLayout>
          <c:xMode val="edge"/>
          <c:yMode val="edge"/>
          <c:x val="0.24175"/>
          <c:y val="0.914"/>
          <c:w val="0.55025"/>
          <c:h val="0.08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7 de noviembre 2016 al 27 de marzo 2017 ($/ kilo con IVA)</a:t>
            </a:r>
          </a:p>
        </c:rich>
      </c:tx>
      <c:layout>
        <c:manualLayout>
          <c:xMode val="factor"/>
          <c:yMode val="factor"/>
          <c:x val="-0.00275"/>
          <c:y val="-0.01425"/>
        </c:manualLayout>
      </c:layout>
      <c:spPr>
        <a:noFill/>
        <a:ln w="3175">
          <a:noFill/>
        </a:ln>
      </c:spPr>
    </c:title>
    <c:plotArea>
      <c:layout>
        <c:manualLayout>
          <c:xMode val="edge"/>
          <c:yMode val="edge"/>
          <c:x val="0.057"/>
          <c:y val="0.0955"/>
          <c:w val="0.94875"/>
          <c:h val="0.782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18307142"/>
        <c:axId val="30546551"/>
      </c:lineChart>
      <c:dateAx>
        <c:axId val="18307142"/>
        <c:scaling>
          <c:orientation val="minMax"/>
        </c:scaling>
        <c:axPos val="b"/>
        <c:delete val="0"/>
        <c:numFmt formatCode="dd/mm" sourceLinked="0"/>
        <c:majorTickMark val="out"/>
        <c:minorTickMark val="none"/>
        <c:tickLblPos val="nextTo"/>
        <c:spPr>
          <a:ln w="3175">
            <a:solidFill>
              <a:srgbClr val="C0C0C0"/>
            </a:solidFill>
          </a:ln>
        </c:spPr>
        <c:crossAx val="30546551"/>
        <c:crosses val="autoZero"/>
        <c:auto val="0"/>
        <c:baseTimeUnit val="days"/>
        <c:majorUnit val="14"/>
        <c:majorTimeUnit val="days"/>
        <c:minorUnit val="1"/>
        <c:minorTimeUnit val="days"/>
        <c:noMultiLvlLbl val="0"/>
      </c:dateAx>
      <c:valAx>
        <c:axId val="30546551"/>
        <c:scaling>
          <c:orientation val="minMax"/>
          <c:max val="1400"/>
          <c:min val="9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18307142"/>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7 de noviembre 2016 al 27 de marzo 2017 ($/ kilo con IVA)</a:t>
            </a:r>
          </a:p>
        </c:rich>
      </c:tx>
      <c:layout>
        <c:manualLayout>
          <c:xMode val="factor"/>
          <c:yMode val="factor"/>
          <c:x val="-0.00125"/>
          <c:y val="-0.01425"/>
        </c:manualLayout>
      </c:layout>
      <c:spPr>
        <a:noFill/>
        <a:ln w="3175">
          <a:noFill/>
        </a:ln>
      </c:spPr>
    </c:title>
    <c:plotArea>
      <c:layout>
        <c:manualLayout>
          <c:xMode val="edge"/>
          <c:yMode val="edge"/>
          <c:x val="0.0495"/>
          <c:y val="0.09225"/>
          <c:w val="0.95625"/>
          <c:h val="0.787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6483504"/>
        <c:axId val="58351537"/>
      </c:lineChart>
      <c:dateAx>
        <c:axId val="6483504"/>
        <c:scaling>
          <c:orientation val="minMax"/>
        </c:scaling>
        <c:axPos val="b"/>
        <c:delete val="0"/>
        <c:numFmt formatCode="dd/mm" sourceLinked="0"/>
        <c:majorTickMark val="out"/>
        <c:minorTickMark val="none"/>
        <c:tickLblPos val="nextTo"/>
        <c:spPr>
          <a:ln w="3175">
            <a:solidFill>
              <a:srgbClr val="C0C0C0"/>
            </a:solidFill>
          </a:ln>
        </c:spPr>
        <c:crossAx val="58351537"/>
        <c:crosses val="autoZero"/>
        <c:auto val="0"/>
        <c:baseTimeUnit val="days"/>
        <c:majorUnit val="14"/>
        <c:majorTimeUnit val="days"/>
        <c:minorUnit val="1"/>
        <c:minorTimeUnit val="days"/>
        <c:noMultiLvlLbl val="0"/>
      </c:dateAx>
      <c:valAx>
        <c:axId val="58351537"/>
        <c:scaling>
          <c:orientation val="minMax"/>
          <c:max val="700"/>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6483504"/>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705"/>
          <c:w val="0.8885"/>
          <c:h val="0.851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55401786"/>
        <c:axId val="28854027"/>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58359652"/>
        <c:axId val="55474821"/>
      </c:lineChart>
      <c:catAx>
        <c:axId val="5540178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28854027"/>
        <c:crosses val="autoZero"/>
        <c:auto val="1"/>
        <c:lblOffset val="100"/>
        <c:tickLblSkip val="1"/>
        <c:noMultiLvlLbl val="0"/>
      </c:catAx>
      <c:valAx>
        <c:axId val="28854027"/>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5401786"/>
        <c:crossesAt val="1"/>
        <c:crossBetween val="between"/>
        <c:dispUnits/>
      </c:valAx>
      <c:catAx>
        <c:axId val="58359652"/>
        <c:scaling>
          <c:orientation val="minMax"/>
        </c:scaling>
        <c:axPos val="b"/>
        <c:delete val="1"/>
        <c:majorTickMark val="out"/>
        <c:minorTickMark val="none"/>
        <c:tickLblPos val="nextTo"/>
        <c:crossAx val="55474821"/>
        <c:crosses val="autoZero"/>
        <c:auto val="1"/>
        <c:lblOffset val="100"/>
        <c:tickLblSkip val="1"/>
        <c:noMultiLvlLbl val="0"/>
      </c:catAx>
      <c:valAx>
        <c:axId val="55474821"/>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7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58359652"/>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25"/>
          <c:y val="-0.011"/>
        </c:manualLayout>
      </c:layout>
      <c:spPr>
        <a:noFill/>
        <a:ln w="3175">
          <a:noFill/>
        </a:ln>
      </c:spPr>
    </c:title>
    <c:plotArea>
      <c:layout>
        <c:manualLayout>
          <c:xMode val="edge"/>
          <c:yMode val="edge"/>
          <c:x val="0.03875"/>
          <c:y val="0.0725"/>
          <c:w val="0.94475"/>
          <c:h val="0.84875"/>
        </c:manualLayout>
      </c:layout>
      <c:barChart>
        <c:barDir val="col"/>
        <c:grouping val="clustered"/>
        <c:varyColors val="0"/>
        <c:ser>
          <c:idx val="0"/>
          <c:order val="0"/>
          <c:tx>
            <c:strRef>
              <c:f>'sup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1"/>
          <c:order val="1"/>
          <c:tx>
            <c:strRef>
              <c:f>'sup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ser>
          <c:idx val="2"/>
          <c:order val="2"/>
          <c:tx>
            <c:strRef>
              <c:f>'sup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región'!$C$23:$K$23</c:f>
              <c:numCache/>
            </c:numRef>
          </c:val>
        </c:ser>
        <c:overlap val="-27"/>
        <c:gapWidth val="219"/>
        <c:axId val="29511342"/>
        <c:axId val="64275487"/>
      </c:barChart>
      <c:catAx>
        <c:axId val="2951134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4275487"/>
        <c:crosses val="autoZero"/>
        <c:auto val="1"/>
        <c:lblOffset val="100"/>
        <c:tickLblSkip val="1"/>
        <c:noMultiLvlLbl val="0"/>
      </c:catAx>
      <c:valAx>
        <c:axId val="64275487"/>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29511342"/>
        <c:crossesAt val="1"/>
        <c:crossBetween val="between"/>
        <c:dispUnits/>
      </c:valAx>
      <c:spPr>
        <a:noFill/>
        <a:ln>
          <a:noFill/>
        </a:ln>
      </c:spPr>
    </c:plotArea>
    <c:legend>
      <c:legendPos val="r"/>
      <c:layout>
        <c:manualLayout>
          <c:xMode val="edge"/>
          <c:yMode val="edge"/>
          <c:x val="0.37975"/>
          <c:y val="0.926"/>
          <c:w val="0.24175"/>
          <c:h val="0.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25"/>
        </c:manualLayout>
      </c:layout>
      <c:spPr>
        <a:noFill/>
        <a:ln w="3175">
          <a:noFill/>
        </a:ln>
      </c:spPr>
    </c:title>
    <c:plotArea>
      <c:layout>
        <c:manualLayout>
          <c:xMode val="edge"/>
          <c:yMode val="edge"/>
          <c:x val="0.04575"/>
          <c:y val="0.07"/>
          <c:w val="0.93825"/>
          <c:h val="0.849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41608472"/>
        <c:axId val="38931929"/>
      </c:barChart>
      <c:catAx>
        <c:axId val="416084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8931929"/>
        <c:crosses val="autoZero"/>
        <c:auto val="1"/>
        <c:lblOffset val="100"/>
        <c:tickLblSkip val="1"/>
        <c:noMultiLvlLbl val="0"/>
      </c:catAx>
      <c:valAx>
        <c:axId val="38931929"/>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1608472"/>
        <c:crossesAt val="1"/>
        <c:crossBetween val="between"/>
        <c:dispUnits/>
      </c:valAx>
      <c:spPr>
        <a:noFill/>
        <a:ln>
          <a:noFill/>
        </a:ln>
      </c:spPr>
    </c:plotArea>
    <c:legend>
      <c:legendPos val="r"/>
      <c:layout>
        <c:manualLayout>
          <c:xMode val="edge"/>
          <c:yMode val="edge"/>
          <c:x val="0.37725"/>
          <c:y val="0.93225"/>
          <c:w val="0.246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66675</xdr:rowOff>
    </xdr:from>
    <xdr:to>
      <xdr:col>11</xdr:col>
      <xdr:colOff>95250</xdr:colOff>
      <xdr:row>45</xdr:row>
      <xdr:rowOff>123825</xdr:rowOff>
    </xdr:to>
    <xdr:graphicFrame>
      <xdr:nvGraphicFramePr>
        <xdr:cNvPr id="1" name="Gráfico 1"/>
        <xdr:cNvGraphicFramePr/>
      </xdr:nvGraphicFramePr>
      <xdr:xfrm>
        <a:off x="47625" y="3857625"/>
        <a:ext cx="8239125"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66675</xdr:rowOff>
    </xdr:from>
    <xdr:to>
      <xdr:col>11</xdr:col>
      <xdr:colOff>638175</xdr:colOff>
      <xdr:row>46</xdr:row>
      <xdr:rowOff>104775</xdr:rowOff>
    </xdr:to>
    <xdr:graphicFrame>
      <xdr:nvGraphicFramePr>
        <xdr:cNvPr id="1" name="Gráfico 1"/>
        <xdr:cNvGraphicFramePr/>
      </xdr:nvGraphicFramePr>
      <xdr:xfrm>
        <a:off x="171450" y="3762375"/>
        <a:ext cx="8534400" cy="3762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23</xdr:row>
      <xdr:rowOff>9525</xdr:rowOff>
    </xdr:from>
    <xdr:to>
      <xdr:col>11</xdr:col>
      <xdr:colOff>552450</xdr:colOff>
      <xdr:row>44</xdr:row>
      <xdr:rowOff>114300</xdr:rowOff>
    </xdr:to>
    <xdr:graphicFrame>
      <xdr:nvGraphicFramePr>
        <xdr:cNvPr id="1" name="Gráfico 2"/>
        <xdr:cNvGraphicFramePr/>
      </xdr:nvGraphicFramePr>
      <xdr:xfrm>
        <a:off x="171450" y="3743325"/>
        <a:ext cx="874395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38100</xdr:rowOff>
    </xdr:from>
    <xdr:to>
      <xdr:col>2</xdr:col>
      <xdr:colOff>476250</xdr:colOff>
      <xdr:row>38</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286625"/>
          <a:ext cx="182880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152400</xdr:rowOff>
    </xdr:from>
    <xdr:to>
      <xdr:col>3</xdr:col>
      <xdr:colOff>314325</xdr:colOff>
      <xdr:row>38</xdr:row>
      <xdr:rowOff>66675</xdr:rowOff>
    </xdr:to>
    <xdr:pic>
      <xdr:nvPicPr>
        <xdr:cNvPr id="1" name="Picture 1" descr="LOGO_FUCOA"/>
        <xdr:cNvPicPr preferRelativeResize="1">
          <a:picLocks noChangeAspect="1"/>
        </xdr:cNvPicPr>
      </xdr:nvPicPr>
      <xdr:blipFill>
        <a:blip r:embed="rId1"/>
        <a:srcRect t="45156" b="48161"/>
        <a:stretch>
          <a:fillRect/>
        </a:stretch>
      </xdr:blipFill>
      <xdr:spPr>
        <a:xfrm>
          <a:off x="28575" y="8134350"/>
          <a:ext cx="1838325" cy="104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695700" y="762000"/>
          <a:ext cx="3190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38550" y="904875"/>
          <a:ext cx="3257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28975" y="1076325"/>
          <a:ext cx="3686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62500" y="271462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895725" y="5210175"/>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391150" y="53721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57825" y="551497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495925" y="5695950"/>
          <a:ext cx="1390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33925" y="505777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24475" y="49149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31</xdr:row>
      <xdr:rowOff>114300</xdr:rowOff>
    </xdr:from>
    <xdr:to>
      <xdr:col>3</xdr:col>
      <xdr:colOff>238125</xdr:colOff>
      <xdr:row>31</xdr:row>
      <xdr:rowOff>114300</xdr:rowOff>
    </xdr:to>
    <xdr:sp>
      <xdr:nvSpPr>
        <xdr:cNvPr id="11" name="Conector recto 33"/>
        <xdr:cNvSpPr>
          <a:spLocks/>
        </xdr:cNvSpPr>
      </xdr:nvSpPr>
      <xdr:spPr>
        <a:xfrm flipV="1">
          <a:off x="6657975" y="4733925"/>
          <a:ext cx="247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48250" y="4552950"/>
          <a:ext cx="1857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86225" y="4400550"/>
          <a:ext cx="2790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76800" y="4238625"/>
          <a:ext cx="2000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05225" y="1400175"/>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76800" y="1924050"/>
          <a:ext cx="2038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62550" y="2095500"/>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62550" y="22383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57825" y="2390775"/>
          <a:ext cx="1466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76900" y="2571750"/>
          <a:ext cx="1238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391150" y="2895600"/>
          <a:ext cx="1495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57825" y="305752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72125" y="3200400"/>
          <a:ext cx="1304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43600" y="3552825"/>
          <a:ext cx="914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895975" y="37433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391025" y="3390900"/>
          <a:ext cx="2466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52650" y="1238250"/>
          <a:ext cx="477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362450"/>
        <a:ext cx="6286500" cy="3086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7172325"/>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1</xdr:col>
      <xdr:colOff>28575</xdr:colOff>
      <xdr:row>36</xdr:row>
      <xdr:rowOff>142875</xdr:rowOff>
    </xdr:from>
    <xdr:to>
      <xdr:col>12</xdr:col>
      <xdr:colOff>114300</xdr:colOff>
      <xdr:row>55</xdr:row>
      <xdr:rowOff>47625</xdr:rowOff>
    </xdr:to>
    <xdr:graphicFrame>
      <xdr:nvGraphicFramePr>
        <xdr:cNvPr id="2" name="Gráfico 4"/>
        <xdr:cNvGraphicFramePr/>
      </xdr:nvGraphicFramePr>
      <xdr:xfrm>
        <a:off x="123825" y="6810375"/>
        <a:ext cx="8239125" cy="33813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086975" cy="41338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90700" cy="209550"/>
    <xdr:sp>
      <xdr:nvSpPr>
        <xdr:cNvPr id="2" name="1 CuadroTexto"/>
        <xdr:cNvSpPr txBox="1">
          <a:spLocks noChangeArrowheads="1"/>
        </xdr:cNvSpPr>
      </xdr:nvSpPr>
      <xdr:spPr>
        <a:xfrm>
          <a:off x="95250" y="10001250"/>
          <a:ext cx="1790700"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0.246</cdr:x>
      <cdr:y>1</cdr:y>
    </cdr:to>
    <cdr:sp>
      <cdr:nvSpPr>
        <cdr:cNvPr id="1" name="1 CuadroTexto"/>
        <cdr:cNvSpPr txBox="1">
          <a:spLocks noChangeArrowheads="1"/>
        </cdr:cNvSpPr>
      </cdr:nvSpPr>
      <cdr:spPr>
        <a:xfrm>
          <a:off x="0" y="3543300"/>
          <a:ext cx="20288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38100</xdr:rowOff>
    </xdr:from>
    <xdr:to>
      <xdr:col>9</xdr:col>
      <xdr:colOff>685800</xdr:colOff>
      <xdr:row>45</xdr:row>
      <xdr:rowOff>66675</xdr:rowOff>
    </xdr:to>
    <xdr:graphicFrame>
      <xdr:nvGraphicFramePr>
        <xdr:cNvPr id="1" name="Gráfico 1"/>
        <xdr:cNvGraphicFramePr/>
      </xdr:nvGraphicFramePr>
      <xdr:xfrm>
        <a:off x="161925" y="3562350"/>
        <a:ext cx="8239125" cy="3752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80" workbookViewId="0" topLeftCell="A1">
      <selection activeCell="A1" sqref="A1"/>
    </sheetView>
  </sheetViews>
  <sheetFormatPr defaultColWidth="10.8515625" defaultRowHeight="15"/>
  <cols>
    <col min="1" max="27" width="10.8515625" style="73" customWidth="1"/>
    <col min="28" max="16384" width="10.8515625" style="73" customWidth="1"/>
  </cols>
  <sheetData>
    <row r="1" ht="15">
      <c r="A1" s="76"/>
    </row>
    <row r="13" spans="6:10" ht="25.5">
      <c r="F13" s="77"/>
      <c r="G13" s="77"/>
      <c r="H13" s="78"/>
      <c r="I13" s="78"/>
      <c r="J13" s="78"/>
    </row>
    <row r="14" spans="5:7" ht="15">
      <c r="E14" s="74"/>
      <c r="F14" s="74"/>
      <c r="G14" s="74"/>
    </row>
    <row r="15" spans="5:10" ht="15.75">
      <c r="E15" s="79"/>
      <c r="F15" s="80"/>
      <c r="G15" s="80"/>
      <c r="H15" s="81"/>
      <c r="I15" s="81"/>
      <c r="J15" s="81"/>
    </row>
    <row r="20" ht="25.5">
      <c r="D20" s="77" t="s">
        <v>111</v>
      </c>
    </row>
    <row r="39" spans="4:6" ht="15.75">
      <c r="D39" s="352"/>
      <c r="E39" s="353"/>
      <c r="F39" s="353"/>
    </row>
    <row r="42" ht="15.75">
      <c r="E42" s="140" t="s">
        <v>262</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A1:AD48"/>
  <sheetViews>
    <sheetView zoomScale="80" zoomScaleNormal="80" zoomScalePageLayoutView="0" workbookViewId="0" topLeftCell="A1">
      <selection activeCell="A1" sqref="A1"/>
    </sheetView>
  </sheetViews>
  <sheetFormatPr defaultColWidth="10.8515625" defaultRowHeight="15"/>
  <cols>
    <col min="1" max="1" width="1.7109375" style="35" customWidth="1"/>
    <col min="2" max="2" width="12.140625" style="35" customWidth="1"/>
    <col min="3" max="3" width="11.8515625" style="35" customWidth="1"/>
    <col min="4" max="4" width="13.7109375" style="35" customWidth="1"/>
    <col min="5" max="5" width="14.421875" style="35" customWidth="1"/>
    <col min="6" max="7" width="12.00390625" style="35" customWidth="1"/>
    <col min="8" max="8" width="12.7109375" style="35" customWidth="1"/>
    <col min="9" max="9" width="14.00390625" style="35" customWidth="1"/>
    <col min="10" max="10" width="13.00390625" style="35" customWidth="1"/>
    <col min="11" max="11" width="12.00390625" style="35" customWidth="1"/>
    <col min="12" max="12" width="13.8515625" style="35" customWidth="1"/>
    <col min="13" max="13" width="13.421875" style="35" customWidth="1"/>
    <col min="14" max="14" width="12.28125" style="35" customWidth="1"/>
    <col min="15" max="15" width="12.00390625" style="35" customWidth="1"/>
    <col min="16" max="16" width="13.00390625" style="35" customWidth="1"/>
    <col min="17" max="17" width="13.7109375" style="35" customWidth="1"/>
    <col min="18" max="18" width="13.00390625" style="35" customWidth="1"/>
    <col min="19" max="19" width="2.140625" style="35" customWidth="1"/>
    <col min="20" max="20" width="10.8515625" style="35" customWidth="1"/>
    <col min="21" max="21" width="10.8515625" style="148" customWidth="1"/>
    <col min="22" max="22" width="10.8515625" style="285" hidden="1" customWidth="1"/>
    <col min="23" max="23" width="9.28125" style="285" hidden="1" customWidth="1"/>
    <col min="24" max="24" width="13.00390625" style="285" hidden="1" customWidth="1"/>
    <col min="25" max="25" width="13.140625" style="285" hidden="1" customWidth="1"/>
    <col min="26" max="26" width="7.140625" style="285" hidden="1" customWidth="1"/>
    <col min="27" max="27" width="8.140625" style="285" hidden="1" customWidth="1"/>
    <col min="28" max="28" width="9.28125" style="285" hidden="1" customWidth="1"/>
    <col min="29" max="29" width="15.7109375" style="285" hidden="1" customWidth="1"/>
    <col min="30" max="30" width="13.140625" style="285" hidden="1" customWidth="1"/>
    <col min="31" max="31" width="10.8515625" style="148" customWidth="1"/>
    <col min="32" max="16384" width="10.8515625" style="35" customWidth="1"/>
  </cols>
  <sheetData>
    <row r="1" spans="1:3" ht="8.25" customHeight="1">
      <c r="A1" s="35" t="s">
        <v>246</v>
      </c>
      <c r="B1" s="224"/>
      <c r="C1" s="224"/>
    </row>
    <row r="2" spans="2:20" ht="12.75">
      <c r="B2" s="374" t="s">
        <v>60</v>
      </c>
      <c r="C2" s="374"/>
      <c r="D2" s="374"/>
      <c r="E2" s="374"/>
      <c r="F2" s="374"/>
      <c r="G2" s="374"/>
      <c r="H2" s="374"/>
      <c r="I2" s="374"/>
      <c r="J2" s="374"/>
      <c r="K2" s="374"/>
      <c r="L2" s="374"/>
      <c r="M2" s="374"/>
      <c r="N2" s="374"/>
      <c r="O2" s="374"/>
      <c r="P2" s="374"/>
      <c r="Q2" s="374"/>
      <c r="R2" s="374"/>
      <c r="S2" s="169"/>
      <c r="T2" s="45" t="s">
        <v>151</v>
      </c>
    </row>
    <row r="3" spans="2:19" ht="12.75">
      <c r="B3" s="374" t="s">
        <v>148</v>
      </c>
      <c r="C3" s="374"/>
      <c r="D3" s="374"/>
      <c r="E3" s="374"/>
      <c r="F3" s="374"/>
      <c r="G3" s="374"/>
      <c r="H3" s="374"/>
      <c r="I3" s="374"/>
      <c r="J3" s="374"/>
      <c r="K3" s="374"/>
      <c r="L3" s="374"/>
      <c r="M3" s="374"/>
      <c r="N3" s="374"/>
      <c r="O3" s="374"/>
      <c r="P3" s="374"/>
      <c r="Q3" s="374"/>
      <c r="R3" s="374"/>
      <c r="S3" s="169"/>
    </row>
    <row r="4" spans="2:19" ht="12.75">
      <c r="B4" s="374" t="s">
        <v>109</v>
      </c>
      <c r="C4" s="374"/>
      <c r="D4" s="374"/>
      <c r="E4" s="374"/>
      <c r="F4" s="374"/>
      <c r="G4" s="374"/>
      <c r="H4" s="374"/>
      <c r="I4" s="374"/>
      <c r="J4" s="374"/>
      <c r="K4" s="374"/>
      <c r="L4" s="374"/>
      <c r="M4" s="374"/>
      <c r="N4" s="374"/>
      <c r="O4" s="374"/>
      <c r="P4" s="374"/>
      <c r="Q4" s="374"/>
      <c r="R4" s="374"/>
      <c r="S4" s="169"/>
    </row>
    <row r="5" spans="3:20" ht="12.75">
      <c r="C5" s="385" t="s">
        <v>221</v>
      </c>
      <c r="D5" s="385"/>
      <c r="E5" s="385"/>
      <c r="F5" s="385"/>
      <c r="G5" s="385"/>
      <c r="H5" s="385"/>
      <c r="I5" s="385"/>
      <c r="J5" s="385"/>
      <c r="K5" s="385" t="s">
        <v>222</v>
      </c>
      <c r="L5" s="385"/>
      <c r="M5" s="385"/>
      <c r="N5" s="385"/>
      <c r="O5" s="385"/>
      <c r="P5" s="385"/>
      <c r="Q5" s="385"/>
      <c r="R5" s="385"/>
      <c r="S5" s="174"/>
      <c r="T5" s="171"/>
    </row>
    <row r="6" spans="2:30" ht="12.75">
      <c r="B6" s="175" t="s">
        <v>139</v>
      </c>
      <c r="C6" s="176" t="s">
        <v>163</v>
      </c>
      <c r="D6" s="177" t="s">
        <v>23</v>
      </c>
      <c r="E6" s="177" t="s">
        <v>22</v>
      </c>
      <c r="F6" s="177" t="s">
        <v>138</v>
      </c>
      <c r="G6" s="177" t="s">
        <v>19</v>
      </c>
      <c r="H6" s="177" t="s">
        <v>18</v>
      </c>
      <c r="I6" s="177" t="s">
        <v>17</v>
      </c>
      <c r="J6" s="178" t="s">
        <v>15</v>
      </c>
      <c r="K6" s="176" t="s">
        <v>163</v>
      </c>
      <c r="L6" s="177" t="s">
        <v>23</v>
      </c>
      <c r="M6" s="177" t="s">
        <v>22</v>
      </c>
      <c r="N6" s="177" t="s">
        <v>138</v>
      </c>
      <c r="O6" s="177" t="s">
        <v>19</v>
      </c>
      <c r="P6" s="177" t="s">
        <v>18</v>
      </c>
      <c r="Q6" s="177" t="s">
        <v>17</v>
      </c>
      <c r="R6" s="178" t="s">
        <v>15</v>
      </c>
      <c r="S6" s="116"/>
      <c r="T6" s="171"/>
      <c r="W6" s="299" t="s">
        <v>163</v>
      </c>
      <c r="X6" s="299" t="s">
        <v>23</v>
      </c>
      <c r="Y6" s="299" t="s">
        <v>22</v>
      </c>
      <c r="Z6" s="299" t="s">
        <v>138</v>
      </c>
      <c r="AA6" s="299" t="s">
        <v>19</v>
      </c>
      <c r="AB6" s="299" t="s">
        <v>18</v>
      </c>
      <c r="AC6" s="299" t="s">
        <v>17</v>
      </c>
      <c r="AD6" s="299" t="s">
        <v>15</v>
      </c>
    </row>
    <row r="7" spans="2:30" ht="12.75">
      <c r="B7" s="179">
        <v>42681</v>
      </c>
      <c r="C7" s="180">
        <v>1245</v>
      </c>
      <c r="D7" s="94">
        <v>1319</v>
      </c>
      <c r="E7" s="94">
        <v>1150</v>
      </c>
      <c r="F7" s="94">
        <v>1157</v>
      </c>
      <c r="G7" s="94">
        <v>1174</v>
      </c>
      <c r="H7" s="94">
        <v>1210</v>
      </c>
      <c r="I7" s="94">
        <v>1206</v>
      </c>
      <c r="J7" s="181">
        <v>1174</v>
      </c>
      <c r="K7" s="180">
        <v>665</v>
      </c>
      <c r="L7" s="94">
        <v>596</v>
      </c>
      <c r="M7" s="94">
        <v>419</v>
      </c>
      <c r="N7" s="94">
        <v>509</v>
      </c>
      <c r="O7" s="94">
        <v>541</v>
      </c>
      <c r="P7" s="94">
        <v>406</v>
      </c>
      <c r="Q7" s="94">
        <v>395</v>
      </c>
      <c r="R7" s="181">
        <v>500</v>
      </c>
      <c r="S7" s="117"/>
      <c r="T7" s="171"/>
      <c r="W7" s="277">
        <f>+IF(K7="","",((C7-K7)/K7))</f>
        <v>0.8721804511278195</v>
      </c>
      <c r="X7" s="277">
        <f aca="true" t="shared" si="0" ref="X7:AD22">+IF(L7="","",((D7-L7)/L7))</f>
        <v>1.2130872483221478</v>
      </c>
      <c r="Y7" s="277">
        <f t="shared" si="0"/>
        <v>1.7446300715990453</v>
      </c>
      <c r="Z7" s="277">
        <f t="shared" si="0"/>
        <v>1.2730844793713163</v>
      </c>
      <c r="AA7" s="277">
        <f t="shared" si="0"/>
        <v>1.1700554528650646</v>
      </c>
      <c r="AB7" s="277">
        <f t="shared" si="0"/>
        <v>1.980295566502463</v>
      </c>
      <c r="AC7" s="277">
        <f t="shared" si="0"/>
        <v>2.053164556962025</v>
      </c>
      <c r="AD7" s="277">
        <f t="shared" si="0"/>
        <v>1.348</v>
      </c>
    </row>
    <row r="8" spans="2:30" ht="12.75">
      <c r="B8" s="179">
        <v>42688</v>
      </c>
      <c r="C8" s="180">
        <v>1190</v>
      </c>
      <c r="D8" s="94">
        <v>1239</v>
      </c>
      <c r="E8" s="94">
        <v>1137</v>
      </c>
      <c r="F8" s="94">
        <v>1138</v>
      </c>
      <c r="G8" s="94">
        <v>1184</v>
      </c>
      <c r="H8" s="94">
        <v>1289</v>
      </c>
      <c r="I8" s="94">
        <v>1170</v>
      </c>
      <c r="J8" s="181">
        <v>1176</v>
      </c>
      <c r="K8" s="180">
        <v>550</v>
      </c>
      <c r="L8" s="94">
        <v>562</v>
      </c>
      <c r="M8" s="94">
        <v>394</v>
      </c>
      <c r="N8" s="94">
        <v>474</v>
      </c>
      <c r="O8" s="94">
        <v>522</v>
      </c>
      <c r="P8" s="94">
        <v>370</v>
      </c>
      <c r="Q8" s="94">
        <v>538</v>
      </c>
      <c r="R8" s="181">
        <v>475</v>
      </c>
      <c r="S8" s="117"/>
      <c r="T8" s="171"/>
      <c r="W8" s="277">
        <f aca="true" t="shared" si="1" ref="W8:W27">+IF(K8="","",((C8-K8)/K8))</f>
        <v>1.1636363636363636</v>
      </c>
      <c r="X8" s="277">
        <f t="shared" si="0"/>
        <v>1.204626334519573</v>
      </c>
      <c r="Y8" s="277">
        <f t="shared" si="0"/>
        <v>1.885786802030457</v>
      </c>
      <c r="Z8" s="277">
        <f t="shared" si="0"/>
        <v>1.40084388185654</v>
      </c>
      <c r="AA8" s="277">
        <f t="shared" si="0"/>
        <v>1.2681992337164751</v>
      </c>
      <c r="AB8" s="277">
        <f t="shared" si="0"/>
        <v>2.483783783783784</v>
      </c>
      <c r="AC8" s="277">
        <f t="shared" si="0"/>
        <v>1.174721189591078</v>
      </c>
      <c r="AD8" s="277">
        <f t="shared" si="0"/>
        <v>1.4757894736842105</v>
      </c>
    </row>
    <row r="9" spans="2:30" ht="12.75">
      <c r="B9" s="179">
        <v>42695</v>
      </c>
      <c r="C9" s="180">
        <v>1115</v>
      </c>
      <c r="D9" s="94">
        <v>1224</v>
      </c>
      <c r="E9" s="94">
        <v>1135</v>
      </c>
      <c r="F9" s="94">
        <v>1125</v>
      </c>
      <c r="G9" s="94">
        <v>1125</v>
      </c>
      <c r="H9" s="94">
        <v>1051</v>
      </c>
      <c r="I9" s="94">
        <v>1049</v>
      </c>
      <c r="J9" s="181">
        <v>1025</v>
      </c>
      <c r="K9" s="180">
        <v>550</v>
      </c>
      <c r="L9" s="94">
        <v>520</v>
      </c>
      <c r="M9" s="94">
        <v>354</v>
      </c>
      <c r="N9" s="94">
        <v>455</v>
      </c>
      <c r="O9" s="94">
        <v>508</v>
      </c>
      <c r="P9" s="94">
        <v>342</v>
      </c>
      <c r="Q9" s="94">
        <v>406</v>
      </c>
      <c r="R9" s="181">
        <v>488</v>
      </c>
      <c r="S9" s="117"/>
      <c r="T9" s="171"/>
      <c r="W9" s="277">
        <f t="shared" si="1"/>
        <v>1.0272727272727273</v>
      </c>
      <c r="X9" s="277">
        <f t="shared" si="0"/>
        <v>1.353846153846154</v>
      </c>
      <c r="Y9" s="277">
        <f t="shared" si="0"/>
        <v>2.2062146892655368</v>
      </c>
      <c r="Z9" s="277">
        <f t="shared" si="0"/>
        <v>1.4725274725274726</v>
      </c>
      <c r="AA9" s="277">
        <f t="shared" si="0"/>
        <v>1.2145669291338583</v>
      </c>
      <c r="AB9" s="277">
        <f t="shared" si="0"/>
        <v>2.073099415204678</v>
      </c>
      <c r="AC9" s="277">
        <f t="shared" si="0"/>
        <v>1.583743842364532</v>
      </c>
      <c r="AD9" s="277">
        <f t="shared" si="0"/>
        <v>1.1004098360655739</v>
      </c>
    </row>
    <row r="10" spans="2:30" ht="12.75">
      <c r="B10" s="179">
        <v>42702</v>
      </c>
      <c r="C10" s="180">
        <v>1190</v>
      </c>
      <c r="D10" s="94">
        <v>1144</v>
      </c>
      <c r="E10" s="94">
        <v>1099</v>
      </c>
      <c r="F10" s="94">
        <v>1113</v>
      </c>
      <c r="G10" s="94">
        <v>1091</v>
      </c>
      <c r="H10" s="94">
        <v>1099</v>
      </c>
      <c r="I10" s="94">
        <v>1077</v>
      </c>
      <c r="J10" s="181">
        <v>1083</v>
      </c>
      <c r="K10" s="180">
        <v>550</v>
      </c>
      <c r="L10" s="94">
        <v>503</v>
      </c>
      <c r="M10" s="94">
        <v>394</v>
      </c>
      <c r="N10" s="94">
        <v>423</v>
      </c>
      <c r="O10" s="94">
        <v>483</v>
      </c>
      <c r="P10" s="94">
        <v>330</v>
      </c>
      <c r="Q10" s="94">
        <v>355</v>
      </c>
      <c r="R10" s="181">
        <v>433</v>
      </c>
      <c r="S10" s="117"/>
      <c r="T10" s="171"/>
      <c r="W10" s="277">
        <f t="shared" si="1"/>
        <v>1.1636363636363636</v>
      </c>
      <c r="X10" s="277">
        <f t="shared" si="0"/>
        <v>1.2743538767395626</v>
      </c>
      <c r="Y10" s="277">
        <f t="shared" si="0"/>
        <v>1.7893401015228427</v>
      </c>
      <c r="Z10" s="277">
        <f t="shared" si="0"/>
        <v>1.6312056737588652</v>
      </c>
      <c r="AA10" s="277">
        <f t="shared" si="0"/>
        <v>1.25879917184265</v>
      </c>
      <c r="AB10" s="277">
        <f t="shared" si="0"/>
        <v>2.33030303030303</v>
      </c>
      <c r="AC10" s="277">
        <f t="shared" si="0"/>
        <v>2.0338028169014084</v>
      </c>
      <c r="AD10" s="277">
        <f t="shared" si="0"/>
        <v>1.5011547344110854</v>
      </c>
    </row>
    <row r="11" spans="2:30" ht="12.75">
      <c r="B11" s="179">
        <v>42709</v>
      </c>
      <c r="C11" s="180">
        <v>1090</v>
      </c>
      <c r="D11" s="94">
        <v>1108</v>
      </c>
      <c r="E11" s="94">
        <v>1108</v>
      </c>
      <c r="F11" s="94">
        <v>1096</v>
      </c>
      <c r="G11" s="94">
        <v>1115</v>
      </c>
      <c r="H11" s="94">
        <v>1174</v>
      </c>
      <c r="I11" s="94">
        <v>992</v>
      </c>
      <c r="J11" s="181">
        <v>1053</v>
      </c>
      <c r="K11" s="180">
        <v>525</v>
      </c>
      <c r="L11" s="94">
        <v>463</v>
      </c>
      <c r="M11" s="94">
        <v>300</v>
      </c>
      <c r="N11" s="94">
        <v>416</v>
      </c>
      <c r="O11" s="94">
        <v>471</v>
      </c>
      <c r="P11" s="94">
        <v>275</v>
      </c>
      <c r="Q11" s="94">
        <v>442</v>
      </c>
      <c r="R11" s="181">
        <v>450</v>
      </c>
      <c r="S11" s="117"/>
      <c r="T11" s="171"/>
      <c r="W11" s="277">
        <f t="shared" si="1"/>
        <v>1.0761904761904761</v>
      </c>
      <c r="X11" s="277">
        <f t="shared" si="0"/>
        <v>1.3930885529157668</v>
      </c>
      <c r="Y11" s="277">
        <f t="shared" si="0"/>
        <v>2.6933333333333334</v>
      </c>
      <c r="Z11" s="277">
        <f t="shared" si="0"/>
        <v>1.6346153846153846</v>
      </c>
      <c r="AA11" s="277">
        <f t="shared" si="0"/>
        <v>1.3673036093418258</v>
      </c>
      <c r="AB11" s="277">
        <f t="shared" si="0"/>
        <v>3.269090909090909</v>
      </c>
      <c r="AC11" s="277">
        <f t="shared" si="0"/>
        <v>1.244343891402715</v>
      </c>
      <c r="AD11" s="277">
        <f t="shared" si="0"/>
        <v>1.34</v>
      </c>
    </row>
    <row r="12" spans="2:30" ht="12.75">
      <c r="B12" s="179">
        <v>42716</v>
      </c>
      <c r="C12" s="180">
        <v>1123</v>
      </c>
      <c r="D12" s="94">
        <v>1157</v>
      </c>
      <c r="E12" s="94">
        <v>1092</v>
      </c>
      <c r="F12" s="94">
        <v>1098</v>
      </c>
      <c r="G12" s="94">
        <v>1181</v>
      </c>
      <c r="H12" s="94">
        <v>1132</v>
      </c>
      <c r="I12" s="94">
        <v>1045</v>
      </c>
      <c r="J12" s="181">
        <v>947</v>
      </c>
      <c r="K12" s="180">
        <v>520</v>
      </c>
      <c r="L12" s="94">
        <v>463</v>
      </c>
      <c r="M12" s="94">
        <v>375</v>
      </c>
      <c r="N12" s="94">
        <v>416</v>
      </c>
      <c r="O12" s="94">
        <v>489</v>
      </c>
      <c r="P12" s="94">
        <v>331</v>
      </c>
      <c r="Q12" s="94">
        <v>391</v>
      </c>
      <c r="R12" s="181">
        <v>438</v>
      </c>
      <c r="S12" s="117"/>
      <c r="T12" s="171"/>
      <c r="W12" s="277">
        <f t="shared" si="1"/>
        <v>1.1596153846153847</v>
      </c>
      <c r="X12" s="277">
        <f t="shared" si="0"/>
        <v>1.4989200863930885</v>
      </c>
      <c r="Y12" s="277">
        <f t="shared" si="0"/>
        <v>1.912</v>
      </c>
      <c r="Z12" s="277">
        <f t="shared" si="0"/>
        <v>1.6394230769230769</v>
      </c>
      <c r="AA12" s="277">
        <f t="shared" si="0"/>
        <v>1.4151329243353783</v>
      </c>
      <c r="AB12" s="277">
        <f t="shared" si="0"/>
        <v>2.419939577039275</v>
      </c>
      <c r="AC12" s="277">
        <f t="shared" si="0"/>
        <v>1.6726342710997442</v>
      </c>
      <c r="AD12" s="277">
        <f t="shared" si="0"/>
        <v>1.1621004566210045</v>
      </c>
    </row>
    <row r="13" spans="2:30" ht="12.75">
      <c r="B13" s="179">
        <v>42723</v>
      </c>
      <c r="C13" s="180">
        <v>1106</v>
      </c>
      <c r="D13" s="94">
        <v>1117</v>
      </c>
      <c r="E13" s="94">
        <v>1070</v>
      </c>
      <c r="F13" s="94">
        <v>1040</v>
      </c>
      <c r="G13" s="94">
        <v>1147</v>
      </c>
      <c r="H13" s="94">
        <v>1065</v>
      </c>
      <c r="I13" s="94">
        <v>1060</v>
      </c>
      <c r="J13" s="181">
        <v>1083</v>
      </c>
      <c r="K13" s="180">
        <v>518</v>
      </c>
      <c r="L13" s="94">
        <v>453</v>
      </c>
      <c r="M13" s="94">
        <v>375</v>
      </c>
      <c r="N13" s="94">
        <v>352</v>
      </c>
      <c r="O13" s="94">
        <v>450</v>
      </c>
      <c r="P13" s="94">
        <v>288</v>
      </c>
      <c r="Q13" s="94">
        <v>413</v>
      </c>
      <c r="R13" s="181">
        <v>600</v>
      </c>
      <c r="S13" s="117"/>
      <c r="T13" s="171"/>
      <c r="W13" s="277">
        <f t="shared" si="1"/>
        <v>1.135135135135135</v>
      </c>
      <c r="X13" s="277">
        <f t="shared" si="0"/>
        <v>1.465783664459161</v>
      </c>
      <c r="Y13" s="277">
        <f t="shared" si="0"/>
        <v>1.8533333333333333</v>
      </c>
      <c r="Z13" s="277">
        <f t="shared" si="0"/>
        <v>1.9545454545454546</v>
      </c>
      <c r="AA13" s="277">
        <f t="shared" si="0"/>
        <v>1.548888888888889</v>
      </c>
      <c r="AB13" s="277">
        <f t="shared" si="0"/>
        <v>2.6979166666666665</v>
      </c>
      <c r="AC13" s="277">
        <f t="shared" si="0"/>
        <v>1.5665859564164648</v>
      </c>
      <c r="AD13" s="277">
        <f t="shared" si="0"/>
        <v>0.805</v>
      </c>
    </row>
    <row r="14" spans="2:30" ht="12.75">
      <c r="B14" s="179">
        <v>42730</v>
      </c>
      <c r="C14" s="180">
        <v>1095</v>
      </c>
      <c r="D14" s="94">
        <v>1085</v>
      </c>
      <c r="E14" s="94">
        <v>1103</v>
      </c>
      <c r="F14" s="94">
        <v>1096</v>
      </c>
      <c r="G14" s="94">
        <v>1102</v>
      </c>
      <c r="H14" s="94">
        <v>1102</v>
      </c>
      <c r="I14" s="94">
        <v>1082</v>
      </c>
      <c r="J14" s="181">
        <v>936</v>
      </c>
      <c r="K14" s="180">
        <v>483</v>
      </c>
      <c r="L14" s="94">
        <v>496</v>
      </c>
      <c r="M14" s="94">
        <v>275</v>
      </c>
      <c r="N14" s="94">
        <v>359</v>
      </c>
      <c r="O14" s="94">
        <v>413</v>
      </c>
      <c r="P14" s="94">
        <v>252</v>
      </c>
      <c r="Q14" s="94">
        <v>381</v>
      </c>
      <c r="R14" s="181">
        <v>463</v>
      </c>
      <c r="S14" s="117"/>
      <c r="T14" s="171"/>
      <c r="W14" s="277">
        <f t="shared" si="1"/>
        <v>1.2670807453416149</v>
      </c>
      <c r="X14" s="277">
        <f t="shared" si="0"/>
        <v>1.1875</v>
      </c>
      <c r="Y14" s="277">
        <f t="shared" si="0"/>
        <v>3.0109090909090908</v>
      </c>
      <c r="Z14" s="277">
        <f t="shared" si="0"/>
        <v>2.052924791086351</v>
      </c>
      <c r="AA14" s="277">
        <f t="shared" si="0"/>
        <v>1.6682808716707023</v>
      </c>
      <c r="AB14" s="277">
        <f t="shared" si="0"/>
        <v>3.373015873015873</v>
      </c>
      <c r="AC14" s="277">
        <f t="shared" si="0"/>
        <v>1.8398950131233596</v>
      </c>
      <c r="AD14" s="277">
        <f t="shared" si="0"/>
        <v>1.0215982721382288</v>
      </c>
    </row>
    <row r="15" spans="2:30" ht="12.75">
      <c r="B15" s="179">
        <v>42737</v>
      </c>
      <c r="C15" s="180">
        <v>1093</v>
      </c>
      <c r="D15" s="94">
        <v>1088</v>
      </c>
      <c r="E15" s="94">
        <v>1082</v>
      </c>
      <c r="F15" s="94">
        <v>1081</v>
      </c>
      <c r="G15" s="94">
        <v>1094</v>
      </c>
      <c r="H15" s="94">
        <v>1083</v>
      </c>
      <c r="I15" s="94">
        <v>1048</v>
      </c>
      <c r="J15" s="181">
        <v>1097</v>
      </c>
      <c r="K15" s="180">
        <v>500</v>
      </c>
      <c r="L15" s="94">
        <v>461</v>
      </c>
      <c r="M15" s="94">
        <v>321</v>
      </c>
      <c r="N15" s="94">
        <v>384</v>
      </c>
      <c r="O15" s="94">
        <v>377</v>
      </c>
      <c r="P15" s="94">
        <v>282</v>
      </c>
      <c r="Q15" s="94"/>
      <c r="R15" s="181">
        <v>350</v>
      </c>
      <c r="S15" s="117"/>
      <c r="T15" s="171"/>
      <c r="W15" s="277">
        <f t="shared" si="1"/>
        <v>1.186</v>
      </c>
      <c r="X15" s="277">
        <f t="shared" si="0"/>
        <v>1.3600867678958786</v>
      </c>
      <c r="Y15" s="277">
        <f t="shared" si="0"/>
        <v>2.370716510903427</v>
      </c>
      <c r="Z15" s="277">
        <f t="shared" si="0"/>
        <v>1.8151041666666667</v>
      </c>
      <c r="AA15" s="277">
        <f t="shared" si="0"/>
        <v>1.9018567639257293</v>
      </c>
      <c r="AB15" s="277">
        <f t="shared" si="0"/>
        <v>2.8404255319148937</v>
      </c>
      <c r="AC15" s="277">
        <f t="shared" si="0"/>
      </c>
      <c r="AD15" s="277">
        <f t="shared" si="0"/>
        <v>2.1342857142857143</v>
      </c>
    </row>
    <row r="16" spans="2:30" ht="12.75">
      <c r="B16" s="179">
        <v>42744</v>
      </c>
      <c r="C16" s="180">
        <v>1014</v>
      </c>
      <c r="D16" s="94">
        <v>1092</v>
      </c>
      <c r="E16" s="94">
        <v>1104</v>
      </c>
      <c r="F16" s="94">
        <v>1067</v>
      </c>
      <c r="G16" s="94">
        <v>1092</v>
      </c>
      <c r="H16" s="94">
        <v>1071</v>
      </c>
      <c r="I16" s="94">
        <v>1079</v>
      </c>
      <c r="J16" s="181">
        <v>970</v>
      </c>
      <c r="K16" s="180">
        <v>458</v>
      </c>
      <c r="L16" s="94">
        <v>464</v>
      </c>
      <c r="M16" s="94">
        <v>322</v>
      </c>
      <c r="N16" s="94">
        <v>396</v>
      </c>
      <c r="O16" s="94">
        <v>358</v>
      </c>
      <c r="P16" s="94">
        <v>301</v>
      </c>
      <c r="Q16" s="94">
        <v>275</v>
      </c>
      <c r="R16" s="181">
        <v>425</v>
      </c>
      <c r="S16" s="117"/>
      <c r="T16" s="171"/>
      <c r="W16" s="277">
        <f t="shared" si="1"/>
        <v>1.2139737991266375</v>
      </c>
      <c r="X16" s="277">
        <f t="shared" si="0"/>
        <v>1.353448275862069</v>
      </c>
      <c r="Y16" s="277">
        <f t="shared" si="0"/>
        <v>2.4285714285714284</v>
      </c>
      <c r="Z16" s="277">
        <f t="shared" si="0"/>
        <v>1.6944444444444444</v>
      </c>
      <c r="AA16" s="277">
        <f t="shared" si="0"/>
        <v>2.0502793296089385</v>
      </c>
      <c r="AB16" s="277">
        <f t="shared" si="0"/>
        <v>2.558139534883721</v>
      </c>
      <c r="AC16" s="277">
        <f t="shared" si="0"/>
        <v>2.923636363636364</v>
      </c>
      <c r="AD16" s="277">
        <f t="shared" si="0"/>
        <v>1.2823529411764707</v>
      </c>
    </row>
    <row r="17" spans="2:30" ht="12.75">
      <c r="B17" s="179">
        <v>42751</v>
      </c>
      <c r="C17" s="180">
        <v>1094</v>
      </c>
      <c r="D17" s="94">
        <v>1089</v>
      </c>
      <c r="E17" s="94">
        <v>1098</v>
      </c>
      <c r="F17" s="94">
        <v>1081</v>
      </c>
      <c r="G17" s="94">
        <v>1069</v>
      </c>
      <c r="H17" s="94">
        <v>1031</v>
      </c>
      <c r="I17" s="94">
        <v>1045</v>
      </c>
      <c r="J17" s="181">
        <v>1053</v>
      </c>
      <c r="K17" s="180">
        <v>462</v>
      </c>
      <c r="L17" s="94">
        <v>454</v>
      </c>
      <c r="M17" s="94">
        <v>340</v>
      </c>
      <c r="N17" s="94">
        <v>428</v>
      </c>
      <c r="O17" s="94">
        <v>389</v>
      </c>
      <c r="P17" s="94">
        <v>304</v>
      </c>
      <c r="Q17" s="94">
        <v>279</v>
      </c>
      <c r="R17" s="181">
        <v>475</v>
      </c>
      <c r="S17" s="117"/>
      <c r="T17" s="171"/>
      <c r="W17" s="277">
        <f t="shared" si="1"/>
        <v>1.367965367965368</v>
      </c>
      <c r="X17" s="277">
        <f t="shared" si="0"/>
        <v>1.3986784140969164</v>
      </c>
      <c r="Y17" s="277">
        <f t="shared" si="0"/>
        <v>2.2294117647058824</v>
      </c>
      <c r="Z17" s="277">
        <f t="shared" si="0"/>
        <v>1.5257009345794392</v>
      </c>
      <c r="AA17" s="277">
        <f t="shared" si="0"/>
        <v>1.7480719794344473</v>
      </c>
      <c r="AB17" s="277">
        <f t="shared" si="0"/>
        <v>2.3914473684210527</v>
      </c>
      <c r="AC17" s="277">
        <f t="shared" si="0"/>
        <v>2.7455197132616487</v>
      </c>
      <c r="AD17" s="277">
        <f t="shared" si="0"/>
        <v>1.216842105263158</v>
      </c>
    </row>
    <row r="18" spans="2:30" ht="12.75">
      <c r="B18" s="179">
        <v>42758</v>
      </c>
      <c r="C18" s="180">
        <v>1108</v>
      </c>
      <c r="D18" s="94">
        <v>1103</v>
      </c>
      <c r="E18" s="94">
        <v>1098</v>
      </c>
      <c r="F18" s="94">
        <v>1133</v>
      </c>
      <c r="G18" s="94">
        <v>1077</v>
      </c>
      <c r="H18" s="94">
        <v>1102</v>
      </c>
      <c r="I18" s="94">
        <v>1092</v>
      </c>
      <c r="J18" s="181">
        <v>998</v>
      </c>
      <c r="K18" s="180">
        <v>425</v>
      </c>
      <c r="L18" s="94">
        <v>451</v>
      </c>
      <c r="M18" s="94">
        <v>348</v>
      </c>
      <c r="N18" s="94">
        <v>367</v>
      </c>
      <c r="O18" s="94">
        <v>356</v>
      </c>
      <c r="P18" s="94">
        <v>308</v>
      </c>
      <c r="Q18" s="94">
        <v>261</v>
      </c>
      <c r="R18" s="181">
        <v>375</v>
      </c>
      <c r="S18" s="117"/>
      <c r="T18" s="171"/>
      <c r="W18" s="277">
        <f t="shared" si="1"/>
        <v>1.6070588235294119</v>
      </c>
      <c r="X18" s="277">
        <f t="shared" si="0"/>
        <v>1.4456762749445675</v>
      </c>
      <c r="Y18" s="277">
        <f t="shared" si="0"/>
        <v>2.1551724137931036</v>
      </c>
      <c r="Z18" s="277">
        <f t="shared" si="0"/>
        <v>2.087193460490463</v>
      </c>
      <c r="AA18" s="277">
        <f t="shared" si="0"/>
        <v>2.0252808988764044</v>
      </c>
      <c r="AB18" s="277">
        <f t="shared" si="0"/>
        <v>2.5779220779220777</v>
      </c>
      <c r="AC18" s="277">
        <f t="shared" si="0"/>
        <v>3.1839080459770117</v>
      </c>
      <c r="AD18" s="277">
        <f t="shared" si="0"/>
        <v>1.6613333333333333</v>
      </c>
    </row>
    <row r="19" spans="2:30" ht="12.75">
      <c r="B19" s="179">
        <v>42765</v>
      </c>
      <c r="C19" s="180">
        <v>1096</v>
      </c>
      <c r="D19" s="94">
        <v>1097</v>
      </c>
      <c r="E19" s="94">
        <v>1109</v>
      </c>
      <c r="F19" s="94">
        <v>1090</v>
      </c>
      <c r="G19" s="94">
        <v>1070</v>
      </c>
      <c r="H19" s="94">
        <v>1095</v>
      </c>
      <c r="I19" s="94">
        <v>1093</v>
      </c>
      <c r="J19" s="181">
        <v>980</v>
      </c>
      <c r="K19" s="180">
        <v>477</v>
      </c>
      <c r="L19" s="94">
        <v>441</v>
      </c>
      <c r="M19" s="94">
        <v>344</v>
      </c>
      <c r="N19" s="94">
        <v>365</v>
      </c>
      <c r="O19" s="94">
        <v>275</v>
      </c>
      <c r="P19" s="94">
        <v>254</v>
      </c>
      <c r="Q19" s="94">
        <v>304</v>
      </c>
      <c r="R19" s="181">
        <v>350</v>
      </c>
      <c r="S19" s="117"/>
      <c r="T19" s="171"/>
      <c r="W19" s="277">
        <f t="shared" si="1"/>
        <v>1.2976939203354299</v>
      </c>
      <c r="X19" s="277">
        <f t="shared" si="0"/>
        <v>1.4875283446712018</v>
      </c>
      <c r="Y19" s="277">
        <f t="shared" si="0"/>
        <v>2.2238372093023258</v>
      </c>
      <c r="Z19" s="277">
        <f t="shared" si="0"/>
        <v>1.9863013698630136</v>
      </c>
      <c r="AA19" s="277">
        <f t="shared" si="0"/>
        <v>2.890909090909091</v>
      </c>
      <c r="AB19" s="277">
        <f t="shared" si="0"/>
        <v>3.311023622047244</v>
      </c>
      <c r="AC19" s="277">
        <f t="shared" si="0"/>
        <v>2.5953947368421053</v>
      </c>
      <c r="AD19" s="277">
        <f t="shared" si="0"/>
        <v>1.8</v>
      </c>
    </row>
    <row r="20" spans="2:30" ht="12.75">
      <c r="B20" s="179">
        <v>42772</v>
      </c>
      <c r="C20" s="180">
        <v>1133</v>
      </c>
      <c r="D20" s="94">
        <v>1108</v>
      </c>
      <c r="E20" s="94">
        <v>1087</v>
      </c>
      <c r="F20" s="94">
        <v>1101</v>
      </c>
      <c r="G20" s="94">
        <v>990</v>
      </c>
      <c r="H20" s="94">
        <v>975</v>
      </c>
      <c r="I20" s="94">
        <v>1082</v>
      </c>
      <c r="J20" s="181">
        <v>1001</v>
      </c>
      <c r="K20" s="180">
        <v>463</v>
      </c>
      <c r="L20" s="94">
        <v>442</v>
      </c>
      <c r="M20" s="94">
        <v>340</v>
      </c>
      <c r="N20" s="94">
        <v>372</v>
      </c>
      <c r="O20" s="94">
        <v>292</v>
      </c>
      <c r="P20" s="94">
        <v>253</v>
      </c>
      <c r="Q20" s="94">
        <v>244</v>
      </c>
      <c r="R20" s="181">
        <v>350</v>
      </c>
      <c r="S20" s="117"/>
      <c r="T20" s="171"/>
      <c r="W20" s="277">
        <f t="shared" si="1"/>
        <v>1.4470842332613392</v>
      </c>
      <c r="X20" s="277">
        <f t="shared" si="0"/>
        <v>1.506787330316742</v>
      </c>
      <c r="Y20" s="277">
        <f t="shared" si="0"/>
        <v>2.197058823529412</v>
      </c>
      <c r="Z20" s="277">
        <f t="shared" si="0"/>
        <v>1.9596774193548387</v>
      </c>
      <c r="AA20" s="277">
        <f t="shared" si="0"/>
        <v>2.3904109589041096</v>
      </c>
      <c r="AB20" s="277">
        <f t="shared" si="0"/>
        <v>2.8537549407114624</v>
      </c>
      <c r="AC20" s="277">
        <f t="shared" si="0"/>
        <v>3.4344262295081966</v>
      </c>
      <c r="AD20" s="277">
        <f t="shared" si="0"/>
        <v>1.86</v>
      </c>
    </row>
    <row r="21" spans="2:30" ht="12.75">
      <c r="B21" s="179">
        <v>42779</v>
      </c>
      <c r="C21" s="180">
        <v>1051</v>
      </c>
      <c r="D21" s="94">
        <v>1098</v>
      </c>
      <c r="E21" s="94">
        <v>1094</v>
      </c>
      <c r="F21" s="94">
        <v>1080</v>
      </c>
      <c r="G21" s="94">
        <v>1095</v>
      </c>
      <c r="H21" s="94">
        <v>1097</v>
      </c>
      <c r="I21" s="94">
        <v>1105</v>
      </c>
      <c r="J21" s="181">
        <v>1032</v>
      </c>
      <c r="K21" s="180">
        <v>520</v>
      </c>
      <c r="L21" s="94">
        <v>463</v>
      </c>
      <c r="M21" s="94">
        <v>354</v>
      </c>
      <c r="N21" s="94">
        <v>401</v>
      </c>
      <c r="O21" s="94">
        <v>467</v>
      </c>
      <c r="P21" s="94">
        <v>239</v>
      </c>
      <c r="Q21" s="94">
        <v>260</v>
      </c>
      <c r="R21" s="181">
        <v>425</v>
      </c>
      <c r="S21" s="117"/>
      <c r="T21" s="171"/>
      <c r="W21" s="277">
        <f t="shared" si="1"/>
        <v>1.021153846153846</v>
      </c>
      <c r="X21" s="277">
        <f t="shared" si="0"/>
        <v>1.3714902807775378</v>
      </c>
      <c r="Y21" s="277">
        <f t="shared" si="0"/>
        <v>2.0903954802259888</v>
      </c>
      <c r="Z21" s="277">
        <f t="shared" si="0"/>
        <v>1.6932668329177056</v>
      </c>
      <c r="AA21" s="277">
        <f t="shared" si="0"/>
        <v>1.3447537473233404</v>
      </c>
      <c r="AB21" s="277">
        <f t="shared" si="0"/>
        <v>3.589958158995816</v>
      </c>
      <c r="AC21" s="277">
        <f t="shared" si="0"/>
        <v>3.25</v>
      </c>
      <c r="AD21" s="277">
        <f t="shared" si="0"/>
        <v>1.428235294117647</v>
      </c>
    </row>
    <row r="22" spans="2:30" ht="12.75">
      <c r="B22" s="179">
        <v>42786</v>
      </c>
      <c r="C22" s="180">
        <v>1123</v>
      </c>
      <c r="D22" s="94">
        <v>1098</v>
      </c>
      <c r="E22" s="94">
        <v>1092</v>
      </c>
      <c r="F22" s="94">
        <v>1095</v>
      </c>
      <c r="G22" s="94">
        <v>1117</v>
      </c>
      <c r="H22" s="94">
        <v>1111</v>
      </c>
      <c r="I22" s="94">
        <v>1081</v>
      </c>
      <c r="J22" s="181">
        <v>1005</v>
      </c>
      <c r="K22" s="180">
        <v>450</v>
      </c>
      <c r="L22" s="94">
        <v>442</v>
      </c>
      <c r="M22" s="94">
        <v>394</v>
      </c>
      <c r="N22" s="94">
        <v>413</v>
      </c>
      <c r="O22" s="94">
        <v>411</v>
      </c>
      <c r="P22" s="94">
        <v>258</v>
      </c>
      <c r="Q22" s="94">
        <v>260</v>
      </c>
      <c r="R22" s="181">
        <v>350</v>
      </c>
      <c r="S22" s="117"/>
      <c r="T22" s="171"/>
      <c r="W22" s="277">
        <f t="shared" si="1"/>
        <v>1.4955555555555555</v>
      </c>
      <c r="X22" s="277">
        <f t="shared" si="0"/>
        <v>1.4841628959276019</v>
      </c>
      <c r="Y22" s="277">
        <f t="shared" si="0"/>
        <v>1.7715736040609138</v>
      </c>
      <c r="Z22" s="277">
        <f t="shared" si="0"/>
        <v>1.6513317191283292</v>
      </c>
      <c r="AA22" s="277">
        <f t="shared" si="0"/>
        <v>1.7177615571776155</v>
      </c>
      <c r="AB22" s="277">
        <f t="shared" si="0"/>
        <v>3.306201550387597</v>
      </c>
      <c r="AC22" s="277">
        <f t="shared" si="0"/>
        <v>3.1576923076923076</v>
      </c>
      <c r="AD22" s="277">
        <f t="shared" si="0"/>
        <v>1.8714285714285714</v>
      </c>
    </row>
    <row r="23" spans="2:30" ht="12.75">
      <c r="B23" s="179">
        <v>42793</v>
      </c>
      <c r="C23" s="180">
        <v>1113</v>
      </c>
      <c r="D23" s="94">
        <v>1252</v>
      </c>
      <c r="E23" s="94">
        <v>1097.5</v>
      </c>
      <c r="F23" s="94">
        <v>1101</v>
      </c>
      <c r="G23" s="94">
        <v>1116</v>
      </c>
      <c r="H23" s="94">
        <v>1108</v>
      </c>
      <c r="I23" s="94">
        <v>1099</v>
      </c>
      <c r="J23" s="181">
        <v>1084</v>
      </c>
      <c r="K23" s="180">
        <v>500</v>
      </c>
      <c r="L23" s="94">
        <v>474</v>
      </c>
      <c r="M23" s="94">
        <v>300</v>
      </c>
      <c r="N23" s="94">
        <v>406</v>
      </c>
      <c r="O23" s="94">
        <v>383</v>
      </c>
      <c r="P23" s="94">
        <v>259</v>
      </c>
      <c r="Q23" s="94">
        <v>263</v>
      </c>
      <c r="R23" s="181">
        <v>375</v>
      </c>
      <c r="S23" s="117"/>
      <c r="T23" s="171"/>
      <c r="W23" s="277">
        <f t="shared" si="1"/>
        <v>1.226</v>
      </c>
      <c r="X23" s="277">
        <f aca="true" t="shared" si="2" ref="X23:AD27">+IF(L23="","",((D23-L23)/L23))</f>
        <v>1.641350210970464</v>
      </c>
      <c r="Y23" s="277">
        <f t="shared" si="2"/>
        <v>2.658333333333333</v>
      </c>
      <c r="Z23" s="277">
        <f t="shared" si="2"/>
        <v>1.7118226600985222</v>
      </c>
      <c r="AA23" s="277">
        <f t="shared" si="2"/>
        <v>1.9138381201044385</v>
      </c>
      <c r="AB23" s="277">
        <f t="shared" si="2"/>
        <v>3.277992277992278</v>
      </c>
      <c r="AC23" s="277">
        <f t="shared" si="2"/>
        <v>3.178707224334601</v>
      </c>
      <c r="AD23" s="277">
        <f t="shared" si="2"/>
        <v>1.8906666666666667</v>
      </c>
    </row>
    <row r="24" spans="2:30" ht="12.75">
      <c r="B24" s="179">
        <v>42800</v>
      </c>
      <c r="C24" s="180">
        <v>1075</v>
      </c>
      <c r="D24" s="94">
        <v>1103</v>
      </c>
      <c r="E24" s="94">
        <v>1113</v>
      </c>
      <c r="F24" s="94">
        <v>1097</v>
      </c>
      <c r="G24" s="94">
        <v>1100</v>
      </c>
      <c r="H24" s="94">
        <v>1041</v>
      </c>
      <c r="I24" s="94">
        <v>1093</v>
      </c>
      <c r="J24" s="181">
        <v>967</v>
      </c>
      <c r="K24" s="180">
        <v>470</v>
      </c>
      <c r="L24" s="94">
        <v>448</v>
      </c>
      <c r="M24" s="94">
        <v>342</v>
      </c>
      <c r="N24" s="94">
        <v>414</v>
      </c>
      <c r="O24" s="94">
        <v>367</v>
      </c>
      <c r="P24" s="94">
        <v>286</v>
      </c>
      <c r="Q24" s="94">
        <v>254</v>
      </c>
      <c r="R24" s="181">
        <v>433</v>
      </c>
      <c r="S24" s="117"/>
      <c r="T24" s="171"/>
      <c r="W24" s="277">
        <f t="shared" si="1"/>
        <v>1.2872340425531914</v>
      </c>
      <c r="X24" s="277">
        <f t="shared" si="2"/>
        <v>1.4620535714285714</v>
      </c>
      <c r="Y24" s="277">
        <f t="shared" si="2"/>
        <v>2.254385964912281</v>
      </c>
      <c r="Z24" s="277">
        <f t="shared" si="2"/>
        <v>1.6497584541062802</v>
      </c>
      <c r="AA24" s="277">
        <f t="shared" si="2"/>
        <v>1.997275204359673</v>
      </c>
      <c r="AB24" s="277">
        <f t="shared" si="2"/>
        <v>2.63986013986014</v>
      </c>
      <c r="AC24" s="277">
        <f t="shared" si="2"/>
        <v>3.3031496062992125</v>
      </c>
      <c r="AD24" s="277">
        <f t="shared" si="2"/>
        <v>1.233256351039261</v>
      </c>
    </row>
    <row r="25" spans="2:30" ht="12.75">
      <c r="B25" s="179">
        <v>42807</v>
      </c>
      <c r="C25" s="180">
        <v>934</v>
      </c>
      <c r="D25" s="94">
        <v>1072</v>
      </c>
      <c r="E25" s="94">
        <v>1115</v>
      </c>
      <c r="F25" s="94">
        <v>1082</v>
      </c>
      <c r="G25" s="94">
        <v>1025</v>
      </c>
      <c r="H25" s="94">
        <v>935</v>
      </c>
      <c r="I25" s="94">
        <v>1030</v>
      </c>
      <c r="J25" s="181">
        <v>1037</v>
      </c>
      <c r="K25" s="180">
        <v>500</v>
      </c>
      <c r="L25" s="94">
        <v>456</v>
      </c>
      <c r="M25" s="94">
        <v>340</v>
      </c>
      <c r="N25" s="94">
        <v>419</v>
      </c>
      <c r="O25" s="94">
        <v>371</v>
      </c>
      <c r="P25" s="94">
        <v>264</v>
      </c>
      <c r="Q25" s="94">
        <v>238</v>
      </c>
      <c r="R25" s="181">
        <v>350</v>
      </c>
      <c r="S25" s="117"/>
      <c r="T25" s="171"/>
      <c r="W25" s="277">
        <f t="shared" si="1"/>
        <v>0.868</v>
      </c>
      <c r="X25" s="277">
        <f t="shared" si="2"/>
        <v>1.3508771929824561</v>
      </c>
      <c r="Y25" s="277">
        <f t="shared" si="2"/>
        <v>2.2794117647058822</v>
      </c>
      <c r="Z25" s="277">
        <f t="shared" si="2"/>
        <v>1.5823389021479715</v>
      </c>
      <c r="AA25" s="277">
        <f t="shared" si="2"/>
        <v>1.7628032345013478</v>
      </c>
      <c r="AB25" s="277">
        <f t="shared" si="2"/>
        <v>2.5416666666666665</v>
      </c>
      <c r="AC25" s="277">
        <f t="shared" si="2"/>
        <v>3.327731092436975</v>
      </c>
      <c r="AD25" s="277">
        <f t="shared" si="2"/>
        <v>1.9628571428571429</v>
      </c>
    </row>
    <row r="26" spans="2:30" ht="12.75">
      <c r="B26" s="179">
        <v>42814</v>
      </c>
      <c r="C26" s="180">
        <v>1087.5</v>
      </c>
      <c r="D26" s="94">
        <v>1113</v>
      </c>
      <c r="E26" s="94">
        <v>1106</v>
      </c>
      <c r="F26" s="94">
        <v>1144</v>
      </c>
      <c r="G26" s="94">
        <v>1105.5</v>
      </c>
      <c r="H26" s="94">
        <v>1035</v>
      </c>
      <c r="I26" s="94">
        <v>1059.5</v>
      </c>
      <c r="J26" s="181">
        <v>984</v>
      </c>
      <c r="K26" s="180">
        <v>476</v>
      </c>
      <c r="L26" s="94">
        <v>425</v>
      </c>
      <c r="M26" s="94">
        <v>337.5</v>
      </c>
      <c r="N26" s="94">
        <v>404.5</v>
      </c>
      <c r="O26" s="94">
        <v>375.5</v>
      </c>
      <c r="P26" s="94">
        <v>260</v>
      </c>
      <c r="Q26" s="94">
        <v>288.5</v>
      </c>
      <c r="R26" s="181">
        <v>375</v>
      </c>
      <c r="S26" s="117"/>
      <c r="T26" s="171"/>
      <c r="U26" s="170"/>
      <c r="V26" s="294"/>
      <c r="W26" s="277">
        <f t="shared" si="1"/>
        <v>1.2846638655462186</v>
      </c>
      <c r="X26" s="277">
        <f t="shared" si="2"/>
        <v>1.6188235294117648</v>
      </c>
      <c r="Y26" s="277">
        <f t="shared" si="2"/>
        <v>2.277037037037037</v>
      </c>
      <c r="Z26" s="277">
        <f t="shared" si="2"/>
        <v>1.8281829419035847</v>
      </c>
      <c r="AA26" s="277">
        <f t="shared" si="2"/>
        <v>1.944074567243675</v>
      </c>
      <c r="AB26" s="277">
        <f t="shared" si="2"/>
        <v>2.980769230769231</v>
      </c>
      <c r="AC26" s="277">
        <f t="shared" si="2"/>
        <v>2.6724436741767765</v>
      </c>
      <c r="AD26" s="277">
        <f t="shared" si="2"/>
        <v>1.624</v>
      </c>
    </row>
    <row r="27" spans="2:30" ht="12.75">
      <c r="B27" s="182">
        <v>42821</v>
      </c>
      <c r="C27" s="183">
        <v>1060</v>
      </c>
      <c r="D27" s="33">
        <v>1108</v>
      </c>
      <c r="E27" s="33">
        <v>1111.5</v>
      </c>
      <c r="F27" s="33">
        <v>1097</v>
      </c>
      <c r="G27" s="33">
        <v>1055</v>
      </c>
      <c r="H27" s="33">
        <v>944</v>
      </c>
      <c r="I27" s="33">
        <v>1071</v>
      </c>
      <c r="J27" s="184">
        <v>1092</v>
      </c>
      <c r="K27" s="183">
        <v>433</v>
      </c>
      <c r="L27" s="33">
        <v>424</v>
      </c>
      <c r="M27" s="33">
        <v>341</v>
      </c>
      <c r="N27" s="33">
        <v>400.5</v>
      </c>
      <c r="O27" s="33">
        <v>375</v>
      </c>
      <c r="P27" s="33">
        <v>281</v>
      </c>
      <c r="Q27" s="33">
        <v>268</v>
      </c>
      <c r="R27" s="184">
        <v>467</v>
      </c>
      <c r="S27" s="117"/>
      <c r="T27" s="185"/>
      <c r="U27" s="170"/>
      <c r="V27" s="294"/>
      <c r="W27" s="277">
        <f t="shared" si="1"/>
        <v>1.4480369515011546</v>
      </c>
      <c r="X27" s="277">
        <f t="shared" si="2"/>
        <v>1.6132075471698113</v>
      </c>
      <c r="Y27" s="277">
        <f t="shared" si="2"/>
        <v>2.2595307917888565</v>
      </c>
      <c r="Z27" s="277">
        <f t="shared" si="2"/>
        <v>1.739076154806492</v>
      </c>
      <c r="AA27" s="277">
        <f t="shared" si="2"/>
        <v>1.8133333333333332</v>
      </c>
      <c r="AB27" s="277">
        <f t="shared" si="2"/>
        <v>2.3594306049822062</v>
      </c>
      <c r="AC27" s="277">
        <f t="shared" si="2"/>
        <v>2.996268656716418</v>
      </c>
      <c r="AD27" s="277">
        <f t="shared" si="2"/>
        <v>1.3383297644539613</v>
      </c>
    </row>
    <row r="28" spans="2:21" ht="12.75">
      <c r="B28" s="35" t="s">
        <v>199</v>
      </c>
      <c r="P28" s="41"/>
      <c r="Q28" s="41"/>
      <c r="T28" s="185"/>
      <c r="U28" s="170"/>
    </row>
    <row r="29" spans="20:30" ht="12.75">
      <c r="T29" s="171"/>
      <c r="V29" s="300" t="s">
        <v>225</v>
      </c>
      <c r="W29" s="290">
        <f aca="true" t="shared" si="3" ref="W29:AD29">+AVERAGE(C7:C27)</f>
        <v>1101.6904761904761</v>
      </c>
      <c r="X29" s="290">
        <f t="shared" si="3"/>
        <v>1134</v>
      </c>
      <c r="Y29" s="290">
        <f t="shared" si="3"/>
        <v>1104.8095238095239</v>
      </c>
      <c r="Z29" s="290">
        <f t="shared" si="3"/>
        <v>1100.5714285714287</v>
      </c>
      <c r="AA29" s="290">
        <f t="shared" si="3"/>
        <v>1101.1666666666667</v>
      </c>
      <c r="AB29" s="290">
        <f t="shared" si="3"/>
        <v>1083.3333333333333</v>
      </c>
      <c r="AC29" s="290">
        <f t="shared" si="3"/>
        <v>1078.9761904761904</v>
      </c>
      <c r="AD29" s="290">
        <f t="shared" si="3"/>
        <v>1037</v>
      </c>
    </row>
    <row r="30" spans="20:30" ht="12.75">
      <c r="T30" s="171"/>
      <c r="V30" s="300" t="s">
        <v>226</v>
      </c>
      <c r="W30" s="290">
        <f aca="true" t="shared" si="4" ref="W30:AD30">+AVERAGE(K7:K27)</f>
        <v>499.76190476190476</v>
      </c>
      <c r="X30" s="290">
        <f t="shared" si="4"/>
        <v>471.4761904761905</v>
      </c>
      <c r="Y30" s="290">
        <f t="shared" si="4"/>
        <v>348.07142857142856</v>
      </c>
      <c r="Z30" s="290">
        <f t="shared" si="4"/>
        <v>408.2857142857143</v>
      </c>
      <c r="AA30" s="290">
        <f t="shared" si="4"/>
        <v>413.0238095238095</v>
      </c>
      <c r="AB30" s="290">
        <f t="shared" si="4"/>
        <v>292.5238095238095</v>
      </c>
      <c r="AC30" s="290">
        <f t="shared" si="4"/>
        <v>325.775</v>
      </c>
      <c r="AD30" s="290">
        <f t="shared" si="4"/>
        <v>426.04761904761904</v>
      </c>
    </row>
    <row r="31" spans="20:30" ht="12.75">
      <c r="T31" s="171"/>
      <c r="V31" s="300" t="s">
        <v>193</v>
      </c>
      <c r="W31" s="277">
        <f>+W29/W30-1</f>
        <v>1.2044306812767984</v>
      </c>
      <c r="X31" s="277">
        <f aca="true" t="shared" si="5" ref="X31:AD31">+X29/X30-1</f>
        <v>1.4052115947884052</v>
      </c>
      <c r="Y31" s="277">
        <f t="shared" si="5"/>
        <v>2.174088514946303</v>
      </c>
      <c r="Z31" s="277">
        <f t="shared" si="5"/>
        <v>1.6955913226032195</v>
      </c>
      <c r="AA31" s="277">
        <f t="shared" si="5"/>
        <v>1.6661094137314811</v>
      </c>
      <c r="AB31" s="277">
        <f t="shared" si="5"/>
        <v>2.7034022464593845</v>
      </c>
      <c r="AC31" s="277">
        <f t="shared" si="5"/>
        <v>2.312028825036269</v>
      </c>
      <c r="AD31" s="277">
        <f t="shared" si="5"/>
        <v>1.4340002235386162</v>
      </c>
    </row>
    <row r="32" ht="12.75">
      <c r="T32" s="171"/>
    </row>
    <row r="33" ht="12.75">
      <c r="T33" s="171"/>
    </row>
    <row r="34" ht="12.75">
      <c r="T34" s="171"/>
    </row>
    <row r="35" ht="12.75">
      <c r="T35" s="171"/>
    </row>
    <row r="36" ht="12.75">
      <c r="T36" s="171"/>
    </row>
    <row r="37" ht="12.75">
      <c r="T37" s="171"/>
    </row>
    <row r="48" ht="12.75">
      <c r="C48" s="35" t="s">
        <v>199</v>
      </c>
    </row>
  </sheetData>
  <sheetProtection/>
  <mergeCells count="5">
    <mergeCell ref="B2:R2"/>
    <mergeCell ref="B3:R3"/>
    <mergeCell ref="B4:R4"/>
    <mergeCell ref="C5:J5"/>
    <mergeCell ref="K5:R5"/>
  </mergeCells>
  <conditionalFormatting sqref="W29:AD29">
    <cfRule type="colorScale" priority="4" dxfId="2">
      <colorScale>
        <cfvo type="min" val="0"/>
        <cfvo type="percentile" val="50"/>
        <cfvo type="max"/>
        <color rgb="FFF8696B"/>
        <color rgb="FFFFEB84"/>
        <color rgb="FF63BE7B"/>
      </colorScale>
    </cfRule>
  </conditionalFormatting>
  <conditionalFormatting sqref="W30:AD30">
    <cfRule type="colorScale" priority="3" dxfId="2">
      <colorScale>
        <cfvo type="min" val="0"/>
        <cfvo type="percentile" val="50"/>
        <cfvo type="max"/>
        <color rgb="FFF8696B"/>
        <color rgb="FFFFEB84"/>
        <color rgb="FF63BE7B"/>
      </colorScale>
    </cfRule>
  </conditionalFormatting>
  <conditionalFormatting sqref="W31:AD31">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landscape"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80" workbookViewId="0" topLeftCell="A1">
      <selection activeCell="A1" sqref="A1"/>
    </sheetView>
  </sheetViews>
  <sheetFormatPr defaultColWidth="14.421875" defaultRowHeight="15"/>
  <cols>
    <col min="1" max="1" width="1.421875" style="20" customWidth="1"/>
    <col min="2" max="7" width="18.421875" style="20" customWidth="1"/>
    <col min="8" max="8" width="14.421875" style="20" customWidth="1"/>
    <col min="9" max="9" width="10.421875" style="151" customWidth="1"/>
    <col min="10" max="10" width="7.28125" style="143" hidden="1" customWidth="1"/>
    <col min="11" max="12" width="8.421875" style="143" hidden="1" customWidth="1"/>
    <col min="13" max="13" width="14.421875" style="151" customWidth="1"/>
    <col min="14" max="16384" width="14.421875" style="20" customWidth="1"/>
  </cols>
  <sheetData>
    <row r="1" ht="6" customHeight="1"/>
    <row r="2" spans="1:9" ht="12.75">
      <c r="A2" s="2"/>
      <c r="C2" s="387" t="s">
        <v>14</v>
      </c>
      <c r="D2" s="387"/>
      <c r="E2" s="387"/>
      <c r="F2" s="387"/>
      <c r="H2" s="45" t="s">
        <v>151</v>
      </c>
      <c r="I2" s="150"/>
    </row>
    <row r="3" spans="1:6" ht="12.75">
      <c r="A3" s="2"/>
      <c r="C3" s="387" t="s">
        <v>123</v>
      </c>
      <c r="D3" s="387"/>
      <c r="E3" s="387"/>
      <c r="F3" s="387"/>
    </row>
    <row r="4" spans="1:6" ht="12.75">
      <c r="A4" s="2"/>
      <c r="C4" s="25"/>
      <c r="D4" s="25"/>
      <c r="E4" s="25"/>
      <c r="F4" s="25"/>
    </row>
    <row r="5" spans="1:6" ht="12.75" customHeight="1">
      <c r="A5" s="2"/>
      <c r="C5" s="388" t="s">
        <v>13</v>
      </c>
      <c r="D5" s="390" t="s">
        <v>153</v>
      </c>
      <c r="E5" s="390" t="s">
        <v>154</v>
      </c>
      <c r="F5" s="390" t="s">
        <v>155</v>
      </c>
    </row>
    <row r="6" spans="1:6" ht="12.75">
      <c r="A6" s="2"/>
      <c r="C6" s="389"/>
      <c r="D6" s="391"/>
      <c r="E6" s="391"/>
      <c r="F6" s="391"/>
    </row>
    <row r="7" spans="1:9" ht="12.75">
      <c r="A7" s="2"/>
      <c r="C7" s="25" t="s">
        <v>12</v>
      </c>
      <c r="D7" s="83">
        <v>63110</v>
      </c>
      <c r="E7" s="83">
        <v>1210044.3</v>
      </c>
      <c r="F7" s="89">
        <v>19.173574710822372</v>
      </c>
      <c r="H7" s="132"/>
      <c r="I7" s="149"/>
    </row>
    <row r="8" spans="1:12" ht="12.75">
      <c r="A8" s="2"/>
      <c r="C8" s="25" t="s">
        <v>11</v>
      </c>
      <c r="D8" s="83">
        <v>61360</v>
      </c>
      <c r="E8" s="83">
        <v>1303267.5</v>
      </c>
      <c r="F8" s="89">
        <v>21.239691981747065</v>
      </c>
      <c r="J8" s="172">
        <f aca="true" t="shared" si="0" ref="J8:J22">+(D8-D7)/D7</f>
        <v>-0.027729361432419584</v>
      </c>
      <c r="K8" s="172">
        <f aca="true" t="shared" si="1" ref="K8:L22">+(E8-E7)/E7</f>
        <v>0.07704114634480734</v>
      </c>
      <c r="L8" s="172">
        <f t="shared" si="1"/>
        <v>0.10775858451468047</v>
      </c>
    </row>
    <row r="9" spans="1:12" ht="12.75">
      <c r="A9" s="2"/>
      <c r="C9" s="25" t="s">
        <v>10</v>
      </c>
      <c r="D9" s="83">
        <v>56000</v>
      </c>
      <c r="E9" s="83">
        <v>1093728.4</v>
      </c>
      <c r="F9" s="89">
        <v>19.530864285714287</v>
      </c>
      <c r="J9" s="172">
        <f t="shared" si="0"/>
        <v>-0.08735332464146023</v>
      </c>
      <c r="K9" s="172">
        <f t="shared" si="1"/>
        <v>-0.16077980921031185</v>
      </c>
      <c r="L9" s="172">
        <f t="shared" si="1"/>
        <v>-0.08045444809187004</v>
      </c>
    </row>
    <row r="10" spans="1:12" ht="12.75">
      <c r="A10" s="2"/>
      <c r="C10" s="25" t="s">
        <v>9</v>
      </c>
      <c r="D10" s="83">
        <v>59560</v>
      </c>
      <c r="E10" s="83">
        <v>1144170</v>
      </c>
      <c r="F10" s="89">
        <v>19.210376091336467</v>
      </c>
      <c r="J10" s="172">
        <f t="shared" si="0"/>
        <v>0.06357142857142857</v>
      </c>
      <c r="K10" s="172">
        <f t="shared" si="1"/>
        <v>0.04611894506899528</v>
      </c>
      <c r="L10" s="172">
        <f t="shared" si="1"/>
        <v>-0.016409319612764834</v>
      </c>
    </row>
    <row r="11" spans="1:12" ht="12.75">
      <c r="A11" s="2"/>
      <c r="C11" s="25" t="s">
        <v>8</v>
      </c>
      <c r="D11" s="83">
        <v>55620</v>
      </c>
      <c r="E11" s="83">
        <v>1115735.7</v>
      </c>
      <c r="F11" s="89">
        <v>20.059973031283707</v>
      </c>
      <c r="G11" s="53"/>
      <c r="J11" s="172">
        <f t="shared" si="0"/>
        <v>-0.0661517797179315</v>
      </c>
      <c r="K11" s="172">
        <f t="shared" si="1"/>
        <v>-0.02485146438029318</v>
      </c>
      <c r="L11" s="172">
        <f t="shared" si="1"/>
        <v>0.04422593997680206</v>
      </c>
    </row>
    <row r="12" spans="1:12" ht="12.75">
      <c r="A12" s="2"/>
      <c r="C12" s="25" t="s">
        <v>7</v>
      </c>
      <c r="D12" s="83">
        <v>63200</v>
      </c>
      <c r="E12" s="83">
        <v>1391378.2</v>
      </c>
      <c r="F12" s="89">
        <v>22.015477848101266</v>
      </c>
      <c r="J12" s="172">
        <f t="shared" si="0"/>
        <v>0.1362819129809421</v>
      </c>
      <c r="K12" s="172">
        <f t="shared" si="1"/>
        <v>0.2470499958009769</v>
      </c>
      <c r="L12" s="172">
        <f t="shared" si="1"/>
        <v>0.09748292351978398</v>
      </c>
    </row>
    <row r="13" spans="1:12" ht="12.75">
      <c r="A13" s="2"/>
      <c r="C13" s="25" t="s">
        <v>6</v>
      </c>
      <c r="D13" s="83">
        <v>54145</v>
      </c>
      <c r="E13" s="83">
        <v>834859.9</v>
      </c>
      <c r="F13" s="89">
        <v>15.41896574014221</v>
      </c>
      <c r="J13" s="172">
        <f t="shared" si="0"/>
        <v>-0.1432753164556962</v>
      </c>
      <c r="K13" s="172">
        <f t="shared" si="1"/>
        <v>-0.39997629688319103</v>
      </c>
      <c r="L13" s="172">
        <f t="shared" si="1"/>
        <v>-0.29963065773418923</v>
      </c>
    </row>
    <row r="14" spans="1:12" ht="12.75">
      <c r="A14" s="2"/>
      <c r="C14" s="25" t="s">
        <v>5</v>
      </c>
      <c r="D14" s="83">
        <v>55976</v>
      </c>
      <c r="E14" s="83">
        <v>965939.5</v>
      </c>
      <c r="F14" s="89">
        <v>17.25631520651708</v>
      </c>
      <c r="J14" s="172">
        <f t="shared" si="0"/>
        <v>0.03381660356450272</v>
      </c>
      <c r="K14" s="172">
        <f t="shared" si="1"/>
        <v>0.1570079003674748</v>
      </c>
      <c r="L14" s="172">
        <f t="shared" si="1"/>
        <v>0.11916165437682093</v>
      </c>
    </row>
    <row r="15" spans="1:12" ht="12.75">
      <c r="A15" s="2"/>
      <c r="C15" s="25" t="s">
        <v>4</v>
      </c>
      <c r="D15" s="83">
        <v>45078</v>
      </c>
      <c r="E15" s="83">
        <v>924548.1</v>
      </c>
      <c r="F15" s="89">
        <v>20.50996273126581</v>
      </c>
      <c r="J15" s="172">
        <f t="shared" si="0"/>
        <v>-0.19469058167786193</v>
      </c>
      <c r="K15" s="172">
        <f t="shared" si="1"/>
        <v>-0.04285092389326663</v>
      </c>
      <c r="L15" s="172">
        <f t="shared" si="1"/>
        <v>0.18854822051001624</v>
      </c>
    </row>
    <row r="16" spans="1:12" ht="12.75">
      <c r="A16" s="2"/>
      <c r="C16" s="25" t="s">
        <v>3</v>
      </c>
      <c r="D16" s="83">
        <v>50771</v>
      </c>
      <c r="E16" s="83">
        <v>1081349.2</v>
      </c>
      <c r="F16" s="89">
        <v>21.3</v>
      </c>
      <c r="J16" s="172">
        <f t="shared" si="0"/>
        <v>0.12629220462309773</v>
      </c>
      <c r="K16" s="172">
        <f t="shared" si="1"/>
        <v>0.1695975579853552</v>
      </c>
      <c r="L16" s="172">
        <f t="shared" si="1"/>
        <v>0.03851968329176157</v>
      </c>
    </row>
    <row r="17" spans="1:12" ht="12.75">
      <c r="A17" s="2"/>
      <c r="C17" s="25" t="s">
        <v>2</v>
      </c>
      <c r="D17" s="83">
        <v>53653</v>
      </c>
      <c r="E17" s="83">
        <v>1676444</v>
      </c>
      <c r="F17" s="89">
        <v>31.25</v>
      </c>
      <c r="J17" s="172">
        <f t="shared" si="0"/>
        <v>0.05676468850327943</v>
      </c>
      <c r="K17" s="172">
        <f t="shared" si="1"/>
        <v>0.5503262035982457</v>
      </c>
      <c r="L17" s="172">
        <f t="shared" si="1"/>
        <v>0.46713615023474175</v>
      </c>
    </row>
    <row r="18" spans="1:12" ht="12.75">
      <c r="A18" s="2"/>
      <c r="C18" s="25" t="s">
        <v>122</v>
      </c>
      <c r="D18" s="83">
        <v>41534</v>
      </c>
      <c r="E18" s="83">
        <v>1093452</v>
      </c>
      <c r="F18" s="89">
        <v>26.33</v>
      </c>
      <c r="G18" s="51"/>
      <c r="J18" s="172">
        <f t="shared" si="0"/>
        <v>-0.22587739734963563</v>
      </c>
      <c r="K18" s="172">
        <f t="shared" si="1"/>
        <v>-0.3477551293094192</v>
      </c>
      <c r="L18" s="172">
        <f t="shared" si="1"/>
        <v>-0.15744000000000005</v>
      </c>
    </row>
    <row r="19" spans="1:12" ht="12.75">
      <c r="A19" s="2"/>
      <c r="C19" s="25" t="s">
        <v>131</v>
      </c>
      <c r="D19" s="83">
        <v>49576</v>
      </c>
      <c r="E19" s="83">
        <v>1159022.1</v>
      </c>
      <c r="F19" s="89">
        <v>23.3786933193481</v>
      </c>
      <c r="G19" s="51"/>
      <c r="J19" s="172">
        <f t="shared" si="0"/>
        <v>0.19362450040930324</v>
      </c>
      <c r="K19" s="172">
        <f t="shared" si="1"/>
        <v>0.059966143918526</v>
      </c>
      <c r="L19" s="172">
        <f t="shared" si="1"/>
        <v>-0.1120891257368743</v>
      </c>
    </row>
    <row r="20" spans="1:12" ht="12.75" customHeight="1">
      <c r="A20" s="2"/>
      <c r="C20" s="25" t="s">
        <v>146</v>
      </c>
      <c r="D20" s="83">
        <v>48965</v>
      </c>
      <c r="E20" s="83">
        <f>+D20*F20</f>
        <v>1061324.9400000002</v>
      </c>
      <c r="F20" s="89">
        <v>21.675174920861842</v>
      </c>
      <c r="H20" s="247"/>
      <c r="J20" s="172">
        <f t="shared" si="0"/>
        <v>-0.0123245118605777</v>
      </c>
      <c r="K20" s="172">
        <f t="shared" si="1"/>
        <v>-0.0842927498966585</v>
      </c>
      <c r="L20" s="172">
        <f t="shared" si="1"/>
        <v>-0.07286627936029394</v>
      </c>
    </row>
    <row r="21" spans="1:12" ht="12.75">
      <c r="A21" s="2"/>
      <c r="C21" s="25" t="s">
        <v>178</v>
      </c>
      <c r="D21" s="83">
        <v>50526.3379674093</v>
      </c>
      <c r="E21" s="83">
        <v>960502</v>
      </c>
      <c r="F21" s="89">
        <v>19.01</v>
      </c>
      <c r="G21" s="138"/>
      <c r="I21" s="166"/>
      <c r="J21" s="172">
        <f t="shared" si="0"/>
        <v>0.03188681644867357</v>
      </c>
      <c r="K21" s="172">
        <f t="shared" si="1"/>
        <v>-0.09499723995932872</v>
      </c>
      <c r="L21" s="172">
        <f t="shared" si="1"/>
        <v>-0.12295978835661772</v>
      </c>
    </row>
    <row r="22" spans="1:12" ht="12.75" customHeight="1">
      <c r="A22" s="2"/>
      <c r="C22" s="25" t="s">
        <v>197</v>
      </c>
      <c r="D22" s="83">
        <v>53485</v>
      </c>
      <c r="E22" s="83">
        <v>1166024.9</v>
      </c>
      <c r="F22" s="89">
        <v>21.8</v>
      </c>
      <c r="G22" s="138"/>
      <c r="J22" s="172">
        <f t="shared" si="0"/>
        <v>0.058556827025522944</v>
      </c>
      <c r="K22" s="172">
        <f t="shared" si="1"/>
        <v>0.21397446335353795</v>
      </c>
      <c r="L22" s="172">
        <f t="shared" si="1"/>
        <v>0.14676486059968433</v>
      </c>
    </row>
    <row r="23" spans="1:12" ht="12.75" customHeight="1">
      <c r="A23" s="2"/>
      <c r="C23" s="223" t="s">
        <v>241</v>
      </c>
      <c r="D23" s="83">
        <v>54082</v>
      </c>
      <c r="E23" s="222">
        <f>+D23*F23</f>
        <v>1178987.6</v>
      </c>
      <c r="F23" s="221">
        <f>+F22</f>
        <v>21.8</v>
      </c>
      <c r="G23" s="239"/>
      <c r="J23" s="172">
        <f>+(D23-D22)/D22</f>
        <v>0.011162008039637282</v>
      </c>
      <c r="K23" s="172">
        <f>+(E23-E22)/E22</f>
        <v>0.011117001017731429</v>
      </c>
      <c r="L23" s="172">
        <f>+(F23-F22)/F22</f>
        <v>0</v>
      </c>
    </row>
    <row r="24" spans="1:7" ht="12.75">
      <c r="A24" s="2"/>
      <c r="B24" s="139"/>
      <c r="C24" s="145" t="s">
        <v>135</v>
      </c>
      <c r="D24" s="144"/>
      <c r="E24" s="144"/>
      <c r="F24" s="144"/>
      <c r="G24" s="139"/>
    </row>
    <row r="25" spans="1:7" ht="26.25" customHeight="1">
      <c r="A25" s="2"/>
      <c r="B25" s="139"/>
      <c r="C25" s="392" t="s">
        <v>247</v>
      </c>
      <c r="D25" s="392"/>
      <c r="E25" s="392"/>
      <c r="F25" s="392"/>
      <c r="G25" s="139"/>
    </row>
    <row r="26" spans="1:8" ht="12.75">
      <c r="A26" s="2"/>
      <c r="C26" s="386"/>
      <c r="D26" s="386"/>
      <c r="E26" s="386"/>
      <c r="F26" s="386"/>
      <c r="G26" s="386"/>
      <c r="H26" s="386"/>
    </row>
    <row r="27" ht="12.75">
      <c r="G27" s="52"/>
    </row>
    <row r="33" ht="15">
      <c r="K33" s="248"/>
    </row>
    <row r="37" ht="12.75">
      <c r="I37" s="220"/>
    </row>
    <row r="45" spans="8:9" ht="12.75">
      <c r="H45" s="52"/>
      <c r="I45" s="152"/>
    </row>
    <row r="50" ht="12.75">
      <c r="B50" s="26"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78"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5"/>
  <sheetViews>
    <sheetView zoomScale="80" zoomScaleNormal="80" zoomScalePageLayoutView="80" workbookViewId="0" topLeftCell="A1">
      <selection activeCell="A1" sqref="A1"/>
    </sheetView>
  </sheetViews>
  <sheetFormatPr defaultColWidth="15.8515625" defaultRowHeight="15"/>
  <cols>
    <col min="1" max="1" width="1.421875" style="20" customWidth="1"/>
    <col min="2" max="2" width="9.421875" style="20" customWidth="1"/>
    <col min="3" max="3" width="11.8515625" style="20" customWidth="1"/>
    <col min="4" max="4" width="12.421875" style="20" customWidth="1"/>
    <col min="5" max="5" width="14.8515625" style="20" customWidth="1"/>
    <col min="6" max="6" width="11.421875" style="20" customWidth="1"/>
    <col min="7" max="7" width="11.8515625" style="20" customWidth="1"/>
    <col min="8" max="8" width="11.7109375" style="20" customWidth="1"/>
    <col min="9" max="9" width="14.421875" style="20" customWidth="1"/>
    <col min="10" max="10" width="11.28125" style="20" customWidth="1"/>
    <col min="11" max="11" width="12.140625" style="20" customWidth="1"/>
    <col min="12" max="12" width="10.421875" style="20" customWidth="1"/>
    <col min="13" max="13" width="2.00390625" style="20" customWidth="1"/>
    <col min="14" max="14" width="14.00390625" style="20" customWidth="1"/>
    <col min="15" max="15" width="6.8515625" style="151" customWidth="1"/>
    <col min="16" max="16" width="9.421875" style="143" hidden="1" customWidth="1"/>
    <col min="17" max="17" width="10.421875" style="143" hidden="1" customWidth="1"/>
    <col min="18" max="18" width="12.7109375" style="143" hidden="1" customWidth="1"/>
    <col min="19" max="19" width="9.421875" style="143" hidden="1" customWidth="1"/>
    <col min="20" max="20" width="7.8515625" style="143" hidden="1" customWidth="1"/>
    <col min="21" max="21" width="7.421875" style="143" hidden="1" customWidth="1"/>
    <col min="22" max="22" width="12.8515625" style="143" hidden="1" customWidth="1"/>
    <col min="23" max="23" width="8.7109375" style="143" hidden="1" customWidth="1"/>
    <col min="24" max="24" width="10.28125" style="143" hidden="1" customWidth="1"/>
    <col min="25" max="26" width="15.8515625" style="151" customWidth="1"/>
    <col min="27" max="16384" width="15.8515625" style="20" customWidth="1"/>
  </cols>
  <sheetData>
    <row r="1" ht="6" customHeight="1"/>
    <row r="2" spans="2:14" ht="12.75">
      <c r="B2" s="374" t="s">
        <v>107</v>
      </c>
      <c r="C2" s="374"/>
      <c r="D2" s="374"/>
      <c r="E2" s="374"/>
      <c r="F2" s="374"/>
      <c r="G2" s="374"/>
      <c r="H2" s="374"/>
      <c r="I2" s="374"/>
      <c r="J2" s="374"/>
      <c r="K2" s="374"/>
      <c r="L2" s="374"/>
      <c r="M2" s="251"/>
      <c r="N2" s="45" t="s">
        <v>151</v>
      </c>
    </row>
    <row r="3" spans="2:13" ht="12.75" customHeight="1">
      <c r="B3" s="374" t="s">
        <v>49</v>
      </c>
      <c r="C3" s="374"/>
      <c r="D3" s="374"/>
      <c r="E3" s="374"/>
      <c r="F3" s="374"/>
      <c r="G3" s="374"/>
      <c r="H3" s="374"/>
      <c r="I3" s="374"/>
      <c r="J3" s="374"/>
      <c r="K3" s="374"/>
      <c r="L3" s="374"/>
      <c r="M3" s="251"/>
    </row>
    <row r="4" spans="2:13" ht="12.75">
      <c r="B4" s="374" t="s">
        <v>27</v>
      </c>
      <c r="C4" s="374"/>
      <c r="D4" s="374"/>
      <c r="E4" s="374"/>
      <c r="F4" s="374"/>
      <c r="G4" s="374"/>
      <c r="H4" s="374"/>
      <c r="I4" s="374"/>
      <c r="J4" s="374"/>
      <c r="K4" s="374"/>
      <c r="L4" s="374"/>
      <c r="M4" s="251"/>
    </row>
    <row r="5" spans="2:11" ht="12.75">
      <c r="B5" s="2"/>
      <c r="C5" s="2"/>
      <c r="D5" s="2"/>
      <c r="E5" s="2"/>
      <c r="F5" s="2"/>
      <c r="G5" s="2"/>
      <c r="H5" s="2"/>
      <c r="I5" s="2"/>
      <c r="J5" s="49"/>
      <c r="K5" s="2"/>
    </row>
    <row r="6" spans="2:16" ht="12.75">
      <c r="B6" s="393" t="s">
        <v>13</v>
      </c>
      <c r="C6" s="266" t="s">
        <v>24</v>
      </c>
      <c r="D6" s="266" t="s">
        <v>24</v>
      </c>
      <c r="E6" s="266" t="s">
        <v>26</v>
      </c>
      <c r="F6" s="266" t="s">
        <v>24</v>
      </c>
      <c r="G6" s="266" t="s">
        <v>25</v>
      </c>
      <c r="H6" s="266" t="s">
        <v>25</v>
      </c>
      <c r="I6" s="266" t="s">
        <v>24</v>
      </c>
      <c r="J6" s="266" t="s">
        <v>24</v>
      </c>
      <c r="K6" s="266" t="s">
        <v>24</v>
      </c>
      <c r="L6" s="266" t="s">
        <v>157</v>
      </c>
      <c r="M6" s="1"/>
      <c r="P6" s="143" t="s">
        <v>268</v>
      </c>
    </row>
    <row r="7" spans="2:24" ht="12.75">
      <c r="B7" s="394"/>
      <c r="C7" s="267" t="s">
        <v>23</v>
      </c>
      <c r="D7" s="267" t="s">
        <v>22</v>
      </c>
      <c r="E7" s="267" t="s">
        <v>21</v>
      </c>
      <c r="F7" s="267" t="s">
        <v>20</v>
      </c>
      <c r="G7" s="267" t="s">
        <v>19</v>
      </c>
      <c r="H7" s="267" t="s">
        <v>18</v>
      </c>
      <c r="I7" s="267" t="s">
        <v>17</v>
      </c>
      <c r="J7" s="267" t="s">
        <v>16</v>
      </c>
      <c r="K7" s="267" t="s">
        <v>15</v>
      </c>
      <c r="L7" s="267" t="s">
        <v>158</v>
      </c>
      <c r="M7" s="1"/>
      <c r="P7" s="278" t="str">
        <f>+C7</f>
        <v>Coquimbo</v>
      </c>
      <c r="Q7" s="278" t="str">
        <f aca="true" t="shared" si="0" ref="Q7:V7">+D7</f>
        <v>Valparaíso</v>
      </c>
      <c r="R7" s="278" t="str">
        <f t="shared" si="0"/>
        <v>Metropolitana</v>
      </c>
      <c r="S7" s="278" t="str">
        <f t="shared" si="0"/>
        <v>O´Higgins</v>
      </c>
      <c r="T7" s="278" t="str">
        <f t="shared" si="0"/>
        <v>Maule</v>
      </c>
      <c r="U7" s="278" t="str">
        <f t="shared" si="0"/>
        <v>Bío Bío</v>
      </c>
      <c r="V7" s="278" t="str">
        <f t="shared" si="0"/>
        <v>La Araucanía</v>
      </c>
      <c r="W7" s="278" t="str">
        <f>+J7</f>
        <v>Los Ríos</v>
      </c>
      <c r="X7" s="278" t="str">
        <f>+K7</f>
        <v>Los Lagos</v>
      </c>
    </row>
    <row r="8" spans="2:13" ht="12.75">
      <c r="B8" s="71" t="s">
        <v>11</v>
      </c>
      <c r="C8" s="70">
        <v>5960</v>
      </c>
      <c r="D8" s="70">
        <v>1480</v>
      </c>
      <c r="E8" s="70">
        <v>4280</v>
      </c>
      <c r="F8" s="70">
        <v>2960</v>
      </c>
      <c r="G8" s="70">
        <v>4170</v>
      </c>
      <c r="H8" s="70">
        <v>5240</v>
      </c>
      <c r="I8" s="70">
        <v>18030</v>
      </c>
      <c r="J8" s="71"/>
      <c r="K8" s="70">
        <v>17930</v>
      </c>
      <c r="L8" s="70"/>
      <c r="M8" s="70"/>
    </row>
    <row r="9" spans="2:24" ht="12.75">
      <c r="B9" s="71" t="s">
        <v>10</v>
      </c>
      <c r="C9" s="70">
        <v>5420</v>
      </c>
      <c r="D9" s="70">
        <v>1190</v>
      </c>
      <c r="E9" s="70">
        <v>4090</v>
      </c>
      <c r="F9" s="70">
        <v>3140</v>
      </c>
      <c r="G9" s="70">
        <v>3850</v>
      </c>
      <c r="H9" s="70">
        <v>5690</v>
      </c>
      <c r="I9" s="70">
        <v>15000</v>
      </c>
      <c r="J9" s="71"/>
      <c r="K9" s="70">
        <v>16310</v>
      </c>
      <c r="L9" s="70"/>
      <c r="M9" s="70"/>
      <c r="P9" s="172">
        <f aca="true" t="shared" si="1" ref="P9:P21">+C9/C8-1</f>
        <v>-0.09060402684563762</v>
      </c>
      <c r="Q9" s="172">
        <f aca="true" t="shared" si="2" ref="Q9:Q21">+D9/D8-1</f>
        <v>-0.19594594594594594</v>
      </c>
      <c r="R9" s="172">
        <f aca="true" t="shared" si="3" ref="R9:R21">+E9/E8-1</f>
        <v>-0.04439252336448596</v>
      </c>
      <c r="S9" s="172">
        <f aca="true" t="shared" si="4" ref="S9:S21">+F9/F8-1</f>
        <v>0.060810810810810745</v>
      </c>
      <c r="T9" s="172">
        <f aca="true" t="shared" si="5" ref="T9:T21">+G9/G8-1</f>
        <v>-0.0767386091127098</v>
      </c>
      <c r="U9" s="172">
        <f aca="true" t="shared" si="6" ref="U9:U21">+H9/H8-1</f>
        <v>0.08587786259541974</v>
      </c>
      <c r="V9" s="172">
        <f aca="true" t="shared" si="7" ref="V9:V21">+I9/I8-1</f>
        <v>-0.16805324459234605</v>
      </c>
      <c r="W9" s="172" t="e">
        <f aca="true" t="shared" si="8" ref="W9:W21">+J9/J8-1</f>
        <v>#DIV/0!</v>
      </c>
      <c r="X9" s="172">
        <f aca="true" t="shared" si="9" ref="X9:X21">+K9/K8-1</f>
        <v>-0.09035136642498609</v>
      </c>
    </row>
    <row r="10" spans="2:24" ht="12.75">
      <c r="B10" s="71" t="s">
        <v>9</v>
      </c>
      <c r="C10" s="70">
        <v>5400</v>
      </c>
      <c r="D10" s="70">
        <v>1200</v>
      </c>
      <c r="E10" s="70">
        <v>4000</v>
      </c>
      <c r="F10" s="70">
        <v>3450</v>
      </c>
      <c r="G10" s="70">
        <v>3800</v>
      </c>
      <c r="H10" s="70">
        <v>6400</v>
      </c>
      <c r="I10" s="70">
        <v>16800</v>
      </c>
      <c r="J10" s="71"/>
      <c r="K10" s="70">
        <v>17200</v>
      </c>
      <c r="L10" s="70"/>
      <c r="M10" s="70"/>
      <c r="N10" s="50"/>
      <c r="P10" s="172">
        <f t="shared" si="1"/>
        <v>-0.0036900369003689537</v>
      </c>
      <c r="Q10" s="172">
        <f t="shared" si="2"/>
        <v>0.008403361344537785</v>
      </c>
      <c r="R10" s="172">
        <f t="shared" si="3"/>
        <v>-0.022004889975550168</v>
      </c>
      <c r="S10" s="172">
        <f t="shared" si="4"/>
        <v>0.09872611464968162</v>
      </c>
      <c r="T10" s="172">
        <f t="shared" si="5"/>
        <v>-0.012987012987012991</v>
      </c>
      <c r="U10" s="172">
        <f t="shared" si="6"/>
        <v>0.12478031634446407</v>
      </c>
      <c r="V10" s="172">
        <f t="shared" si="7"/>
        <v>0.1200000000000001</v>
      </c>
      <c r="W10" s="172" t="e">
        <f t="shared" si="8"/>
        <v>#DIV/0!</v>
      </c>
      <c r="X10" s="172">
        <f t="shared" si="9"/>
        <v>0.05456774984671986</v>
      </c>
    </row>
    <row r="11" spans="2:24" ht="12.75">
      <c r="B11" s="71" t="s">
        <v>8</v>
      </c>
      <c r="C11" s="70">
        <v>4960</v>
      </c>
      <c r="D11" s="70">
        <v>1550</v>
      </c>
      <c r="E11" s="70">
        <v>3260</v>
      </c>
      <c r="F11" s="70">
        <v>2820</v>
      </c>
      <c r="G11" s="70">
        <v>2800</v>
      </c>
      <c r="H11" s="70">
        <v>6290</v>
      </c>
      <c r="I11" s="70">
        <v>15620</v>
      </c>
      <c r="J11" s="71"/>
      <c r="K11" s="70">
        <v>17010</v>
      </c>
      <c r="L11" s="70"/>
      <c r="M11" s="70"/>
      <c r="N11" s="50"/>
      <c r="P11" s="172">
        <f t="shared" si="1"/>
        <v>-0.08148148148148149</v>
      </c>
      <c r="Q11" s="172">
        <f t="shared" si="2"/>
        <v>0.29166666666666674</v>
      </c>
      <c r="R11" s="172">
        <f t="shared" si="3"/>
        <v>-0.18500000000000005</v>
      </c>
      <c r="S11" s="172">
        <f t="shared" si="4"/>
        <v>-0.18260869565217386</v>
      </c>
      <c r="T11" s="172">
        <f t="shared" si="5"/>
        <v>-0.26315789473684215</v>
      </c>
      <c r="U11" s="172">
        <f t="shared" si="6"/>
        <v>-0.017187500000000022</v>
      </c>
      <c r="V11" s="172">
        <f t="shared" si="7"/>
        <v>-0.07023809523809521</v>
      </c>
      <c r="W11" s="172" t="e">
        <f t="shared" si="8"/>
        <v>#DIV/0!</v>
      </c>
      <c r="X11" s="172">
        <f t="shared" si="9"/>
        <v>-0.01104651162790693</v>
      </c>
    </row>
    <row r="12" spans="2:24" ht="12.75">
      <c r="B12" s="71" t="s">
        <v>7</v>
      </c>
      <c r="C12" s="70">
        <v>5590</v>
      </c>
      <c r="D12" s="70">
        <v>1870</v>
      </c>
      <c r="E12" s="70">
        <v>4000</v>
      </c>
      <c r="F12" s="70">
        <v>3410</v>
      </c>
      <c r="G12" s="70">
        <v>3740</v>
      </c>
      <c r="H12" s="70">
        <v>6600</v>
      </c>
      <c r="I12" s="70">
        <v>17980</v>
      </c>
      <c r="J12" s="71"/>
      <c r="K12" s="70">
        <v>18700</v>
      </c>
      <c r="L12" s="70"/>
      <c r="M12" s="70"/>
      <c r="N12" s="50"/>
      <c r="P12" s="172">
        <f t="shared" si="1"/>
        <v>0.127016129032258</v>
      </c>
      <c r="Q12" s="172">
        <f t="shared" si="2"/>
        <v>0.2064516129032259</v>
      </c>
      <c r="R12" s="172">
        <f t="shared" si="3"/>
        <v>0.22699386503067487</v>
      </c>
      <c r="S12" s="172">
        <f t="shared" si="4"/>
        <v>0.20921985815602828</v>
      </c>
      <c r="T12" s="172">
        <f t="shared" si="5"/>
        <v>0.33571428571428563</v>
      </c>
      <c r="U12" s="172">
        <f t="shared" si="6"/>
        <v>0.049284578696343395</v>
      </c>
      <c r="V12" s="172">
        <f t="shared" si="7"/>
        <v>0.1510883482714469</v>
      </c>
      <c r="W12" s="172" t="e">
        <f t="shared" si="8"/>
        <v>#DIV/0!</v>
      </c>
      <c r="X12" s="172">
        <f t="shared" si="9"/>
        <v>0.09935332157554377</v>
      </c>
    </row>
    <row r="13" spans="2:24" ht="12.75">
      <c r="B13" s="71" t="s">
        <v>6</v>
      </c>
      <c r="C13" s="72">
        <v>3236.8</v>
      </c>
      <c r="D13" s="72">
        <v>2184.18</v>
      </c>
      <c r="E13" s="72">
        <v>5236.7</v>
      </c>
      <c r="F13" s="72">
        <v>1711.1</v>
      </c>
      <c r="G13" s="72">
        <v>3368.74</v>
      </c>
      <c r="H13" s="72">
        <v>8440.58</v>
      </c>
      <c r="I13" s="72">
        <v>14058.9</v>
      </c>
      <c r="J13" s="72">
        <v>3971.3</v>
      </c>
      <c r="K13" s="72">
        <v>11228.6</v>
      </c>
      <c r="L13" s="72"/>
      <c r="M13" s="72"/>
      <c r="N13" s="50"/>
      <c r="P13" s="172">
        <f t="shared" si="1"/>
        <v>-0.4209660107334525</v>
      </c>
      <c r="Q13" s="172">
        <f t="shared" si="2"/>
        <v>0.1680106951871656</v>
      </c>
      <c r="R13" s="172">
        <f t="shared" si="3"/>
        <v>0.309175</v>
      </c>
      <c r="S13" s="172">
        <f t="shared" si="4"/>
        <v>-0.49821114369501474</v>
      </c>
      <c r="T13" s="172">
        <f t="shared" si="5"/>
        <v>-0.09926737967914445</v>
      </c>
      <c r="U13" s="172">
        <f t="shared" si="6"/>
        <v>0.27887575757575767</v>
      </c>
      <c r="V13" s="172">
        <f t="shared" si="7"/>
        <v>-0.21808120133481645</v>
      </c>
      <c r="W13" s="172" t="e">
        <f t="shared" si="8"/>
        <v>#DIV/0!</v>
      </c>
      <c r="X13" s="172">
        <f t="shared" si="9"/>
        <v>-0.3995401069518716</v>
      </c>
    </row>
    <row r="14" spans="2:24" ht="12.75">
      <c r="B14" s="71" t="s">
        <v>5</v>
      </c>
      <c r="C14" s="70">
        <v>3520</v>
      </c>
      <c r="D14" s="70">
        <v>2040</v>
      </c>
      <c r="E14" s="70">
        <v>5610</v>
      </c>
      <c r="F14" s="70">
        <v>1570</v>
      </c>
      <c r="G14" s="70">
        <v>3430</v>
      </c>
      <c r="H14" s="70">
        <v>8100</v>
      </c>
      <c r="I14" s="70">
        <v>14800</v>
      </c>
      <c r="J14" s="70">
        <v>4240</v>
      </c>
      <c r="K14" s="70">
        <v>11960</v>
      </c>
      <c r="L14" s="70"/>
      <c r="M14" s="70"/>
      <c r="P14" s="172">
        <f t="shared" si="1"/>
        <v>0.08749382105783488</v>
      </c>
      <c r="Q14" s="172">
        <f t="shared" si="2"/>
        <v>-0.06601104304590277</v>
      </c>
      <c r="R14" s="172">
        <f t="shared" si="3"/>
        <v>0.0712853514617986</v>
      </c>
      <c r="S14" s="172">
        <f t="shared" si="4"/>
        <v>-0.08246157442580793</v>
      </c>
      <c r="T14" s="172">
        <f t="shared" si="5"/>
        <v>0.018184840622903486</v>
      </c>
      <c r="U14" s="172">
        <f t="shared" si="6"/>
        <v>-0.04035030768027792</v>
      </c>
      <c r="V14" s="172">
        <f t="shared" si="7"/>
        <v>0.05271393921288303</v>
      </c>
      <c r="W14" s="172">
        <f t="shared" si="8"/>
        <v>0.06766046382796564</v>
      </c>
      <c r="X14" s="172">
        <f t="shared" si="9"/>
        <v>0.06513723883654232</v>
      </c>
    </row>
    <row r="15" spans="2:24" ht="12.75">
      <c r="B15" s="71" t="s">
        <v>4</v>
      </c>
      <c r="C15" s="70">
        <v>2996</v>
      </c>
      <c r="D15" s="70">
        <v>606</v>
      </c>
      <c r="E15" s="70">
        <v>2760</v>
      </c>
      <c r="F15" s="70">
        <v>259</v>
      </c>
      <c r="G15" s="70">
        <v>2183</v>
      </c>
      <c r="H15" s="70">
        <v>7025</v>
      </c>
      <c r="I15" s="70">
        <v>13473</v>
      </c>
      <c r="J15" s="70">
        <v>4567</v>
      </c>
      <c r="K15" s="70">
        <v>10522</v>
      </c>
      <c r="L15" s="70"/>
      <c r="M15" s="70"/>
      <c r="P15" s="172">
        <f t="shared" si="1"/>
        <v>-0.1488636363636363</v>
      </c>
      <c r="Q15" s="172">
        <f t="shared" si="2"/>
        <v>-0.7029411764705882</v>
      </c>
      <c r="R15" s="172">
        <f t="shared" si="3"/>
        <v>-0.5080213903743316</v>
      </c>
      <c r="S15" s="172">
        <f t="shared" si="4"/>
        <v>-0.835031847133758</v>
      </c>
      <c r="T15" s="172">
        <f t="shared" si="5"/>
        <v>-0.36355685131195337</v>
      </c>
      <c r="U15" s="172">
        <f t="shared" si="6"/>
        <v>-0.13271604938271608</v>
      </c>
      <c r="V15" s="172">
        <f t="shared" si="7"/>
        <v>-0.08966216216216216</v>
      </c>
      <c r="W15" s="172">
        <f t="shared" si="8"/>
        <v>0.07712264150943393</v>
      </c>
      <c r="X15" s="172">
        <f t="shared" si="9"/>
        <v>-0.12023411371237458</v>
      </c>
    </row>
    <row r="16" spans="2:24" ht="12.75">
      <c r="B16" s="71" t="s">
        <v>3</v>
      </c>
      <c r="C16" s="70">
        <v>3421</v>
      </c>
      <c r="D16" s="70">
        <v>447</v>
      </c>
      <c r="E16" s="70">
        <v>3493</v>
      </c>
      <c r="F16" s="70">
        <v>1981</v>
      </c>
      <c r="G16" s="70">
        <v>4589</v>
      </c>
      <c r="H16" s="70">
        <v>8958</v>
      </c>
      <c r="I16" s="70">
        <v>16756</v>
      </c>
      <c r="J16" s="70">
        <v>3767</v>
      </c>
      <c r="K16" s="70">
        <v>6672</v>
      </c>
      <c r="L16" s="70"/>
      <c r="M16" s="70"/>
      <c r="N16" s="50"/>
      <c r="P16" s="172">
        <f t="shared" si="1"/>
        <v>0.14185580774365825</v>
      </c>
      <c r="Q16" s="172">
        <f t="shared" si="2"/>
        <v>-0.2623762376237624</v>
      </c>
      <c r="R16" s="172">
        <f t="shared" si="3"/>
        <v>0.26557971014492754</v>
      </c>
      <c r="S16" s="172">
        <f t="shared" si="4"/>
        <v>6.648648648648648</v>
      </c>
      <c r="T16" s="172">
        <f t="shared" si="5"/>
        <v>1.102153000458085</v>
      </c>
      <c r="U16" s="172">
        <f t="shared" si="6"/>
        <v>0.2751601423487544</v>
      </c>
      <c r="V16" s="172">
        <f t="shared" si="7"/>
        <v>0.2436725302456766</v>
      </c>
      <c r="W16" s="172">
        <f t="shared" si="8"/>
        <v>-0.17516969564265383</v>
      </c>
      <c r="X16" s="172">
        <f t="shared" si="9"/>
        <v>-0.36590001900779323</v>
      </c>
    </row>
    <row r="17" spans="2:24" ht="12.75">
      <c r="B17" s="71" t="s">
        <v>2</v>
      </c>
      <c r="C17" s="70">
        <v>3208</v>
      </c>
      <c r="D17" s="70">
        <v>1493</v>
      </c>
      <c r="E17" s="70">
        <v>3750</v>
      </c>
      <c r="F17" s="70">
        <v>887</v>
      </c>
      <c r="G17" s="70">
        <v>4584</v>
      </c>
      <c r="H17" s="70">
        <v>9385</v>
      </c>
      <c r="I17" s="70">
        <v>17757</v>
      </c>
      <c r="J17" s="70">
        <v>3839</v>
      </c>
      <c r="K17" s="70">
        <v>8063</v>
      </c>
      <c r="L17" s="70"/>
      <c r="M17" s="70"/>
      <c r="N17" s="50"/>
      <c r="P17" s="172">
        <f t="shared" si="1"/>
        <v>-0.062262496346097596</v>
      </c>
      <c r="Q17" s="172">
        <f t="shared" si="2"/>
        <v>2.3400447427293063</v>
      </c>
      <c r="R17" s="172">
        <f t="shared" si="3"/>
        <v>0.07357572287432013</v>
      </c>
      <c r="S17" s="172">
        <f t="shared" si="4"/>
        <v>-0.552246340232206</v>
      </c>
      <c r="T17" s="172">
        <f t="shared" si="5"/>
        <v>-0.0010895619960775704</v>
      </c>
      <c r="U17" s="172">
        <f t="shared" si="6"/>
        <v>0.04766688993078816</v>
      </c>
      <c r="V17" s="172">
        <f t="shared" si="7"/>
        <v>0.05973979470040591</v>
      </c>
      <c r="W17" s="172">
        <f t="shared" si="8"/>
        <v>0.019113352800637085</v>
      </c>
      <c r="X17" s="172">
        <f t="shared" si="9"/>
        <v>0.2084832134292567</v>
      </c>
    </row>
    <row r="18" spans="2:25" ht="12.75">
      <c r="B18" s="71" t="s">
        <v>122</v>
      </c>
      <c r="C18" s="70">
        <v>1865</v>
      </c>
      <c r="D18" s="70">
        <v>1421</v>
      </c>
      <c r="E18" s="70">
        <v>3607</v>
      </c>
      <c r="F18" s="70">
        <v>1681</v>
      </c>
      <c r="G18" s="70">
        <v>2080</v>
      </c>
      <c r="H18" s="70">
        <v>5998</v>
      </c>
      <c r="I18" s="70">
        <v>10383</v>
      </c>
      <c r="J18" s="70">
        <v>3393</v>
      </c>
      <c r="K18" s="70">
        <v>10419</v>
      </c>
      <c r="L18" s="70">
        <v>687</v>
      </c>
      <c r="M18" s="70"/>
      <c r="N18" s="50"/>
      <c r="P18" s="172">
        <f t="shared" si="1"/>
        <v>-0.418640897755611</v>
      </c>
      <c r="Q18" s="172">
        <f t="shared" si="2"/>
        <v>-0.04822505023442736</v>
      </c>
      <c r="R18" s="172">
        <f t="shared" si="3"/>
        <v>-0.03813333333333335</v>
      </c>
      <c r="S18" s="172">
        <f t="shared" si="4"/>
        <v>0.895152198421646</v>
      </c>
      <c r="T18" s="172">
        <f t="shared" si="5"/>
        <v>-0.5462478184991274</v>
      </c>
      <c r="U18" s="172">
        <f t="shared" si="6"/>
        <v>-0.36089504528502925</v>
      </c>
      <c r="V18" s="172">
        <f t="shared" si="7"/>
        <v>-0.4152728501436054</v>
      </c>
      <c r="W18" s="172">
        <f t="shared" si="8"/>
        <v>-0.1161760875227924</v>
      </c>
      <c r="X18" s="172">
        <f t="shared" si="9"/>
        <v>0.292198933399479</v>
      </c>
      <c r="Y18" s="149"/>
    </row>
    <row r="19" spans="2:24" ht="12.75">
      <c r="B19" s="71" t="s">
        <v>131</v>
      </c>
      <c r="C19" s="70">
        <v>2546</v>
      </c>
      <c r="D19" s="70">
        <v>1103</v>
      </c>
      <c r="E19" s="70">
        <v>5104</v>
      </c>
      <c r="F19" s="70">
        <v>942</v>
      </c>
      <c r="G19" s="70">
        <v>3017</v>
      </c>
      <c r="H19" s="70">
        <v>8372</v>
      </c>
      <c r="I19" s="70">
        <v>14459</v>
      </c>
      <c r="J19" s="70">
        <v>3334</v>
      </c>
      <c r="K19" s="70">
        <v>10012</v>
      </c>
      <c r="L19" s="70">
        <v>687</v>
      </c>
      <c r="M19" s="70"/>
      <c r="N19" s="50"/>
      <c r="P19" s="172">
        <f t="shared" si="1"/>
        <v>0.36514745308311003</v>
      </c>
      <c r="Q19" s="172">
        <f t="shared" si="2"/>
        <v>-0.22378606615059815</v>
      </c>
      <c r="R19" s="172">
        <f t="shared" si="3"/>
        <v>0.4150263376767396</v>
      </c>
      <c r="S19" s="172">
        <f t="shared" si="4"/>
        <v>-0.4396192742415229</v>
      </c>
      <c r="T19" s="172">
        <f t="shared" si="5"/>
        <v>0.4504807692307693</v>
      </c>
      <c r="U19" s="172">
        <f t="shared" si="6"/>
        <v>0.39579859953317764</v>
      </c>
      <c r="V19" s="172">
        <f t="shared" si="7"/>
        <v>0.39256476933448914</v>
      </c>
      <c r="W19" s="172">
        <f t="shared" si="8"/>
        <v>-0.01738874152667258</v>
      </c>
      <c r="X19" s="172">
        <f t="shared" si="9"/>
        <v>-0.03906324983203757</v>
      </c>
    </row>
    <row r="20" spans="2:24" ht="12.75">
      <c r="B20" s="71" t="s">
        <v>146</v>
      </c>
      <c r="C20" s="70">
        <v>2197</v>
      </c>
      <c r="D20" s="70">
        <v>1480</v>
      </c>
      <c r="E20" s="70">
        <v>3299</v>
      </c>
      <c r="F20" s="70">
        <v>1394</v>
      </c>
      <c r="G20" s="70">
        <v>3557</v>
      </c>
      <c r="H20" s="70">
        <v>8532</v>
      </c>
      <c r="I20" s="70">
        <v>13054</v>
      </c>
      <c r="J20" s="70">
        <v>4007</v>
      </c>
      <c r="K20" s="70">
        <v>10758</v>
      </c>
      <c r="L20" s="70">
        <v>687</v>
      </c>
      <c r="M20" s="70"/>
      <c r="N20" s="50"/>
      <c r="P20" s="172">
        <f t="shared" si="1"/>
        <v>-0.13707776904948943</v>
      </c>
      <c r="Q20" s="172">
        <f t="shared" si="2"/>
        <v>0.34179510426110604</v>
      </c>
      <c r="R20" s="172">
        <f t="shared" si="3"/>
        <v>-0.3536442006269592</v>
      </c>
      <c r="S20" s="172">
        <f t="shared" si="4"/>
        <v>0.47983014861995743</v>
      </c>
      <c r="T20" s="172">
        <f t="shared" si="5"/>
        <v>0.17898574743122309</v>
      </c>
      <c r="U20" s="172">
        <f t="shared" si="6"/>
        <v>0.019111323459149565</v>
      </c>
      <c r="V20" s="172">
        <f t="shared" si="7"/>
        <v>-0.09717131198561446</v>
      </c>
      <c r="W20" s="172">
        <f t="shared" si="8"/>
        <v>0.20185962807438518</v>
      </c>
      <c r="X20" s="172">
        <f t="shared" si="9"/>
        <v>0.07451058729524562</v>
      </c>
    </row>
    <row r="21" spans="2:24" ht="12.75">
      <c r="B21" s="71" t="s">
        <v>178</v>
      </c>
      <c r="C21" s="70">
        <v>1874.8517657009927</v>
      </c>
      <c r="D21" s="70">
        <v>1451.319986235742</v>
      </c>
      <c r="E21" s="70">
        <v>4939.809486900715</v>
      </c>
      <c r="F21" s="70">
        <v>2047.895051547505</v>
      </c>
      <c r="G21" s="70">
        <v>3593.539657032328</v>
      </c>
      <c r="H21" s="70">
        <v>8685.459966446108</v>
      </c>
      <c r="I21" s="70">
        <v>16788.425585779605</v>
      </c>
      <c r="J21" s="70">
        <v>3490.6066401256444</v>
      </c>
      <c r="K21" s="70">
        <v>6967.429827640695</v>
      </c>
      <c r="L21" s="70">
        <v>687</v>
      </c>
      <c r="M21" s="70"/>
      <c r="N21" s="50"/>
      <c r="P21" s="172">
        <f t="shared" si="1"/>
        <v>-0.14663096690897015</v>
      </c>
      <c r="Q21" s="172">
        <f t="shared" si="2"/>
        <v>-0.01937838767855271</v>
      </c>
      <c r="R21" s="172">
        <f t="shared" si="3"/>
        <v>0.4973657129132205</v>
      </c>
      <c r="S21" s="172">
        <f t="shared" si="4"/>
        <v>0.469078229230635</v>
      </c>
      <c r="T21" s="172">
        <f t="shared" si="5"/>
        <v>0.010272605294441295</v>
      </c>
      <c r="U21" s="172">
        <f t="shared" si="6"/>
        <v>0.017986400192933294</v>
      </c>
      <c r="V21" s="172">
        <f t="shared" si="7"/>
        <v>0.28607519425307215</v>
      </c>
      <c r="W21" s="172">
        <f t="shared" si="8"/>
        <v>-0.1288728125466323</v>
      </c>
      <c r="X21" s="172">
        <f t="shared" si="9"/>
        <v>-0.352348965640389</v>
      </c>
    </row>
    <row r="22" spans="2:24" ht="12.75">
      <c r="B22" s="71" t="s">
        <v>197</v>
      </c>
      <c r="C22" s="70">
        <v>2244</v>
      </c>
      <c r="D22" s="70">
        <v>776</v>
      </c>
      <c r="E22" s="70">
        <v>4449</v>
      </c>
      <c r="F22" s="70">
        <v>2251</v>
      </c>
      <c r="G22" s="70">
        <v>5243</v>
      </c>
      <c r="H22" s="70">
        <v>8946</v>
      </c>
      <c r="I22" s="70">
        <v>14976</v>
      </c>
      <c r="J22" s="70">
        <v>3369</v>
      </c>
      <c r="K22" s="70">
        <v>10544</v>
      </c>
      <c r="L22" s="70">
        <v>687</v>
      </c>
      <c r="M22" s="70"/>
      <c r="N22" s="50"/>
      <c r="P22" s="172">
        <f aca="true" t="shared" si="10" ref="P22:X22">+C22/C21-1</f>
        <v>0.19689462444567485</v>
      </c>
      <c r="Q22" s="172">
        <f t="shared" si="10"/>
        <v>-0.4653143294658989</v>
      </c>
      <c r="R22" s="172">
        <f t="shared" si="10"/>
        <v>-0.0993579789265625</v>
      </c>
      <c r="S22" s="172">
        <f t="shared" si="10"/>
        <v>0.09917742039516009</v>
      </c>
      <c r="T22" s="172">
        <f t="shared" si="10"/>
        <v>0.4590071351347922</v>
      </c>
      <c r="U22" s="172">
        <f t="shared" si="10"/>
        <v>0.0299972637673096</v>
      </c>
      <c r="V22" s="172">
        <f t="shared" si="10"/>
        <v>-0.10795685256601995</v>
      </c>
      <c r="W22" s="172">
        <f t="shared" si="10"/>
        <v>-0.03483825382319994</v>
      </c>
      <c r="X22" s="172">
        <f t="shared" si="10"/>
        <v>0.5133270461039432</v>
      </c>
    </row>
    <row r="23" spans="2:24" ht="12.75">
      <c r="B23" s="71" t="s">
        <v>264</v>
      </c>
      <c r="C23" s="70">
        <v>2193</v>
      </c>
      <c r="D23" s="70">
        <v>1721</v>
      </c>
      <c r="E23" s="70">
        <v>5339</v>
      </c>
      <c r="F23" s="70">
        <v>1195</v>
      </c>
      <c r="G23" s="70">
        <v>4168</v>
      </c>
      <c r="H23" s="70">
        <v>9892</v>
      </c>
      <c r="I23" s="70">
        <v>13886</v>
      </c>
      <c r="J23" s="70">
        <v>3979</v>
      </c>
      <c r="K23" s="70">
        <v>11022</v>
      </c>
      <c r="L23" s="70">
        <f>+'sup, prod y rend'!D23-SUM('sup región'!C23:K23)</f>
        <v>687</v>
      </c>
      <c r="M23" s="70"/>
      <c r="N23" s="50"/>
      <c r="P23" s="172">
        <f aca="true" t="shared" si="11" ref="P23:X23">+C23/C22-1</f>
        <v>-0.022727272727272707</v>
      </c>
      <c r="Q23" s="172">
        <f t="shared" si="11"/>
        <v>1.2177835051546393</v>
      </c>
      <c r="R23" s="172">
        <f t="shared" si="11"/>
        <v>0.20004495392222976</v>
      </c>
      <c r="S23" s="172">
        <f t="shared" si="11"/>
        <v>-0.46912483340737454</v>
      </c>
      <c r="T23" s="172">
        <f t="shared" si="11"/>
        <v>-0.20503528514209424</v>
      </c>
      <c r="U23" s="172">
        <f t="shared" si="11"/>
        <v>0.105745584618824</v>
      </c>
      <c r="V23" s="172">
        <f t="shared" si="11"/>
        <v>-0.07278311965811968</v>
      </c>
      <c r="W23" s="172">
        <f t="shared" si="11"/>
        <v>0.1810626298604927</v>
      </c>
      <c r="X23" s="172">
        <f t="shared" si="11"/>
        <v>0.045333839150227595</v>
      </c>
    </row>
    <row r="24" spans="2:14" ht="12.75">
      <c r="B24" s="395" t="s">
        <v>248</v>
      </c>
      <c r="C24" s="396"/>
      <c r="D24" s="396"/>
      <c r="E24" s="396"/>
      <c r="F24" s="396"/>
      <c r="G24" s="396"/>
      <c r="H24" s="396"/>
      <c r="I24" s="396"/>
      <c r="J24" s="396"/>
      <c r="K24" s="396"/>
      <c r="L24" s="396"/>
      <c r="M24" s="70"/>
      <c r="N24" s="50"/>
    </row>
    <row r="26" spans="13:25" ht="12.75">
      <c r="M26" s="263"/>
      <c r="P26" s="277"/>
      <c r="Q26" s="277"/>
      <c r="R26" s="277"/>
      <c r="S26" s="277"/>
      <c r="T26" s="277"/>
      <c r="U26" s="277"/>
      <c r="V26" s="277"/>
      <c r="W26" s="277"/>
      <c r="X26" s="277"/>
      <c r="Y26" s="339"/>
    </row>
    <row r="27" spans="2:24" ht="12.75">
      <c r="B27" s="151"/>
      <c r="C27" s="149"/>
      <c r="D27" s="149"/>
      <c r="E27" s="149"/>
      <c r="F27" s="149"/>
      <c r="G27" s="149"/>
      <c r="H27" s="149"/>
      <c r="I27" s="149"/>
      <c r="J27" s="149"/>
      <c r="K27" s="149"/>
      <c r="L27" s="149"/>
      <c r="M27" s="260"/>
      <c r="T27" s="277"/>
      <c r="U27" s="277"/>
      <c r="V27" s="277"/>
      <c r="W27" s="277"/>
      <c r="X27" s="277"/>
    </row>
    <row r="28" spans="2:24" ht="12.75">
      <c r="B28" s="151"/>
      <c r="C28" s="149"/>
      <c r="D28" s="149"/>
      <c r="E28" s="149"/>
      <c r="F28" s="149"/>
      <c r="G28" s="149"/>
      <c r="H28" s="149"/>
      <c r="I28" s="149"/>
      <c r="J28" s="149"/>
      <c r="K28" s="149"/>
      <c r="L28" s="149"/>
      <c r="M28" s="260"/>
      <c r="T28" s="277"/>
      <c r="U28" s="277"/>
      <c r="V28" s="277"/>
      <c r="W28" s="277"/>
      <c r="X28" s="277"/>
    </row>
    <row r="29" spans="2:24" ht="12.75">
      <c r="B29" s="151"/>
      <c r="C29" s="149"/>
      <c r="D29" s="149"/>
      <c r="E29" s="149"/>
      <c r="F29" s="149"/>
      <c r="G29" s="149"/>
      <c r="H29" s="149"/>
      <c r="I29" s="149"/>
      <c r="J29" s="149"/>
      <c r="K29" s="149"/>
      <c r="L29" s="149"/>
      <c r="M29" s="260"/>
      <c r="T29" s="277"/>
      <c r="U29" s="277"/>
      <c r="V29" s="277"/>
      <c r="W29" s="277"/>
      <c r="X29" s="277"/>
    </row>
    <row r="30" spans="2:13" ht="12.75">
      <c r="B30" s="261"/>
      <c r="C30" s="262"/>
      <c r="D30" s="262"/>
      <c r="E30" s="262"/>
      <c r="F30" s="262"/>
      <c r="G30" s="262"/>
      <c r="H30" s="262"/>
      <c r="I30" s="262"/>
      <c r="J30" s="262"/>
      <c r="K30" s="262"/>
      <c r="L30" s="262"/>
      <c r="M30" s="264"/>
    </row>
    <row r="46" ht="12.75">
      <c r="B46" s="47"/>
    </row>
    <row r="47" ht="12.75">
      <c r="B47" s="268" t="s">
        <v>249</v>
      </c>
    </row>
    <row r="48" spans="3:12" ht="12.75">
      <c r="C48" s="142"/>
      <c r="D48" s="142"/>
      <c r="E48" s="142"/>
      <c r="F48" s="142"/>
      <c r="G48" s="142"/>
      <c r="H48" s="142"/>
      <c r="I48" s="142"/>
      <c r="J48" s="142"/>
      <c r="K48" s="142"/>
      <c r="L48" s="142"/>
    </row>
    <row r="49" spans="16:24" s="151" customFormat="1" ht="12.75">
      <c r="P49" s="143"/>
      <c r="Q49" s="143"/>
      <c r="R49" s="143"/>
      <c r="S49" s="143"/>
      <c r="T49" s="143"/>
      <c r="U49" s="143"/>
      <c r="V49" s="143"/>
      <c r="W49" s="143"/>
      <c r="X49" s="143"/>
    </row>
    <row r="50" spans="16:24" s="151" customFormat="1" ht="12.75">
      <c r="P50" s="143"/>
      <c r="Q50" s="143"/>
      <c r="R50" s="143"/>
      <c r="S50" s="143"/>
      <c r="T50" s="143"/>
      <c r="U50" s="143"/>
      <c r="V50" s="143"/>
      <c r="W50" s="143"/>
      <c r="X50" s="143"/>
    </row>
    <row r="51" spans="3:13" s="143" customFormat="1" ht="12.75" hidden="1">
      <c r="C51" s="172">
        <f>+C22/SUM($C22:$L22)</f>
        <v>0.04195568851079742</v>
      </c>
      <c r="D51" s="172">
        <f aca="true" t="shared" si="12" ref="D51:L51">+D22/SUM($C22:$L22)</f>
        <v>0.01450874076843975</v>
      </c>
      <c r="E51" s="172">
        <f t="shared" si="12"/>
        <v>0.08318220061699542</v>
      </c>
      <c r="F51" s="172">
        <f t="shared" si="12"/>
        <v>0.04208656632700757</v>
      </c>
      <c r="G51" s="172">
        <f t="shared" si="12"/>
        <v>0.09802748434140413</v>
      </c>
      <c r="H51" s="172">
        <f t="shared" si="12"/>
        <v>0.16726184911657474</v>
      </c>
      <c r="I51" s="172">
        <f t="shared" si="12"/>
        <v>0.28000373936617745</v>
      </c>
      <c r="J51" s="172">
        <f t="shared" si="12"/>
        <v>0.06298962325885762</v>
      </c>
      <c r="K51" s="172">
        <f t="shared" si="12"/>
        <v>0.1971393848742638</v>
      </c>
      <c r="L51" s="172">
        <f t="shared" si="12"/>
        <v>0.012844722819482098</v>
      </c>
      <c r="M51" s="172"/>
    </row>
    <row r="52" spans="3:12" s="143" customFormat="1" ht="12.75" hidden="1">
      <c r="C52" s="172">
        <f aca="true" t="shared" si="13" ref="C52:L52">+C23/SUM($C23:$L23)</f>
        <v>0.0405495358899449</v>
      </c>
      <c r="D52" s="172">
        <f t="shared" si="13"/>
        <v>0.031822048001183385</v>
      </c>
      <c r="E52" s="172">
        <f t="shared" si="13"/>
        <v>0.09872046152139344</v>
      </c>
      <c r="F52" s="172">
        <f t="shared" si="13"/>
        <v>0.022096076328538147</v>
      </c>
      <c r="G52" s="172">
        <f t="shared" si="13"/>
        <v>0.07706815576347029</v>
      </c>
      <c r="H52" s="172">
        <f t="shared" si="13"/>
        <v>0.18290743685514588</v>
      </c>
      <c r="I52" s="172">
        <f t="shared" si="13"/>
        <v>0.25675825598165747</v>
      </c>
      <c r="J52" s="172">
        <f t="shared" si="13"/>
        <v>0.07357346251987722</v>
      </c>
      <c r="K52" s="172">
        <f t="shared" si="13"/>
        <v>0.2038016345549351</v>
      </c>
      <c r="L52" s="172">
        <f t="shared" si="13"/>
        <v>0.012702932583854147</v>
      </c>
    </row>
    <row r="53" spans="3:24" s="151" customFormat="1" ht="12.75">
      <c r="C53" s="149"/>
      <c r="D53" s="149"/>
      <c r="E53" s="149"/>
      <c r="F53" s="149"/>
      <c r="G53" s="149"/>
      <c r="H53" s="149"/>
      <c r="I53" s="149"/>
      <c r="J53" s="149"/>
      <c r="K53" s="149"/>
      <c r="L53" s="149"/>
      <c r="P53" s="143"/>
      <c r="Q53" s="143"/>
      <c r="R53" s="143"/>
      <c r="S53" s="143"/>
      <c r="T53" s="143"/>
      <c r="U53" s="143"/>
      <c r="V53" s="143"/>
      <c r="W53" s="143"/>
      <c r="X53" s="143"/>
    </row>
    <row r="54" spans="16:24" s="151" customFormat="1" ht="12.75">
      <c r="P54" s="143"/>
      <c r="Q54" s="143"/>
      <c r="R54" s="143"/>
      <c r="S54" s="143"/>
      <c r="T54" s="143"/>
      <c r="U54" s="143"/>
      <c r="V54" s="143"/>
      <c r="W54" s="143"/>
      <c r="X54" s="143"/>
    </row>
    <row r="55" spans="16:24" s="151" customFormat="1" ht="12.75">
      <c r="P55" s="143"/>
      <c r="Q55" s="143"/>
      <c r="R55" s="143"/>
      <c r="S55" s="143"/>
      <c r="T55" s="143"/>
      <c r="U55" s="143"/>
      <c r="V55" s="143"/>
      <c r="W55" s="143"/>
      <c r="X55" s="143"/>
    </row>
  </sheetData>
  <sheetProtection/>
  <mergeCells count="5">
    <mergeCell ref="B6:B7"/>
    <mergeCell ref="B2:L2"/>
    <mergeCell ref="B3:L3"/>
    <mergeCell ref="B4:L4"/>
    <mergeCell ref="B24:L2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51"/>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0.8515625" style="20" customWidth="1"/>
    <col min="3" max="4" width="11.7109375" style="20" customWidth="1"/>
    <col min="5" max="5" width="14.421875" style="20" customWidth="1"/>
    <col min="6" max="6" width="10.8515625" style="20" customWidth="1"/>
    <col min="7" max="7" width="11.8515625" style="20" customWidth="1"/>
    <col min="8" max="8" width="12.421875" style="20" customWidth="1"/>
    <col min="9" max="9" width="13.421875" style="20" customWidth="1"/>
    <col min="10" max="10" width="10.8515625" style="20" customWidth="1"/>
    <col min="11" max="11" width="11.421875" style="20" customWidth="1"/>
    <col min="12" max="12" width="10.8515625" style="20" customWidth="1"/>
    <col min="13" max="13" width="2.00390625" style="20" customWidth="1"/>
    <col min="14" max="14" width="12.7109375" style="20" bestFit="1" customWidth="1"/>
    <col min="15" max="15" width="10.8515625" style="151" customWidth="1"/>
    <col min="16" max="24" width="10.8515625" style="143" hidden="1" customWidth="1"/>
    <col min="25" max="25" width="10.8515625" style="151" customWidth="1"/>
    <col min="26" max="16384" width="10.8515625" style="20" customWidth="1"/>
  </cols>
  <sheetData>
    <row r="1" ht="6.75" customHeight="1"/>
    <row r="2" spans="2:14" ht="12.75">
      <c r="B2" s="399" t="s">
        <v>66</v>
      </c>
      <c r="C2" s="399"/>
      <c r="D2" s="399"/>
      <c r="E2" s="399"/>
      <c r="F2" s="399"/>
      <c r="G2" s="399"/>
      <c r="H2" s="399"/>
      <c r="I2" s="399"/>
      <c r="J2" s="399"/>
      <c r="K2" s="399"/>
      <c r="L2" s="399"/>
      <c r="M2" s="251"/>
      <c r="N2" s="45" t="s">
        <v>151</v>
      </c>
    </row>
    <row r="3" spans="2:13" ht="14.25" customHeight="1">
      <c r="B3" s="399" t="s">
        <v>48</v>
      </c>
      <c r="C3" s="399"/>
      <c r="D3" s="399"/>
      <c r="E3" s="399"/>
      <c r="F3" s="399"/>
      <c r="G3" s="399"/>
      <c r="H3" s="399"/>
      <c r="I3" s="399"/>
      <c r="J3" s="399"/>
      <c r="K3" s="399"/>
      <c r="L3" s="399"/>
      <c r="M3" s="251"/>
    </row>
    <row r="4" spans="2:13" ht="12.75">
      <c r="B4" s="399" t="s">
        <v>28</v>
      </c>
      <c r="C4" s="399"/>
      <c r="D4" s="399"/>
      <c r="E4" s="399"/>
      <c r="F4" s="399"/>
      <c r="G4" s="399"/>
      <c r="H4" s="399"/>
      <c r="I4" s="399"/>
      <c r="J4" s="399"/>
      <c r="K4" s="399"/>
      <c r="L4" s="399"/>
      <c r="M4" s="251"/>
    </row>
    <row r="5" spans="2:12" ht="12.75">
      <c r="B5" s="118"/>
      <c r="C5" s="118"/>
      <c r="D5" s="118"/>
      <c r="E5" s="118"/>
      <c r="F5" s="118"/>
      <c r="G5" s="118"/>
      <c r="H5" s="118"/>
      <c r="I5" s="118"/>
      <c r="J5" s="119"/>
      <c r="K5" s="118"/>
      <c r="L5" s="120"/>
    </row>
    <row r="6" spans="2:13" ht="12.75">
      <c r="B6" s="397" t="s">
        <v>13</v>
      </c>
      <c r="C6" s="252" t="s">
        <v>24</v>
      </c>
      <c r="D6" s="252" t="s">
        <v>24</v>
      </c>
      <c r="E6" s="252" t="s">
        <v>26</v>
      </c>
      <c r="F6" s="252" t="s">
        <v>24</v>
      </c>
      <c r="G6" s="252" t="s">
        <v>25</v>
      </c>
      <c r="H6" s="252" t="s">
        <v>25</v>
      </c>
      <c r="I6" s="252" t="s">
        <v>24</v>
      </c>
      <c r="J6" s="252" t="s">
        <v>24</v>
      </c>
      <c r="K6" s="252" t="s">
        <v>24</v>
      </c>
      <c r="L6" s="252" t="s">
        <v>157</v>
      </c>
      <c r="M6" s="1"/>
    </row>
    <row r="7" spans="2:24" ht="12.75">
      <c r="B7" s="398"/>
      <c r="C7" s="253" t="s">
        <v>23</v>
      </c>
      <c r="D7" s="253" t="s">
        <v>22</v>
      </c>
      <c r="E7" s="253" t="s">
        <v>21</v>
      </c>
      <c r="F7" s="253" t="s">
        <v>20</v>
      </c>
      <c r="G7" s="253" t="s">
        <v>19</v>
      </c>
      <c r="H7" s="253" t="s">
        <v>18</v>
      </c>
      <c r="I7" s="253" t="s">
        <v>17</v>
      </c>
      <c r="J7" s="253" t="s">
        <v>16</v>
      </c>
      <c r="K7" s="253" t="s">
        <v>15</v>
      </c>
      <c r="L7" s="253" t="s">
        <v>158</v>
      </c>
      <c r="M7" s="1"/>
      <c r="P7" s="278" t="str">
        <f>+C7</f>
        <v>Coquimbo</v>
      </c>
      <c r="Q7" s="278" t="str">
        <f aca="true" t="shared" si="0" ref="Q7:V7">+D7</f>
        <v>Valparaíso</v>
      </c>
      <c r="R7" s="278" t="str">
        <f t="shared" si="0"/>
        <v>Metropolitana</v>
      </c>
      <c r="S7" s="278" t="str">
        <f t="shared" si="0"/>
        <v>O´Higgins</v>
      </c>
      <c r="T7" s="278" t="str">
        <f t="shared" si="0"/>
        <v>Maule</v>
      </c>
      <c r="U7" s="278" t="str">
        <f t="shared" si="0"/>
        <v>Bío Bío</v>
      </c>
      <c r="V7" s="278" t="str">
        <f t="shared" si="0"/>
        <v>La Araucanía</v>
      </c>
      <c r="W7" s="278" t="str">
        <f>+J7</f>
        <v>Los Ríos</v>
      </c>
      <c r="X7" s="278" t="str">
        <f>+K7</f>
        <v>Los Lagos</v>
      </c>
    </row>
    <row r="8" spans="2:13" ht="12.75">
      <c r="B8" s="121" t="s">
        <v>11</v>
      </c>
      <c r="C8" s="84">
        <v>131241.4</v>
      </c>
      <c r="D8" s="122">
        <v>21402.7</v>
      </c>
      <c r="E8" s="122">
        <v>82529.4</v>
      </c>
      <c r="F8" s="122">
        <v>49669.7</v>
      </c>
      <c r="G8" s="122">
        <v>62218.6</v>
      </c>
      <c r="H8" s="122">
        <v>104593.9</v>
      </c>
      <c r="I8" s="122">
        <v>420346.7</v>
      </c>
      <c r="J8" s="121"/>
      <c r="K8" s="122">
        <v>419319.1</v>
      </c>
      <c r="L8" s="122"/>
      <c r="M8" s="70"/>
    </row>
    <row r="9" spans="2:24" ht="12.75">
      <c r="B9" s="123" t="s">
        <v>10</v>
      </c>
      <c r="C9" s="124">
        <v>110721.3</v>
      </c>
      <c r="D9" s="124">
        <v>14420.5</v>
      </c>
      <c r="E9" s="124">
        <v>63776.2</v>
      </c>
      <c r="F9" s="124">
        <v>57186.7</v>
      </c>
      <c r="G9" s="124">
        <v>57216.7</v>
      </c>
      <c r="H9" s="124">
        <v>113195.2</v>
      </c>
      <c r="I9" s="124">
        <v>297628.6</v>
      </c>
      <c r="J9" s="123"/>
      <c r="K9" s="124">
        <v>367637.1</v>
      </c>
      <c r="L9" s="124"/>
      <c r="M9" s="70"/>
      <c r="P9" s="172">
        <f aca="true" t="shared" si="1" ref="P9:X21">+C9/C8-1</f>
        <v>-0.15635386394841866</v>
      </c>
      <c r="Q9" s="172">
        <f t="shared" si="1"/>
        <v>-0.32622986819419986</v>
      </c>
      <c r="R9" s="172">
        <f t="shared" si="1"/>
        <v>-0.22723053845053998</v>
      </c>
      <c r="S9" s="172">
        <f t="shared" si="1"/>
        <v>0.1513397503910836</v>
      </c>
      <c r="T9" s="172">
        <f t="shared" si="1"/>
        <v>-0.0803923585551588</v>
      </c>
      <c r="U9" s="172">
        <f t="shared" si="1"/>
        <v>0.08223519727249862</v>
      </c>
      <c r="V9" s="172">
        <f t="shared" si="1"/>
        <v>-0.2919449587685594</v>
      </c>
      <c r="W9" s="172" t="e">
        <f t="shared" si="1"/>
        <v>#DIV/0!</v>
      </c>
      <c r="X9" s="172">
        <f t="shared" si="1"/>
        <v>-0.12325219623909334</v>
      </c>
    </row>
    <row r="10" spans="2:24" ht="12.75">
      <c r="B10" s="123" t="s">
        <v>9</v>
      </c>
      <c r="C10" s="124">
        <v>109620</v>
      </c>
      <c r="D10" s="124">
        <v>15000</v>
      </c>
      <c r="E10" s="124">
        <v>63360</v>
      </c>
      <c r="F10" s="124">
        <v>65550</v>
      </c>
      <c r="G10" s="124">
        <v>57190</v>
      </c>
      <c r="H10" s="124">
        <v>128320</v>
      </c>
      <c r="I10" s="124">
        <v>302400</v>
      </c>
      <c r="J10" s="123"/>
      <c r="K10" s="124">
        <v>390784</v>
      </c>
      <c r="L10" s="124"/>
      <c r="M10" s="70"/>
      <c r="P10" s="172">
        <f t="shared" si="1"/>
        <v>-0.009946595641489031</v>
      </c>
      <c r="Q10" s="172">
        <f t="shared" si="1"/>
        <v>0.04018584653791479</v>
      </c>
      <c r="R10" s="172">
        <f t="shared" si="1"/>
        <v>-0.0065259454153743235</v>
      </c>
      <c r="S10" s="172">
        <f t="shared" si="1"/>
        <v>0.14624554310705107</v>
      </c>
      <c r="T10" s="172">
        <f t="shared" si="1"/>
        <v>-0.00046664697544596123</v>
      </c>
      <c r="U10" s="172">
        <f t="shared" si="1"/>
        <v>0.13361697315787247</v>
      </c>
      <c r="V10" s="172">
        <f t="shared" si="1"/>
        <v>0.016031389456524048</v>
      </c>
      <c r="W10" s="172" t="e">
        <f t="shared" si="1"/>
        <v>#DIV/0!</v>
      </c>
      <c r="X10" s="172">
        <f t="shared" si="1"/>
        <v>0.06296127349497649</v>
      </c>
    </row>
    <row r="11" spans="2:24" ht="12.75">
      <c r="B11" s="123" t="s">
        <v>8</v>
      </c>
      <c r="C11" s="124">
        <v>106540.8</v>
      </c>
      <c r="D11" s="124">
        <v>25575</v>
      </c>
      <c r="E11" s="124">
        <v>43227.6</v>
      </c>
      <c r="F11" s="124">
        <v>56512.8</v>
      </c>
      <c r="G11" s="124">
        <v>42448</v>
      </c>
      <c r="H11" s="124">
        <v>127498.3</v>
      </c>
      <c r="I11" s="124">
        <v>321303.4</v>
      </c>
      <c r="J11" s="123"/>
      <c r="K11" s="124">
        <v>380683.8</v>
      </c>
      <c r="L11" s="124"/>
      <c r="M11" s="70"/>
      <c r="P11" s="172">
        <f t="shared" si="1"/>
        <v>-0.028089764641488713</v>
      </c>
      <c r="Q11" s="172">
        <f t="shared" si="1"/>
        <v>0.7050000000000001</v>
      </c>
      <c r="R11" s="172">
        <f t="shared" si="1"/>
        <v>-0.3177462121212121</v>
      </c>
      <c r="S11" s="172">
        <f t="shared" si="1"/>
        <v>-0.13786727688787181</v>
      </c>
      <c r="T11" s="172">
        <f t="shared" si="1"/>
        <v>-0.2577723378212974</v>
      </c>
      <c r="U11" s="172">
        <f t="shared" si="1"/>
        <v>-0.006403522443890197</v>
      </c>
      <c r="V11" s="172">
        <f t="shared" si="1"/>
        <v>0.06251124338624336</v>
      </c>
      <c r="W11" s="172" t="e">
        <f t="shared" si="1"/>
        <v>#DIV/0!</v>
      </c>
      <c r="X11" s="172">
        <f t="shared" si="1"/>
        <v>-0.02584599164755985</v>
      </c>
    </row>
    <row r="12" spans="2:24" ht="12.75">
      <c r="B12" s="123" t="s">
        <v>7</v>
      </c>
      <c r="C12" s="124">
        <v>120464.5</v>
      </c>
      <c r="D12" s="124">
        <v>31322.5</v>
      </c>
      <c r="E12" s="124">
        <v>59440</v>
      </c>
      <c r="F12" s="124">
        <v>44261.8</v>
      </c>
      <c r="G12" s="124">
        <v>63355.6</v>
      </c>
      <c r="H12" s="124">
        <v>131670</v>
      </c>
      <c r="I12" s="124">
        <v>446083.8</v>
      </c>
      <c r="J12" s="123"/>
      <c r="K12" s="124">
        <v>482834</v>
      </c>
      <c r="L12" s="124"/>
      <c r="M12" s="70"/>
      <c r="P12" s="172">
        <f t="shared" si="1"/>
        <v>0.13068890040247494</v>
      </c>
      <c r="Q12" s="172">
        <f t="shared" si="1"/>
        <v>0.22473118279569881</v>
      </c>
      <c r="R12" s="172">
        <f t="shared" si="1"/>
        <v>0.37504742340541686</v>
      </c>
      <c r="S12" s="172">
        <f t="shared" si="1"/>
        <v>-0.2167827465636104</v>
      </c>
      <c r="T12" s="172">
        <f t="shared" si="1"/>
        <v>0.49254617414248014</v>
      </c>
      <c r="U12" s="172">
        <f t="shared" si="1"/>
        <v>0.0327196519483004</v>
      </c>
      <c r="V12" s="172">
        <f t="shared" si="1"/>
        <v>0.3883569237051334</v>
      </c>
      <c r="W12" s="172" t="e">
        <f t="shared" si="1"/>
        <v>#DIV/0!</v>
      </c>
      <c r="X12" s="172">
        <f t="shared" si="1"/>
        <v>0.26833345679537723</v>
      </c>
    </row>
    <row r="13" spans="2:24" ht="12.75">
      <c r="B13" s="123" t="s">
        <v>6</v>
      </c>
      <c r="C13" s="124">
        <v>56405.8</v>
      </c>
      <c r="D13" s="124">
        <v>20394.8</v>
      </c>
      <c r="E13" s="124">
        <v>87051.9</v>
      </c>
      <c r="F13" s="124">
        <v>22726.8</v>
      </c>
      <c r="G13" s="124">
        <v>44973.2</v>
      </c>
      <c r="H13" s="124">
        <v>97715.5</v>
      </c>
      <c r="I13" s="124">
        <v>212544.8</v>
      </c>
      <c r="J13" s="124">
        <v>72423.3</v>
      </c>
      <c r="K13" s="124">
        <v>213984.4</v>
      </c>
      <c r="L13" s="124"/>
      <c r="M13" s="70"/>
      <c r="P13" s="172">
        <f t="shared" si="1"/>
        <v>-0.5317641296813584</v>
      </c>
      <c r="Q13" s="172">
        <f t="shared" si="1"/>
        <v>-0.3488770053475936</v>
      </c>
      <c r="R13" s="172">
        <f t="shared" si="1"/>
        <v>0.4645339838492597</v>
      </c>
      <c r="S13" s="172">
        <f t="shared" si="1"/>
        <v>-0.4865369234870701</v>
      </c>
      <c r="T13" s="172">
        <f t="shared" si="1"/>
        <v>-0.29014641168262956</v>
      </c>
      <c r="U13" s="172">
        <f t="shared" si="1"/>
        <v>-0.25787574998101315</v>
      </c>
      <c r="V13" s="172">
        <f t="shared" si="1"/>
        <v>-0.523531677231946</v>
      </c>
      <c r="W13" s="172" t="e">
        <f t="shared" si="1"/>
        <v>#DIV/0!</v>
      </c>
      <c r="X13" s="172">
        <f t="shared" si="1"/>
        <v>-0.5568158000472212</v>
      </c>
    </row>
    <row r="14" spans="2:24" ht="12.75">
      <c r="B14" s="123" t="s">
        <v>5</v>
      </c>
      <c r="C14" s="124">
        <v>66880</v>
      </c>
      <c r="D14" s="124">
        <v>27744</v>
      </c>
      <c r="E14" s="124">
        <v>86001.3</v>
      </c>
      <c r="F14" s="124">
        <v>26690</v>
      </c>
      <c r="G14" s="124">
        <v>58550.1</v>
      </c>
      <c r="H14" s="124">
        <v>135270</v>
      </c>
      <c r="I14" s="124">
        <v>220224</v>
      </c>
      <c r="J14" s="124">
        <v>86623.2</v>
      </c>
      <c r="K14" s="124">
        <v>251518.8</v>
      </c>
      <c r="L14" s="124"/>
      <c r="M14" s="70"/>
      <c r="P14" s="172">
        <f t="shared" si="1"/>
        <v>0.18569366979991409</v>
      </c>
      <c r="Q14" s="172">
        <f t="shared" si="1"/>
        <v>0.3603467550552102</v>
      </c>
      <c r="R14" s="172">
        <f t="shared" si="1"/>
        <v>-0.012068662487550452</v>
      </c>
      <c r="S14" s="172">
        <f t="shared" si="1"/>
        <v>0.1743844271960857</v>
      </c>
      <c r="T14" s="172">
        <f t="shared" si="1"/>
        <v>0.30188868036964234</v>
      </c>
      <c r="U14" s="172">
        <f t="shared" si="1"/>
        <v>0.3843249023952189</v>
      </c>
      <c r="V14" s="172">
        <f t="shared" si="1"/>
        <v>0.036129794753859024</v>
      </c>
      <c r="W14" s="172">
        <f t="shared" si="1"/>
        <v>0.19606811620017317</v>
      </c>
      <c r="X14" s="172">
        <f t="shared" si="1"/>
        <v>0.17540717921493343</v>
      </c>
    </row>
    <row r="15" spans="2:24" ht="12.75">
      <c r="B15" s="123" t="s">
        <v>4</v>
      </c>
      <c r="C15" s="124">
        <v>51591.1</v>
      </c>
      <c r="D15" s="124">
        <v>8350.7</v>
      </c>
      <c r="E15" s="124">
        <v>53081.5</v>
      </c>
      <c r="F15" s="124">
        <v>3752.9</v>
      </c>
      <c r="G15" s="124">
        <v>31915.5</v>
      </c>
      <c r="H15" s="124">
        <v>109800.8</v>
      </c>
      <c r="I15" s="124">
        <v>265552.8</v>
      </c>
      <c r="J15" s="124">
        <v>121619.2</v>
      </c>
      <c r="K15" s="124">
        <v>272625</v>
      </c>
      <c r="L15" s="124"/>
      <c r="M15" s="70"/>
      <c r="P15" s="172">
        <f t="shared" si="1"/>
        <v>-0.22860197368421054</v>
      </c>
      <c r="Q15" s="172">
        <f t="shared" si="1"/>
        <v>-0.6990087946943483</v>
      </c>
      <c r="R15" s="172">
        <f t="shared" si="1"/>
        <v>-0.38278258584463265</v>
      </c>
      <c r="S15" s="172">
        <f t="shared" si="1"/>
        <v>-0.8593892843761708</v>
      </c>
      <c r="T15" s="172">
        <f t="shared" si="1"/>
        <v>-0.4549027243335195</v>
      </c>
      <c r="U15" s="172">
        <f t="shared" si="1"/>
        <v>-0.18828417239594886</v>
      </c>
      <c r="V15" s="172">
        <f t="shared" si="1"/>
        <v>0.20583042720139488</v>
      </c>
      <c r="W15" s="172">
        <f t="shared" si="1"/>
        <v>0.40400262285392374</v>
      </c>
      <c r="X15" s="172">
        <f t="shared" si="1"/>
        <v>0.08391499959446369</v>
      </c>
    </row>
    <row r="16" spans="2:24" ht="15" customHeight="1">
      <c r="B16" s="123" t="s">
        <v>3</v>
      </c>
      <c r="C16" s="124">
        <v>78466.3</v>
      </c>
      <c r="D16" s="124">
        <v>11764.2</v>
      </c>
      <c r="E16" s="124">
        <v>86174.8</v>
      </c>
      <c r="F16" s="124">
        <v>38358</v>
      </c>
      <c r="G16" s="124">
        <v>57455.5</v>
      </c>
      <c r="H16" s="124">
        <v>165633.4</v>
      </c>
      <c r="I16" s="124">
        <v>315519.2</v>
      </c>
      <c r="J16" s="124">
        <v>124687.7</v>
      </c>
      <c r="K16" s="124">
        <v>197024.2</v>
      </c>
      <c r="L16" s="124"/>
      <c r="M16" s="70"/>
      <c r="P16" s="172">
        <f t="shared" si="1"/>
        <v>0.520927059124539</v>
      </c>
      <c r="Q16" s="172">
        <f t="shared" si="1"/>
        <v>0.4087681272228676</v>
      </c>
      <c r="R16" s="172">
        <f t="shared" si="1"/>
        <v>0.6234431958403588</v>
      </c>
      <c r="S16" s="172">
        <f t="shared" si="1"/>
        <v>9.220895840549975</v>
      </c>
      <c r="T16" s="172">
        <f t="shared" si="1"/>
        <v>0.800238128808886</v>
      </c>
      <c r="U16" s="172">
        <f t="shared" si="1"/>
        <v>0.5084899199277235</v>
      </c>
      <c r="V16" s="172">
        <f t="shared" si="1"/>
        <v>0.1881599440864492</v>
      </c>
      <c r="W16" s="172">
        <f t="shared" si="1"/>
        <v>0.025230391254012607</v>
      </c>
      <c r="X16" s="172">
        <f t="shared" si="1"/>
        <v>-0.2773069234296194</v>
      </c>
    </row>
    <row r="17" spans="2:24" ht="12.75">
      <c r="B17" s="123" t="s">
        <v>2</v>
      </c>
      <c r="C17" s="124">
        <v>75516</v>
      </c>
      <c r="D17" s="124">
        <v>31084</v>
      </c>
      <c r="E17" s="124">
        <v>79125</v>
      </c>
      <c r="F17" s="124">
        <v>15805</v>
      </c>
      <c r="G17" s="124">
        <v>111620</v>
      </c>
      <c r="H17" s="124">
        <v>255835</v>
      </c>
      <c r="I17" s="124">
        <v>615990</v>
      </c>
      <c r="J17" s="124">
        <v>142120</v>
      </c>
      <c r="K17" s="124">
        <v>343081</v>
      </c>
      <c r="L17" s="124"/>
      <c r="M17" s="70"/>
      <c r="P17" s="172">
        <f t="shared" si="1"/>
        <v>-0.037599580966606094</v>
      </c>
      <c r="Q17" s="172">
        <f t="shared" si="1"/>
        <v>1.6422536169055268</v>
      </c>
      <c r="R17" s="172">
        <f t="shared" si="1"/>
        <v>-0.08180813880624038</v>
      </c>
      <c r="S17" s="172">
        <f t="shared" si="1"/>
        <v>-0.5879607904478856</v>
      </c>
      <c r="T17" s="172">
        <f t="shared" si="1"/>
        <v>0.9427208883396716</v>
      </c>
      <c r="U17" s="172">
        <f t="shared" si="1"/>
        <v>0.5445858142138</v>
      </c>
      <c r="V17" s="172">
        <f t="shared" si="1"/>
        <v>0.9523059135545475</v>
      </c>
      <c r="W17" s="172">
        <f t="shared" si="1"/>
        <v>0.13980769554655348</v>
      </c>
      <c r="X17" s="172">
        <f t="shared" si="1"/>
        <v>0.7413140111722316</v>
      </c>
    </row>
    <row r="18" spans="2:24" ht="12.75">
      <c r="B18" s="123" t="s">
        <v>122</v>
      </c>
      <c r="C18" s="124">
        <v>41067.3</v>
      </c>
      <c r="D18" s="124">
        <v>16000.460000000001</v>
      </c>
      <c r="E18" s="124">
        <v>88299.36</v>
      </c>
      <c r="F18" s="124">
        <v>25652.06</v>
      </c>
      <c r="G18" s="124">
        <v>34486.4</v>
      </c>
      <c r="H18" s="124">
        <v>101006.31999999999</v>
      </c>
      <c r="I18" s="124">
        <v>272034.6</v>
      </c>
      <c r="J18" s="124">
        <v>122928.38999999998</v>
      </c>
      <c r="K18" s="124">
        <v>385711.38</v>
      </c>
      <c r="L18" s="124"/>
      <c r="M18" s="70"/>
      <c r="P18" s="172">
        <f t="shared" si="1"/>
        <v>-0.4561774988081996</v>
      </c>
      <c r="Q18" s="172">
        <f t="shared" si="1"/>
        <v>-0.4852509329558615</v>
      </c>
      <c r="R18" s="172">
        <f t="shared" si="1"/>
        <v>0.11594767772511849</v>
      </c>
      <c r="S18" s="172">
        <f t="shared" si="1"/>
        <v>0.6230344827586207</v>
      </c>
      <c r="T18" s="172">
        <f t="shared" si="1"/>
        <v>-0.6910374484859344</v>
      </c>
      <c r="U18" s="172">
        <f t="shared" si="1"/>
        <v>-0.6051895948560596</v>
      </c>
      <c r="V18" s="172">
        <f t="shared" si="1"/>
        <v>-0.5583782204256563</v>
      </c>
      <c r="W18" s="172">
        <f t="shared" si="1"/>
        <v>-0.1350380664227414</v>
      </c>
      <c r="X18" s="172">
        <f t="shared" si="1"/>
        <v>0.1242574785546271</v>
      </c>
    </row>
    <row r="19" spans="2:24" ht="12.75">
      <c r="B19" s="123" t="s">
        <v>131</v>
      </c>
      <c r="C19" s="124">
        <v>51863.11990316702</v>
      </c>
      <c r="D19" s="124">
        <v>16391.720884117247</v>
      </c>
      <c r="E19" s="124">
        <v>112644.46653744439</v>
      </c>
      <c r="F19" s="124">
        <v>19220.222324539445</v>
      </c>
      <c r="G19" s="124">
        <v>69067.98620052033</v>
      </c>
      <c r="H19" s="124">
        <v>152632.15975101327</v>
      </c>
      <c r="I19" s="124">
        <v>314581.7498466616</v>
      </c>
      <c r="J19" s="124">
        <v>76034.57195077253</v>
      </c>
      <c r="K19" s="124">
        <v>340220.209903059</v>
      </c>
      <c r="L19" s="124"/>
      <c r="M19" s="70"/>
      <c r="P19" s="172">
        <f t="shared" si="1"/>
        <v>0.2628811707408818</v>
      </c>
      <c r="Q19" s="172">
        <f t="shared" si="1"/>
        <v>0.02445310223063868</v>
      </c>
      <c r="R19" s="172">
        <f t="shared" si="1"/>
        <v>0.27571101916757246</v>
      </c>
      <c r="S19" s="172">
        <f t="shared" si="1"/>
        <v>-0.250733768572994</v>
      </c>
      <c r="T19" s="172">
        <f t="shared" si="1"/>
        <v>1.002760108347648</v>
      </c>
      <c r="U19" s="172">
        <f t="shared" si="1"/>
        <v>0.5111149455896749</v>
      </c>
      <c r="V19" s="172">
        <f t="shared" si="1"/>
        <v>0.15640344958568364</v>
      </c>
      <c r="W19" s="172">
        <f t="shared" si="1"/>
        <v>-0.38147264475868803</v>
      </c>
      <c r="X19" s="172">
        <f t="shared" si="1"/>
        <v>-0.11794095911025748</v>
      </c>
    </row>
    <row r="20" spans="2:24" ht="12.75">
      <c r="B20" s="123" t="s">
        <v>146</v>
      </c>
      <c r="C20" s="124">
        <v>47235.5</v>
      </c>
      <c r="D20" s="124">
        <v>18070.8</v>
      </c>
      <c r="E20" s="124">
        <v>77889.39</v>
      </c>
      <c r="F20" s="124">
        <v>17620.16</v>
      </c>
      <c r="G20" s="124">
        <v>45494.03</v>
      </c>
      <c r="H20" s="124">
        <v>131819.4</v>
      </c>
      <c r="I20" s="124">
        <v>272045.36</v>
      </c>
      <c r="J20" s="124">
        <v>100735.98000000001</v>
      </c>
      <c r="K20" s="124">
        <v>344148.42000000004</v>
      </c>
      <c r="L20" s="124">
        <v>6265.9</v>
      </c>
      <c r="M20" s="70"/>
      <c r="P20" s="172">
        <f t="shared" si="1"/>
        <v>-0.089227565017438</v>
      </c>
      <c r="Q20" s="172">
        <f t="shared" si="1"/>
        <v>0.1024345843705583</v>
      </c>
      <c r="R20" s="172">
        <f t="shared" si="1"/>
        <v>-0.3085378057686604</v>
      </c>
      <c r="S20" s="172">
        <f t="shared" si="1"/>
        <v>-0.08324889782864597</v>
      </c>
      <c r="T20" s="172">
        <f t="shared" si="1"/>
        <v>-0.3413152387573555</v>
      </c>
      <c r="U20" s="172">
        <f t="shared" si="1"/>
        <v>-0.13635894155573014</v>
      </c>
      <c r="V20" s="172">
        <f t="shared" si="1"/>
        <v>-0.1352156947038261</v>
      </c>
      <c r="W20" s="172">
        <f t="shared" si="1"/>
        <v>0.3248707451818107</v>
      </c>
      <c r="X20" s="172">
        <f t="shared" si="1"/>
        <v>0.011546080986959417</v>
      </c>
    </row>
    <row r="21" spans="2:24" ht="12.75">
      <c r="B21" s="123" t="s">
        <v>178</v>
      </c>
      <c r="C21" s="124">
        <v>43406.3</v>
      </c>
      <c r="D21" s="124">
        <v>21881.1</v>
      </c>
      <c r="E21" s="124">
        <v>112928.4</v>
      </c>
      <c r="F21" s="124">
        <v>33402.9</v>
      </c>
      <c r="G21" s="124">
        <v>59085.4</v>
      </c>
      <c r="H21" s="124">
        <v>137049.3</v>
      </c>
      <c r="I21" s="124">
        <v>305709.5</v>
      </c>
      <c r="J21" s="124">
        <v>62139.8</v>
      </c>
      <c r="K21" s="124">
        <v>178633.9</v>
      </c>
      <c r="L21" s="124">
        <v>6265.44</v>
      </c>
      <c r="M21" s="70"/>
      <c r="P21" s="172">
        <f t="shared" si="1"/>
        <v>-0.0810661472832932</v>
      </c>
      <c r="Q21" s="172">
        <f t="shared" si="1"/>
        <v>0.21085397436748776</v>
      </c>
      <c r="R21" s="172">
        <f t="shared" si="1"/>
        <v>0.44985600734580156</v>
      </c>
      <c r="S21" s="172">
        <f t="shared" si="1"/>
        <v>0.8957205836950404</v>
      </c>
      <c r="T21" s="172">
        <f t="shared" si="1"/>
        <v>0.2987506272801068</v>
      </c>
      <c r="U21" s="172">
        <f t="shared" si="1"/>
        <v>0.039674736798984034</v>
      </c>
      <c r="V21" s="172">
        <f t="shared" si="1"/>
        <v>0.12374458435902014</v>
      </c>
      <c r="W21" s="172">
        <f t="shared" si="1"/>
        <v>-0.3831419518626811</v>
      </c>
      <c r="X21" s="172">
        <f t="shared" si="1"/>
        <v>-0.48093935750162686</v>
      </c>
    </row>
    <row r="22" spans="2:24" ht="12.75">
      <c r="B22" s="123" t="s">
        <v>197</v>
      </c>
      <c r="C22" s="124">
        <v>55735.817928483295</v>
      </c>
      <c r="D22" s="124">
        <v>24283.260402086016</v>
      </c>
      <c r="E22" s="124">
        <v>79277.19869993313</v>
      </c>
      <c r="F22" s="124">
        <v>28309.72260457333</v>
      </c>
      <c r="G22" s="124">
        <v>75935.70389311104</v>
      </c>
      <c r="H22" s="124">
        <v>141130.0223919691</v>
      </c>
      <c r="I22" s="124">
        <v>368994.71594551863</v>
      </c>
      <c r="J22" s="124">
        <v>87347.81615447787</v>
      </c>
      <c r="K22" s="124">
        <v>341847.43427319085</v>
      </c>
      <c r="L22" s="124">
        <v>6850.954904834283</v>
      </c>
      <c r="M22" s="70"/>
      <c r="P22" s="172">
        <f aca="true" t="shared" si="2" ref="P22:X22">+C22/C21-1</f>
        <v>0.28404904192440483</v>
      </c>
      <c r="Q22" s="172">
        <f t="shared" si="2"/>
        <v>0.10978243333680737</v>
      </c>
      <c r="R22" s="172">
        <f t="shared" si="2"/>
        <v>-0.29798705462989705</v>
      </c>
      <c r="S22" s="172">
        <f t="shared" si="2"/>
        <v>-0.15247710215061183</v>
      </c>
      <c r="T22" s="172">
        <f t="shared" si="2"/>
        <v>0.28518557703106073</v>
      </c>
      <c r="U22" s="172">
        <f t="shared" si="2"/>
        <v>0.02977557996990221</v>
      </c>
      <c r="V22" s="172">
        <f t="shared" si="2"/>
        <v>0.2070109563017133</v>
      </c>
      <c r="W22" s="172">
        <f t="shared" si="2"/>
        <v>0.4056661938802164</v>
      </c>
      <c r="X22" s="172">
        <f t="shared" si="2"/>
        <v>0.9136761514650402</v>
      </c>
    </row>
    <row r="23" spans="2:12" ht="12.75">
      <c r="B23" s="400" t="s">
        <v>249</v>
      </c>
      <c r="C23" s="401"/>
      <c r="D23" s="401"/>
      <c r="E23" s="401"/>
      <c r="F23" s="401"/>
      <c r="G23" s="401"/>
      <c r="H23" s="401"/>
      <c r="I23" s="401"/>
      <c r="J23" s="401"/>
      <c r="K23" s="401"/>
      <c r="L23" s="401"/>
    </row>
    <row r="24" spans="2:12" ht="12.75">
      <c r="B24" s="120"/>
      <c r="C24" s="120"/>
      <c r="D24" s="120"/>
      <c r="E24" s="120"/>
      <c r="F24" s="120"/>
      <c r="G24" s="120"/>
      <c r="H24" s="120"/>
      <c r="I24" s="120"/>
      <c r="J24" s="120"/>
      <c r="K24" s="120"/>
      <c r="L24" s="120"/>
    </row>
    <row r="25" spans="2:13" ht="12.75">
      <c r="B25" s="269"/>
      <c r="C25" s="270"/>
      <c r="D25" s="270"/>
      <c r="E25" s="270"/>
      <c r="F25" s="270"/>
      <c r="G25" s="270"/>
      <c r="H25" s="270"/>
      <c r="I25" s="270"/>
      <c r="J25" s="270"/>
      <c r="K25" s="270"/>
      <c r="L25" s="270"/>
      <c r="M25" s="265"/>
    </row>
    <row r="26" spans="2:13" ht="12.75">
      <c r="B26" s="269"/>
      <c r="C26" s="270"/>
      <c r="D26" s="270"/>
      <c r="E26" s="270"/>
      <c r="F26" s="270"/>
      <c r="G26" s="270"/>
      <c r="H26" s="270"/>
      <c r="I26" s="270"/>
      <c r="J26" s="270"/>
      <c r="K26" s="270"/>
      <c r="L26" s="270"/>
      <c r="M26" s="265"/>
    </row>
    <row r="27" spans="2:13" ht="12.75">
      <c r="B27" s="269"/>
      <c r="C27" s="270"/>
      <c r="D27" s="270"/>
      <c r="E27" s="270"/>
      <c r="F27" s="270"/>
      <c r="G27" s="270"/>
      <c r="H27" s="270"/>
      <c r="I27" s="270"/>
      <c r="J27" s="270"/>
      <c r="K27" s="270"/>
      <c r="L27" s="270"/>
      <c r="M27" s="265"/>
    </row>
    <row r="28" spans="2:13" ht="12.75">
      <c r="B28" s="269"/>
      <c r="C28" s="271"/>
      <c r="D28" s="271"/>
      <c r="E28" s="271"/>
      <c r="F28" s="271"/>
      <c r="G28" s="271"/>
      <c r="H28" s="271"/>
      <c r="I28" s="271"/>
      <c r="J28" s="271"/>
      <c r="K28" s="271"/>
      <c r="L28" s="271"/>
      <c r="M28" s="265"/>
    </row>
    <row r="29" spans="2:12" ht="12.75">
      <c r="B29" s="120"/>
      <c r="C29" s="120"/>
      <c r="D29" s="120"/>
      <c r="E29" s="120"/>
      <c r="F29" s="120"/>
      <c r="G29" s="120"/>
      <c r="H29" s="120"/>
      <c r="I29" s="120"/>
      <c r="J29" s="120"/>
      <c r="K29" s="120"/>
      <c r="L29" s="120"/>
    </row>
    <row r="30" spans="2:12" ht="12.75">
      <c r="B30" s="120"/>
      <c r="C30" s="120"/>
      <c r="D30" s="120"/>
      <c r="E30" s="120"/>
      <c r="F30" s="120"/>
      <c r="G30" s="120"/>
      <c r="H30" s="120"/>
      <c r="I30" s="120"/>
      <c r="J30" s="120"/>
      <c r="K30" s="120"/>
      <c r="L30" s="120"/>
    </row>
    <row r="31" spans="2:12" ht="12.75">
      <c r="B31" s="120"/>
      <c r="C31" s="120"/>
      <c r="D31" s="120"/>
      <c r="E31" s="120"/>
      <c r="F31" s="120"/>
      <c r="G31" s="120"/>
      <c r="H31" s="120"/>
      <c r="I31" s="120"/>
      <c r="J31" s="120"/>
      <c r="K31" s="120"/>
      <c r="L31" s="120"/>
    </row>
    <row r="32" spans="2:12" ht="12.75">
      <c r="B32" s="120"/>
      <c r="C32" s="120"/>
      <c r="D32" s="120"/>
      <c r="E32" s="120"/>
      <c r="F32" s="120"/>
      <c r="G32" s="120"/>
      <c r="H32" s="120"/>
      <c r="I32" s="120"/>
      <c r="J32" s="120"/>
      <c r="K32" s="120"/>
      <c r="L32" s="120"/>
    </row>
    <row r="33" spans="2:12" ht="12.75">
      <c r="B33" s="120"/>
      <c r="C33" s="120"/>
      <c r="D33" s="120"/>
      <c r="E33" s="120"/>
      <c r="F33" s="120"/>
      <c r="G33" s="120"/>
      <c r="H33" s="120"/>
      <c r="I33" s="120"/>
      <c r="J33" s="120"/>
      <c r="K33" s="120"/>
      <c r="L33" s="120"/>
    </row>
    <row r="34" spans="2:12" ht="12.75">
      <c r="B34" s="120"/>
      <c r="C34" s="120"/>
      <c r="D34" s="120"/>
      <c r="E34" s="120"/>
      <c r="F34" s="120"/>
      <c r="G34" s="120"/>
      <c r="H34" s="120"/>
      <c r="I34" s="120"/>
      <c r="J34" s="120"/>
      <c r="K34" s="120"/>
      <c r="L34" s="120"/>
    </row>
    <row r="35" spans="2:12" ht="12.75">
      <c r="B35" s="120"/>
      <c r="C35" s="120"/>
      <c r="D35" s="120"/>
      <c r="E35" s="120"/>
      <c r="F35" s="120"/>
      <c r="G35" s="120"/>
      <c r="H35" s="120"/>
      <c r="I35" s="120"/>
      <c r="J35" s="120"/>
      <c r="K35" s="120"/>
      <c r="L35" s="120"/>
    </row>
    <row r="36" spans="2:12" ht="12.75">
      <c r="B36" s="120"/>
      <c r="C36" s="120"/>
      <c r="D36" s="120"/>
      <c r="E36" s="120"/>
      <c r="F36" s="120"/>
      <c r="G36" s="120"/>
      <c r="H36" s="120"/>
      <c r="I36" s="120"/>
      <c r="J36" s="120"/>
      <c r="K36" s="120"/>
      <c r="L36" s="120"/>
    </row>
    <row r="37" spans="2:12" ht="12.75">
      <c r="B37" s="120"/>
      <c r="C37" s="120"/>
      <c r="D37" s="120"/>
      <c r="E37" s="120"/>
      <c r="F37" s="120"/>
      <c r="G37" s="120"/>
      <c r="H37" s="120"/>
      <c r="I37" s="120"/>
      <c r="J37" s="120"/>
      <c r="K37" s="120"/>
      <c r="L37" s="120"/>
    </row>
    <row r="38" spans="2:12" ht="12.75">
      <c r="B38" s="120"/>
      <c r="C38" s="120"/>
      <c r="D38" s="120"/>
      <c r="E38" s="120"/>
      <c r="F38" s="120"/>
      <c r="G38" s="120"/>
      <c r="H38" s="120"/>
      <c r="I38" s="120"/>
      <c r="J38" s="120"/>
      <c r="K38" s="120"/>
      <c r="L38" s="120"/>
    </row>
    <row r="39" spans="2:12" ht="12.75">
      <c r="B39" s="120"/>
      <c r="C39" s="120"/>
      <c r="D39" s="120"/>
      <c r="E39" s="120"/>
      <c r="F39" s="120"/>
      <c r="G39" s="120"/>
      <c r="H39" s="120"/>
      <c r="I39" s="120"/>
      <c r="J39" s="120"/>
      <c r="K39" s="120"/>
      <c r="L39" s="120"/>
    </row>
    <row r="40" spans="2:12" ht="12.75">
      <c r="B40" s="120"/>
      <c r="C40" s="120"/>
      <c r="D40" s="120"/>
      <c r="E40" s="120"/>
      <c r="F40" s="120"/>
      <c r="G40" s="120"/>
      <c r="H40" s="120"/>
      <c r="I40" s="120"/>
      <c r="J40" s="120"/>
      <c r="K40" s="120"/>
      <c r="L40" s="120"/>
    </row>
    <row r="41" spans="2:12" ht="12.75">
      <c r="B41" s="120"/>
      <c r="C41" s="120"/>
      <c r="D41" s="120"/>
      <c r="E41" s="120"/>
      <c r="F41" s="120"/>
      <c r="G41" s="120"/>
      <c r="H41" s="120"/>
      <c r="I41" s="120"/>
      <c r="J41" s="120"/>
      <c r="K41" s="120"/>
      <c r="L41" s="120"/>
    </row>
    <row r="42" spans="2:12" ht="12.75">
      <c r="B42" s="120"/>
      <c r="C42" s="120"/>
      <c r="D42" s="120"/>
      <c r="E42" s="120"/>
      <c r="F42" s="120"/>
      <c r="G42" s="120"/>
      <c r="H42" s="120"/>
      <c r="I42" s="120"/>
      <c r="J42" s="120"/>
      <c r="K42" s="120"/>
      <c r="L42" s="120"/>
    </row>
    <row r="43" spans="2:12" ht="12.75">
      <c r="B43" s="120"/>
      <c r="C43" s="120"/>
      <c r="D43" s="120"/>
      <c r="E43" s="120"/>
      <c r="F43" s="120"/>
      <c r="G43" s="120"/>
      <c r="H43" s="120"/>
      <c r="I43" s="120"/>
      <c r="J43" s="120"/>
      <c r="K43" s="120"/>
      <c r="L43" s="120"/>
    </row>
    <row r="44" spans="2:12" ht="12.75">
      <c r="B44" s="120"/>
      <c r="C44" s="120"/>
      <c r="D44" s="120"/>
      <c r="E44" s="120"/>
      <c r="F44" s="120"/>
      <c r="G44" s="120"/>
      <c r="H44" s="120"/>
      <c r="I44" s="120"/>
      <c r="J44" s="120"/>
      <c r="K44" s="120"/>
      <c r="L44" s="120"/>
    </row>
    <row r="45" spans="2:12" ht="12.75">
      <c r="B45" s="120"/>
      <c r="C45" s="120"/>
      <c r="D45" s="120"/>
      <c r="E45" s="120"/>
      <c r="F45" s="120"/>
      <c r="G45" s="120"/>
      <c r="H45" s="120"/>
      <c r="I45" s="120"/>
      <c r="J45" s="120"/>
      <c r="K45" s="120"/>
      <c r="L45" s="120"/>
    </row>
    <row r="46" spans="3:12" ht="12.75">
      <c r="C46" s="120"/>
      <c r="D46" s="120"/>
      <c r="E46" s="120"/>
      <c r="F46" s="120"/>
      <c r="G46" s="120"/>
      <c r="H46" s="120"/>
      <c r="I46" s="120"/>
      <c r="J46" s="120"/>
      <c r="K46" s="120"/>
      <c r="L46" s="120"/>
    </row>
    <row r="47" spans="2:12" ht="12.75">
      <c r="B47" s="120"/>
      <c r="C47" s="120"/>
      <c r="D47" s="120"/>
      <c r="E47" s="120"/>
      <c r="F47" s="120"/>
      <c r="G47" s="120"/>
      <c r="H47" s="120"/>
      <c r="I47" s="120"/>
      <c r="J47" s="120"/>
      <c r="K47" s="120"/>
      <c r="L47" s="120"/>
    </row>
    <row r="48" ht="12.75">
      <c r="B48" s="268" t="s">
        <v>249</v>
      </c>
    </row>
    <row r="51" spans="3:12" ht="12.75">
      <c r="C51" s="124"/>
      <c r="D51" s="124"/>
      <c r="E51" s="124"/>
      <c r="F51" s="124"/>
      <c r="G51" s="124"/>
      <c r="H51" s="124"/>
      <c r="I51" s="124"/>
      <c r="J51" s="124"/>
      <c r="K51" s="124"/>
      <c r="L51" s="124"/>
    </row>
  </sheetData>
  <sheetProtection/>
  <mergeCells count="5">
    <mergeCell ref="B6:B7"/>
    <mergeCell ref="B2:L2"/>
    <mergeCell ref="B3:L3"/>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1.421875" style="20" customWidth="1"/>
    <col min="3" max="4" width="12.00390625" style="20" customWidth="1"/>
    <col min="5" max="5" width="14.8515625" style="20" customWidth="1"/>
    <col min="6" max="8" width="12.00390625" style="20" customWidth="1"/>
    <col min="9" max="9" width="13.7109375" style="20" customWidth="1"/>
    <col min="10" max="11" width="12.00390625" style="20" customWidth="1"/>
    <col min="12" max="12" width="10.8515625" style="20" customWidth="1"/>
    <col min="13" max="13" width="1.28515625" style="20" customWidth="1"/>
    <col min="14" max="14" width="10.8515625" style="20" customWidth="1"/>
    <col min="15" max="15" width="10.8515625" style="151" customWidth="1"/>
    <col min="16" max="24" width="10.8515625" style="143" hidden="1" customWidth="1"/>
    <col min="25" max="25" width="10.8515625" style="151" customWidth="1"/>
    <col min="26" max="16384" width="10.8515625" style="20" customWidth="1"/>
  </cols>
  <sheetData>
    <row r="1" ht="6.75" customHeight="1"/>
    <row r="2" spans="2:16" ht="12.75">
      <c r="B2" s="374" t="s">
        <v>142</v>
      </c>
      <c r="C2" s="374"/>
      <c r="D2" s="374"/>
      <c r="E2" s="374"/>
      <c r="F2" s="374"/>
      <c r="G2" s="374"/>
      <c r="H2" s="374"/>
      <c r="I2" s="374"/>
      <c r="J2" s="374"/>
      <c r="K2" s="374"/>
      <c r="L2" s="374"/>
      <c r="M2" s="251"/>
      <c r="N2" s="45" t="s">
        <v>151</v>
      </c>
      <c r="O2" s="244"/>
      <c r="P2" s="279"/>
    </row>
    <row r="3" spans="2:16" ht="12.75">
      <c r="B3" s="374" t="s">
        <v>47</v>
      </c>
      <c r="C3" s="374"/>
      <c r="D3" s="374"/>
      <c r="E3" s="374"/>
      <c r="F3" s="374"/>
      <c r="G3" s="374"/>
      <c r="H3" s="374"/>
      <c r="I3" s="374"/>
      <c r="J3" s="374"/>
      <c r="K3" s="374"/>
      <c r="L3" s="374"/>
      <c r="M3" s="251"/>
      <c r="N3" s="251"/>
      <c r="O3" s="244"/>
      <c r="P3" s="279"/>
    </row>
    <row r="4" spans="2:16" ht="15" customHeight="1">
      <c r="B4" s="374" t="s">
        <v>29</v>
      </c>
      <c r="C4" s="374"/>
      <c r="D4" s="374"/>
      <c r="E4" s="374"/>
      <c r="F4" s="374"/>
      <c r="G4" s="374"/>
      <c r="H4" s="374"/>
      <c r="I4" s="374"/>
      <c r="J4" s="374"/>
      <c r="K4" s="374"/>
      <c r="L4" s="374"/>
      <c r="M4" s="251"/>
      <c r="N4" s="251"/>
      <c r="O4" s="244"/>
      <c r="P4" s="279"/>
    </row>
    <row r="5" spans="2:16" ht="12.75">
      <c r="B5" s="2"/>
      <c r="C5" s="2"/>
      <c r="D5" s="2"/>
      <c r="E5" s="2"/>
      <c r="F5" s="2"/>
      <c r="G5" s="2"/>
      <c r="H5" s="2"/>
      <c r="I5" s="2"/>
      <c r="J5" s="2"/>
      <c r="K5" s="2"/>
      <c r="L5" s="2"/>
      <c r="M5" s="2"/>
      <c r="N5" s="2"/>
      <c r="O5" s="274"/>
      <c r="P5" s="280"/>
    </row>
    <row r="6" spans="2:16" ht="15" customHeight="1">
      <c r="B6" s="397" t="s">
        <v>13</v>
      </c>
      <c r="C6" s="252" t="s">
        <v>24</v>
      </c>
      <c r="D6" s="252" t="s">
        <v>24</v>
      </c>
      <c r="E6" s="252" t="s">
        <v>26</v>
      </c>
      <c r="F6" s="252" t="s">
        <v>24</v>
      </c>
      <c r="G6" s="252" t="s">
        <v>25</v>
      </c>
      <c r="H6" s="252" t="s">
        <v>25</v>
      </c>
      <c r="I6" s="252" t="s">
        <v>24</v>
      </c>
      <c r="J6" s="252" t="s">
        <v>24</v>
      </c>
      <c r="K6" s="252" t="s">
        <v>24</v>
      </c>
      <c r="L6" s="252" t="s">
        <v>157</v>
      </c>
      <c r="M6" s="1"/>
      <c r="N6" s="1"/>
      <c r="O6" s="275"/>
      <c r="P6" s="281"/>
    </row>
    <row r="7" spans="2:25" ht="15" customHeight="1">
      <c r="B7" s="398"/>
      <c r="C7" s="253" t="s">
        <v>23</v>
      </c>
      <c r="D7" s="253" t="s">
        <v>22</v>
      </c>
      <c r="E7" s="253" t="s">
        <v>21</v>
      </c>
      <c r="F7" s="253" t="s">
        <v>20</v>
      </c>
      <c r="G7" s="253" t="s">
        <v>19</v>
      </c>
      <c r="H7" s="253" t="s">
        <v>18</v>
      </c>
      <c r="I7" s="253" t="s">
        <v>17</v>
      </c>
      <c r="J7" s="253" t="s">
        <v>16</v>
      </c>
      <c r="K7" s="253" t="s">
        <v>15</v>
      </c>
      <c r="L7" s="253" t="s">
        <v>158</v>
      </c>
      <c r="M7" s="1"/>
      <c r="N7" s="1"/>
      <c r="O7" s="275"/>
      <c r="P7" s="278" t="str">
        <f>+C7</f>
        <v>Coquimbo</v>
      </c>
      <c r="Q7" s="278" t="str">
        <f aca="true" t="shared" si="0" ref="Q7:V7">+D7</f>
        <v>Valparaíso</v>
      </c>
      <c r="R7" s="278" t="str">
        <f t="shared" si="0"/>
        <v>Metropolitana</v>
      </c>
      <c r="S7" s="278" t="str">
        <f t="shared" si="0"/>
        <v>O´Higgins</v>
      </c>
      <c r="T7" s="278" t="str">
        <f t="shared" si="0"/>
        <v>Maule</v>
      </c>
      <c r="U7" s="278" t="str">
        <f t="shared" si="0"/>
        <v>Bío Bío</v>
      </c>
      <c r="V7" s="278" t="str">
        <f t="shared" si="0"/>
        <v>La Araucanía</v>
      </c>
      <c r="W7" s="278" t="str">
        <f>+J7</f>
        <v>Los Ríos</v>
      </c>
      <c r="X7" s="278" t="str">
        <f>+K7</f>
        <v>Los Lagos</v>
      </c>
      <c r="Y7" s="275"/>
    </row>
    <row r="8" spans="2:25" ht="12.75" customHeight="1">
      <c r="B8" s="71" t="s">
        <v>11</v>
      </c>
      <c r="C8" s="85">
        <v>22.020369127516776</v>
      </c>
      <c r="D8" s="86">
        <v>14.461283783783784</v>
      </c>
      <c r="E8" s="86">
        <v>19.28257009345794</v>
      </c>
      <c r="F8" s="86">
        <v>16.780304054054053</v>
      </c>
      <c r="G8" s="86">
        <v>14.920527577937651</v>
      </c>
      <c r="H8" s="86">
        <v>19.960667938931298</v>
      </c>
      <c r="I8" s="86">
        <v>23.313738214087632</v>
      </c>
      <c r="J8" s="86"/>
      <c r="K8" s="86">
        <v>23.38645287228109</v>
      </c>
      <c r="L8" s="86"/>
      <c r="M8" s="86"/>
      <c r="N8" s="46"/>
      <c r="O8" s="276"/>
      <c r="Y8" s="276"/>
    </row>
    <row r="9" spans="2:25" ht="12.75" customHeight="1">
      <c r="B9" s="71" t="s">
        <v>10</v>
      </c>
      <c r="C9" s="86">
        <v>20.42828413284133</v>
      </c>
      <c r="D9" s="86">
        <v>12.118067226890757</v>
      </c>
      <c r="E9" s="86">
        <v>15.59320293398533</v>
      </c>
      <c r="F9" s="86">
        <v>18.21232484076433</v>
      </c>
      <c r="G9" s="86">
        <v>14.86148051948052</v>
      </c>
      <c r="H9" s="86">
        <v>19.89370826010545</v>
      </c>
      <c r="I9" s="86">
        <v>19.841906666666667</v>
      </c>
      <c r="J9" s="86"/>
      <c r="K9" s="86">
        <v>22.54059472716125</v>
      </c>
      <c r="L9" s="86"/>
      <c r="M9" s="86"/>
      <c r="N9" s="46"/>
      <c r="O9" s="276"/>
      <c r="P9" s="172">
        <f aca="true" t="shared" si="1" ref="P9:X21">+C9/C8-1</f>
        <v>-0.07230055888054876</v>
      </c>
      <c r="Q9" s="172">
        <f t="shared" si="1"/>
        <v>-0.16203378565329052</v>
      </c>
      <c r="R9" s="172">
        <f t="shared" si="1"/>
        <v>-0.191331712608389</v>
      </c>
      <c r="S9" s="172">
        <f t="shared" si="1"/>
        <v>0.08533938253426987</v>
      </c>
      <c r="T9" s="172">
        <f t="shared" si="1"/>
        <v>-0.0039574377077954415</v>
      </c>
      <c r="U9" s="172">
        <f t="shared" si="1"/>
        <v>-0.003354581070669105</v>
      </c>
      <c r="V9" s="172">
        <f t="shared" si="1"/>
        <v>-0.14891784043980838</v>
      </c>
      <c r="W9" s="172" t="e">
        <f t="shared" si="1"/>
        <v>#DIV/0!</v>
      </c>
      <c r="X9" s="172">
        <f t="shared" si="1"/>
        <v>-0.03616872339466237</v>
      </c>
      <c r="Y9" s="276"/>
    </row>
    <row r="10" spans="2:25" ht="12.75" customHeight="1">
      <c r="B10" s="71" t="s">
        <v>9</v>
      </c>
      <c r="C10" s="86">
        <v>20.3</v>
      </c>
      <c r="D10" s="86">
        <v>12.5</v>
      </c>
      <c r="E10" s="86">
        <v>15.84</v>
      </c>
      <c r="F10" s="86">
        <v>19</v>
      </c>
      <c r="G10" s="86">
        <v>15.05</v>
      </c>
      <c r="H10" s="86">
        <v>20.05</v>
      </c>
      <c r="I10" s="86">
        <v>18</v>
      </c>
      <c r="J10" s="86"/>
      <c r="K10" s="86">
        <v>22.72</v>
      </c>
      <c r="L10" s="86"/>
      <c r="M10" s="86"/>
      <c r="N10" s="46"/>
      <c r="O10" s="276"/>
      <c r="P10" s="172">
        <f t="shared" si="1"/>
        <v>-0.006279731180901971</v>
      </c>
      <c r="Q10" s="172">
        <f t="shared" si="1"/>
        <v>0.03151763115009887</v>
      </c>
      <c r="R10" s="172">
        <f t="shared" si="1"/>
        <v>0.015827220812779652</v>
      </c>
      <c r="S10" s="172">
        <f t="shared" si="1"/>
        <v>0.043249566769895775</v>
      </c>
      <c r="T10" s="172">
        <f t="shared" si="1"/>
        <v>0.012685107669613949</v>
      </c>
      <c r="U10" s="172">
        <f t="shared" si="1"/>
        <v>0.007856340198171052</v>
      </c>
      <c r="V10" s="172">
        <f t="shared" si="1"/>
        <v>-0.09282911655667503</v>
      </c>
      <c r="W10" s="172" t="e">
        <f t="shared" si="1"/>
        <v>#DIV/0!</v>
      </c>
      <c r="X10" s="172">
        <f t="shared" si="1"/>
        <v>0.007959207599015361</v>
      </c>
      <c r="Y10" s="276"/>
    </row>
    <row r="11" spans="2:25" ht="12.75" customHeight="1">
      <c r="B11" s="71" t="s">
        <v>8</v>
      </c>
      <c r="C11" s="86">
        <v>21.48</v>
      </c>
      <c r="D11" s="86">
        <v>16.5</v>
      </c>
      <c r="E11" s="86">
        <v>13.26</v>
      </c>
      <c r="F11" s="86">
        <v>20.04</v>
      </c>
      <c r="G11" s="86">
        <v>15.16</v>
      </c>
      <c r="H11" s="86">
        <v>20.27</v>
      </c>
      <c r="I11" s="86">
        <v>20.57</v>
      </c>
      <c r="J11" s="71"/>
      <c r="K11" s="86">
        <v>22.380000000000003</v>
      </c>
      <c r="L11" s="86"/>
      <c r="M11" s="86"/>
      <c r="N11" s="46"/>
      <c r="O11" s="276"/>
      <c r="P11" s="172">
        <f t="shared" si="1"/>
        <v>0.058128078817734075</v>
      </c>
      <c r="Q11" s="172">
        <f t="shared" si="1"/>
        <v>0.32000000000000006</v>
      </c>
      <c r="R11" s="172">
        <f t="shared" si="1"/>
        <v>-0.16287878787878785</v>
      </c>
      <c r="S11" s="172">
        <f t="shared" si="1"/>
        <v>0.054736842105263195</v>
      </c>
      <c r="T11" s="172">
        <f t="shared" si="1"/>
        <v>0.0073089700996678</v>
      </c>
      <c r="U11" s="172">
        <f t="shared" si="1"/>
        <v>0.010972568578553554</v>
      </c>
      <c r="V11" s="172">
        <f t="shared" si="1"/>
        <v>0.1427777777777779</v>
      </c>
      <c r="W11" s="172" t="e">
        <f t="shared" si="1"/>
        <v>#DIV/0!</v>
      </c>
      <c r="X11" s="172">
        <f t="shared" si="1"/>
        <v>-0.014964788732394152</v>
      </c>
      <c r="Y11" s="276"/>
    </row>
    <row r="12" spans="2:25" ht="12.75" customHeight="1">
      <c r="B12" s="71" t="s">
        <v>7</v>
      </c>
      <c r="C12" s="86">
        <v>21.55</v>
      </c>
      <c r="D12" s="86">
        <v>16.75</v>
      </c>
      <c r="E12" s="86">
        <v>14.86</v>
      </c>
      <c r="F12" s="86">
        <v>12.98</v>
      </c>
      <c r="G12" s="86">
        <v>16.94</v>
      </c>
      <c r="H12" s="86">
        <v>19.95</v>
      </c>
      <c r="I12" s="86">
        <v>24.81</v>
      </c>
      <c r="J12" s="71"/>
      <c r="K12" s="86">
        <v>25.82</v>
      </c>
      <c r="L12" s="86"/>
      <c r="M12" s="86"/>
      <c r="N12" s="46"/>
      <c r="O12" s="276"/>
      <c r="P12" s="172">
        <f t="shared" si="1"/>
        <v>0.0032588454376163423</v>
      </c>
      <c r="Q12" s="172">
        <f t="shared" si="1"/>
        <v>0.015151515151515138</v>
      </c>
      <c r="R12" s="172">
        <f t="shared" si="1"/>
        <v>0.1206636500754148</v>
      </c>
      <c r="S12" s="172">
        <f t="shared" si="1"/>
        <v>-0.3522954091816367</v>
      </c>
      <c r="T12" s="172">
        <f t="shared" si="1"/>
        <v>0.11741424802110823</v>
      </c>
      <c r="U12" s="172">
        <f t="shared" si="1"/>
        <v>-0.015786877158362134</v>
      </c>
      <c r="V12" s="172">
        <f t="shared" si="1"/>
        <v>0.20612542537676215</v>
      </c>
      <c r="W12" s="172" t="e">
        <f t="shared" si="1"/>
        <v>#DIV/0!</v>
      </c>
      <c r="X12" s="172">
        <f t="shared" si="1"/>
        <v>0.15370866845397657</v>
      </c>
      <c r="Y12" s="276"/>
    </row>
    <row r="13" spans="2:25" ht="12.75" customHeight="1">
      <c r="B13" s="71" t="s">
        <v>6</v>
      </c>
      <c r="C13" s="86">
        <v>17.426408798813643</v>
      </c>
      <c r="D13" s="86">
        <v>9.337508813376187</v>
      </c>
      <c r="E13" s="86">
        <v>16.623426967364942</v>
      </c>
      <c r="F13" s="86">
        <v>13.281982350534744</v>
      </c>
      <c r="G13" s="86">
        <v>13.350154657230894</v>
      </c>
      <c r="H13" s="86">
        <v>11.576870309860222</v>
      </c>
      <c r="I13" s="86">
        <v>15.118167139676645</v>
      </c>
      <c r="J13" s="86">
        <v>18.236673129705636</v>
      </c>
      <c r="K13" s="86">
        <v>19.057086368736975</v>
      </c>
      <c r="L13" s="86"/>
      <c r="M13" s="86"/>
      <c r="N13" s="46"/>
      <c r="O13" s="276"/>
      <c r="P13" s="172">
        <f t="shared" si="1"/>
        <v>-0.1913499397302254</v>
      </c>
      <c r="Q13" s="172">
        <f t="shared" si="1"/>
        <v>-0.4425367872611231</v>
      </c>
      <c r="R13" s="172">
        <f t="shared" si="1"/>
        <v>0.11866937869212268</v>
      </c>
      <c r="S13" s="172">
        <f t="shared" si="1"/>
        <v>0.023265204201444067</v>
      </c>
      <c r="T13" s="172">
        <f t="shared" si="1"/>
        <v>-0.2119153094905022</v>
      </c>
      <c r="U13" s="172">
        <f t="shared" si="1"/>
        <v>-0.4197057488791869</v>
      </c>
      <c r="V13" s="172">
        <f t="shared" si="1"/>
        <v>-0.3906421950956612</v>
      </c>
      <c r="W13" s="172" t="e">
        <f t="shared" si="1"/>
        <v>#DIV/0!</v>
      </c>
      <c r="X13" s="172">
        <f t="shared" si="1"/>
        <v>-0.26192539238044243</v>
      </c>
      <c r="Y13" s="276"/>
    </row>
    <row r="14" spans="2:25" ht="12.75" customHeight="1">
      <c r="B14" s="71" t="s">
        <v>5</v>
      </c>
      <c r="C14" s="86">
        <v>19</v>
      </c>
      <c r="D14" s="86">
        <v>13.6</v>
      </c>
      <c r="E14" s="86">
        <v>15.330000000000002</v>
      </c>
      <c r="F14" s="86">
        <v>17</v>
      </c>
      <c r="G14" s="86">
        <v>17.07</v>
      </c>
      <c r="H14" s="86">
        <v>16.7</v>
      </c>
      <c r="I14" s="86">
        <v>14.88</v>
      </c>
      <c r="J14" s="86">
        <v>20.43</v>
      </c>
      <c r="K14" s="86">
        <v>21.03</v>
      </c>
      <c r="L14" s="86"/>
      <c r="M14" s="86"/>
      <c r="N14" s="46"/>
      <c r="O14" s="276"/>
      <c r="P14" s="172">
        <f t="shared" si="1"/>
        <v>0.09029922454783024</v>
      </c>
      <c r="Q14" s="172">
        <f t="shared" si="1"/>
        <v>0.456491262478671</v>
      </c>
      <c r="R14" s="172">
        <f t="shared" si="1"/>
        <v>-0.07780748036516127</v>
      </c>
      <c r="S14" s="172">
        <f t="shared" si="1"/>
        <v>0.2799294225319886</v>
      </c>
      <c r="T14" s="172">
        <f t="shared" si="1"/>
        <v>0.27863687262636416</v>
      </c>
      <c r="U14" s="172">
        <f t="shared" si="1"/>
        <v>0.4425314919332144</v>
      </c>
      <c r="V14" s="172">
        <f t="shared" si="1"/>
        <v>-0.015753704630741217</v>
      </c>
      <c r="W14" s="172">
        <f t="shared" si="1"/>
        <v>0.12027012025135564</v>
      </c>
      <c r="X14" s="172">
        <f t="shared" si="1"/>
        <v>0.10352650940909713</v>
      </c>
      <c r="Y14" s="276"/>
    </row>
    <row r="15" spans="2:25" ht="12.75" customHeight="1">
      <c r="B15" s="71" t="s">
        <v>4</v>
      </c>
      <c r="C15" s="86">
        <v>17.22</v>
      </c>
      <c r="D15" s="86">
        <v>13.780000000000001</v>
      </c>
      <c r="E15" s="86">
        <v>19.23</v>
      </c>
      <c r="F15" s="86">
        <v>14.49</v>
      </c>
      <c r="G15" s="86">
        <v>14.62</v>
      </c>
      <c r="H15" s="86">
        <v>15.63</v>
      </c>
      <c r="I15" s="86">
        <v>19.71</v>
      </c>
      <c r="J15" s="86">
        <v>26.630000000000003</v>
      </c>
      <c r="K15" s="86">
        <v>25.910000000000004</v>
      </c>
      <c r="L15" s="86"/>
      <c r="M15" s="86"/>
      <c r="N15" s="46"/>
      <c r="O15" s="276"/>
      <c r="P15" s="172">
        <f t="shared" si="1"/>
        <v>-0.09368421052631581</v>
      </c>
      <c r="Q15" s="172">
        <f t="shared" si="1"/>
        <v>0.013235294117647234</v>
      </c>
      <c r="R15" s="172">
        <f t="shared" si="1"/>
        <v>0.25440313111545976</v>
      </c>
      <c r="S15" s="172">
        <f t="shared" si="1"/>
        <v>-0.14764705882352935</v>
      </c>
      <c r="T15" s="172">
        <f t="shared" si="1"/>
        <v>-0.1435266549502051</v>
      </c>
      <c r="U15" s="172">
        <f t="shared" si="1"/>
        <v>-0.06407185628742507</v>
      </c>
      <c r="V15" s="172">
        <f t="shared" si="1"/>
        <v>0.32459677419354827</v>
      </c>
      <c r="W15" s="172">
        <f t="shared" si="1"/>
        <v>0.30347528144884994</v>
      </c>
      <c r="X15" s="172">
        <f t="shared" si="1"/>
        <v>0.2320494531621493</v>
      </c>
      <c r="Y15" s="276"/>
    </row>
    <row r="16" spans="2:25" ht="12.75" customHeight="1">
      <c r="B16" s="71" t="s">
        <v>3</v>
      </c>
      <c r="C16" s="86">
        <v>22.94</v>
      </c>
      <c r="D16" s="86">
        <v>26.330000000000002</v>
      </c>
      <c r="E16" s="86">
        <v>24.669999999999998</v>
      </c>
      <c r="F16" s="86">
        <v>19.36</v>
      </c>
      <c r="G16" s="86">
        <v>12.52</v>
      </c>
      <c r="H16" s="86">
        <v>18.490000000000002</v>
      </c>
      <c r="I16" s="86">
        <v>18.830000000000002</v>
      </c>
      <c r="J16" s="86">
        <v>33.1</v>
      </c>
      <c r="K16" s="86">
        <v>29.53</v>
      </c>
      <c r="L16" s="86"/>
      <c r="M16" s="86"/>
      <c r="N16" s="46"/>
      <c r="O16" s="276"/>
      <c r="P16" s="172">
        <f t="shared" si="1"/>
        <v>0.33217189314750306</v>
      </c>
      <c r="Q16" s="172">
        <f t="shared" si="1"/>
        <v>0.9107402031930334</v>
      </c>
      <c r="R16" s="172">
        <f t="shared" si="1"/>
        <v>0.28289131565262604</v>
      </c>
      <c r="S16" s="172">
        <f t="shared" si="1"/>
        <v>0.3360938578329882</v>
      </c>
      <c r="T16" s="172">
        <f t="shared" si="1"/>
        <v>-0.14363885088919282</v>
      </c>
      <c r="U16" s="172">
        <f t="shared" si="1"/>
        <v>0.18298144593730004</v>
      </c>
      <c r="V16" s="172">
        <f t="shared" si="1"/>
        <v>-0.044647387113140535</v>
      </c>
      <c r="W16" s="172">
        <f t="shared" si="1"/>
        <v>0.24295906871948914</v>
      </c>
      <c r="X16" s="172">
        <f t="shared" si="1"/>
        <v>0.13971439598610558</v>
      </c>
      <c r="Y16" s="276"/>
    </row>
    <row r="17" spans="2:25" ht="12.75" customHeight="1">
      <c r="B17" s="71" t="s">
        <v>2</v>
      </c>
      <c r="C17" s="86">
        <v>23.54</v>
      </c>
      <c r="D17" s="86">
        <v>20.52</v>
      </c>
      <c r="E17" s="86">
        <v>21.1</v>
      </c>
      <c r="F17" s="86">
        <v>17.82</v>
      </c>
      <c r="G17" s="86">
        <v>24.35</v>
      </c>
      <c r="H17" s="86">
        <v>27.26</v>
      </c>
      <c r="I17" s="86">
        <v>34.69</v>
      </c>
      <c r="J17" s="86">
        <v>37.019999999999996</v>
      </c>
      <c r="K17" s="86">
        <v>42.55</v>
      </c>
      <c r="L17" s="86"/>
      <c r="M17" s="86"/>
      <c r="N17" s="46"/>
      <c r="O17" s="276"/>
      <c r="P17" s="172">
        <f t="shared" si="1"/>
        <v>0.02615518744550993</v>
      </c>
      <c r="Q17" s="172">
        <f t="shared" si="1"/>
        <v>-0.2206608431447019</v>
      </c>
      <c r="R17" s="172">
        <f t="shared" si="1"/>
        <v>-0.14471017430077004</v>
      </c>
      <c r="S17" s="172">
        <f t="shared" si="1"/>
        <v>-0.07954545454545447</v>
      </c>
      <c r="T17" s="172">
        <f t="shared" si="1"/>
        <v>0.9448881789137382</v>
      </c>
      <c r="U17" s="172">
        <f t="shared" si="1"/>
        <v>0.4743104380746348</v>
      </c>
      <c r="V17" s="172">
        <f t="shared" si="1"/>
        <v>0.8422729686670205</v>
      </c>
      <c r="W17" s="172">
        <f t="shared" si="1"/>
        <v>0.1184290030211479</v>
      </c>
      <c r="X17" s="172">
        <f t="shared" si="1"/>
        <v>0.4409075516423975</v>
      </c>
      <c r="Y17" s="276"/>
    </row>
    <row r="18" spans="2:25" ht="12.75" customHeight="1">
      <c r="B18" s="71" t="s">
        <v>122</v>
      </c>
      <c r="C18" s="86">
        <v>22.02</v>
      </c>
      <c r="D18" s="86">
        <v>11.26</v>
      </c>
      <c r="E18" s="86">
        <v>24.48</v>
      </c>
      <c r="F18" s="86">
        <v>15.260000000000002</v>
      </c>
      <c r="G18" s="86">
        <v>16.580000000000002</v>
      </c>
      <c r="H18" s="86">
        <v>16.84</v>
      </c>
      <c r="I18" s="86">
        <v>26.2</v>
      </c>
      <c r="J18" s="86">
        <v>36.230000000000004</v>
      </c>
      <c r="K18" s="86">
        <v>37.019999999999996</v>
      </c>
      <c r="L18" s="86"/>
      <c r="M18" s="86"/>
      <c r="N18" s="46"/>
      <c r="O18" s="276"/>
      <c r="P18" s="172">
        <f t="shared" si="1"/>
        <v>-0.06457094307561595</v>
      </c>
      <c r="Q18" s="172">
        <f t="shared" si="1"/>
        <v>-0.45126705653021437</v>
      </c>
      <c r="R18" s="172">
        <f t="shared" si="1"/>
        <v>0.16018957345971563</v>
      </c>
      <c r="S18" s="172">
        <f t="shared" si="1"/>
        <v>-0.1436588103254769</v>
      </c>
      <c r="T18" s="172">
        <f t="shared" si="1"/>
        <v>-0.31909650924024635</v>
      </c>
      <c r="U18" s="172">
        <f t="shared" si="1"/>
        <v>-0.38224504768892154</v>
      </c>
      <c r="V18" s="172">
        <f t="shared" si="1"/>
        <v>-0.24473911790141245</v>
      </c>
      <c r="W18" s="172">
        <f t="shared" si="1"/>
        <v>-0.021339816315504967</v>
      </c>
      <c r="X18" s="172">
        <f t="shared" si="1"/>
        <v>-0.1299647473560518</v>
      </c>
      <c r="Y18" s="276"/>
    </row>
    <row r="19" spans="2:25" ht="12.75" customHeight="1">
      <c r="B19" s="71" t="s">
        <v>131</v>
      </c>
      <c r="C19" s="86">
        <v>20.37043201224156</v>
      </c>
      <c r="D19" s="86">
        <v>14.861034346434494</v>
      </c>
      <c r="E19" s="86">
        <v>22.069840622540045</v>
      </c>
      <c r="F19" s="86">
        <v>20.40363304091236</v>
      </c>
      <c r="G19" s="86">
        <v>22.892935432721355</v>
      </c>
      <c r="H19" s="86">
        <v>18.231266095438755</v>
      </c>
      <c r="I19" s="86">
        <v>21.75681235539536</v>
      </c>
      <c r="J19" s="86">
        <v>22.80581042314713</v>
      </c>
      <c r="K19" s="86">
        <v>33.98124349810817</v>
      </c>
      <c r="L19" s="86"/>
      <c r="M19" s="86"/>
      <c r="N19" s="46"/>
      <c r="O19" s="276"/>
      <c r="P19" s="172">
        <f t="shared" si="1"/>
        <v>-0.07491226102445225</v>
      </c>
      <c r="Q19" s="172">
        <f t="shared" si="1"/>
        <v>0.3198076684222464</v>
      </c>
      <c r="R19" s="172">
        <f t="shared" si="1"/>
        <v>-0.09845422293545569</v>
      </c>
      <c r="S19" s="172">
        <f t="shared" si="1"/>
        <v>0.3370663853808884</v>
      </c>
      <c r="T19" s="172">
        <f t="shared" si="1"/>
        <v>0.3807560574620841</v>
      </c>
      <c r="U19" s="172">
        <f t="shared" si="1"/>
        <v>0.08261675151061487</v>
      </c>
      <c r="V19" s="172">
        <f t="shared" si="1"/>
        <v>-0.16958731467956634</v>
      </c>
      <c r="W19" s="172">
        <f t="shared" si="1"/>
        <v>-0.3705268997199247</v>
      </c>
      <c r="X19" s="172">
        <f t="shared" si="1"/>
        <v>-0.08208418427584618</v>
      </c>
      <c r="Y19" s="276"/>
    </row>
    <row r="20" spans="2:25" ht="12.75" customHeight="1">
      <c r="B20" s="71" t="s">
        <v>146</v>
      </c>
      <c r="C20" s="86">
        <v>21.5</v>
      </c>
      <c r="D20" s="86">
        <v>12.209999999999999</v>
      </c>
      <c r="E20" s="86">
        <v>23.61</v>
      </c>
      <c r="F20" s="86">
        <v>12.64</v>
      </c>
      <c r="G20" s="86">
        <v>12.79</v>
      </c>
      <c r="H20" s="86">
        <v>15.45</v>
      </c>
      <c r="I20" s="86">
        <v>20.84</v>
      </c>
      <c r="J20" s="86">
        <v>25.14</v>
      </c>
      <c r="K20" s="86">
        <v>31.990000000000002</v>
      </c>
      <c r="L20" s="86">
        <v>9.120669577874818</v>
      </c>
      <c r="M20" s="86"/>
      <c r="N20" s="46"/>
      <c r="O20" s="276"/>
      <c r="P20" s="172">
        <f t="shared" si="1"/>
        <v>0.05545135160018333</v>
      </c>
      <c r="Q20" s="172">
        <f t="shared" si="1"/>
        <v>-0.17838827935086088</v>
      </c>
      <c r="R20" s="172">
        <f t="shared" si="1"/>
        <v>0.06978570456403665</v>
      </c>
      <c r="S20" s="172">
        <f t="shared" si="1"/>
        <v>-0.3805024833246661</v>
      </c>
      <c r="T20" s="172">
        <f t="shared" si="1"/>
        <v>-0.4413123630393426</v>
      </c>
      <c r="U20" s="172">
        <f t="shared" si="1"/>
        <v>-0.15255474199537877</v>
      </c>
      <c r="V20" s="172">
        <f t="shared" si="1"/>
        <v>-0.04213909374311475</v>
      </c>
      <c r="W20" s="172">
        <f t="shared" si="1"/>
        <v>0.10235065246722153</v>
      </c>
      <c r="X20" s="172">
        <f t="shared" si="1"/>
        <v>-0.0585983116897717</v>
      </c>
      <c r="Y20" s="276"/>
    </row>
    <row r="21" spans="2:25" ht="12.75" customHeight="1">
      <c r="B21" s="71" t="s">
        <v>178</v>
      </c>
      <c r="C21" s="86">
        <v>23.15</v>
      </c>
      <c r="D21" s="86">
        <v>15.08</v>
      </c>
      <c r="E21" s="86">
        <v>22.86</v>
      </c>
      <c r="F21" s="86">
        <v>16.31</v>
      </c>
      <c r="G21" s="86">
        <v>16.44</v>
      </c>
      <c r="H21" s="86">
        <v>15.78</v>
      </c>
      <c r="I21" s="86">
        <v>18.21</v>
      </c>
      <c r="J21" s="86">
        <v>17.8</v>
      </c>
      <c r="K21" s="86">
        <v>25.64</v>
      </c>
      <c r="L21" s="86">
        <v>9.12</v>
      </c>
      <c r="M21" s="86"/>
      <c r="N21" s="46"/>
      <c r="O21" s="276"/>
      <c r="P21" s="172">
        <f t="shared" si="1"/>
        <v>0.07674418604651145</v>
      </c>
      <c r="Q21" s="172">
        <f t="shared" si="1"/>
        <v>0.23505323505323505</v>
      </c>
      <c r="R21" s="172">
        <f t="shared" si="1"/>
        <v>-0.031766200762388785</v>
      </c>
      <c r="S21" s="172">
        <f t="shared" si="1"/>
        <v>0.29034810126582267</v>
      </c>
      <c r="T21" s="172">
        <f t="shared" si="1"/>
        <v>0.2853792025019548</v>
      </c>
      <c r="U21" s="172">
        <f t="shared" si="1"/>
        <v>0.021359223300970953</v>
      </c>
      <c r="V21" s="172">
        <f t="shared" si="1"/>
        <v>-0.1261996161228407</v>
      </c>
      <c r="W21" s="172">
        <f t="shared" si="1"/>
        <v>-0.2919649960222752</v>
      </c>
      <c r="X21" s="172">
        <f t="shared" si="1"/>
        <v>-0.19849953110346985</v>
      </c>
      <c r="Y21" s="276"/>
    </row>
    <row r="22" spans="2:25" ht="12.75" customHeight="1">
      <c r="B22" s="71" t="s">
        <v>197</v>
      </c>
      <c r="C22" s="86">
        <v>24.23</v>
      </c>
      <c r="D22" s="86">
        <v>17.81</v>
      </c>
      <c r="E22" s="86">
        <v>17.2</v>
      </c>
      <c r="F22" s="86">
        <v>13.73</v>
      </c>
      <c r="G22" s="86">
        <v>16.919999999999998</v>
      </c>
      <c r="H22" s="86">
        <v>14.809999999999999</v>
      </c>
      <c r="I22" s="86">
        <v>22.619999999999997</v>
      </c>
      <c r="J22" s="86">
        <v>22</v>
      </c>
      <c r="K22" s="86">
        <v>33.2</v>
      </c>
      <c r="L22" s="86">
        <v>9.120000000000001</v>
      </c>
      <c r="M22" s="86"/>
      <c r="N22" s="46"/>
      <c r="O22" s="276"/>
      <c r="P22" s="172">
        <f aca="true" t="shared" si="2" ref="P22:X22">+C22/C21-1</f>
        <v>0.046652267818574567</v>
      </c>
      <c r="Q22" s="172">
        <f t="shared" si="2"/>
        <v>0.18103448275862055</v>
      </c>
      <c r="R22" s="172">
        <f t="shared" si="2"/>
        <v>-0.24759405074365703</v>
      </c>
      <c r="S22" s="172">
        <f t="shared" si="2"/>
        <v>-0.15818516247700787</v>
      </c>
      <c r="T22" s="172">
        <f t="shared" si="2"/>
        <v>0.029197080291970545</v>
      </c>
      <c r="U22" s="172">
        <f t="shared" si="2"/>
        <v>-0.06147021546261089</v>
      </c>
      <c r="V22" s="172">
        <f t="shared" si="2"/>
        <v>0.2421746293245468</v>
      </c>
      <c r="W22" s="172">
        <f t="shared" si="2"/>
        <v>0.2359550561797752</v>
      </c>
      <c r="X22" s="172">
        <f t="shared" si="2"/>
        <v>0.294851794071763</v>
      </c>
      <c r="Y22" s="276"/>
    </row>
    <row r="23" spans="2:12" ht="12.75">
      <c r="B23" s="395" t="s">
        <v>249</v>
      </c>
      <c r="C23" s="396"/>
      <c r="D23" s="396"/>
      <c r="E23" s="396"/>
      <c r="F23" s="396"/>
      <c r="G23" s="396"/>
      <c r="H23" s="396"/>
      <c r="I23" s="396"/>
      <c r="J23" s="396"/>
      <c r="K23" s="396"/>
      <c r="L23" s="396"/>
    </row>
    <row r="24" spans="2:11" ht="12.75" customHeight="1">
      <c r="B24" s="272"/>
      <c r="C24" s="273"/>
      <c r="D24" s="273"/>
      <c r="E24" s="273"/>
      <c r="F24" s="273"/>
      <c r="G24" s="273"/>
      <c r="H24" s="47"/>
      <c r="I24" s="47"/>
      <c r="J24" s="47"/>
      <c r="K24" s="47"/>
    </row>
    <row r="25" spans="2:11" ht="12.75">
      <c r="B25" s="2"/>
      <c r="C25" s="2"/>
      <c r="D25" s="2"/>
      <c r="E25" s="2"/>
      <c r="F25" s="2"/>
      <c r="G25" s="2"/>
      <c r="H25" s="2"/>
      <c r="I25" s="2"/>
      <c r="J25" s="2"/>
      <c r="K25" s="2"/>
    </row>
    <row r="30" ht="12.75">
      <c r="P30" s="280"/>
    </row>
    <row r="45" ht="12.75">
      <c r="N45" s="2"/>
    </row>
    <row r="46" ht="12.75">
      <c r="B46" s="259" t="s">
        <v>250</v>
      </c>
    </row>
    <row r="49" spans="3:12" ht="12.75">
      <c r="C49" s="142"/>
      <c r="D49" s="142"/>
      <c r="E49" s="142"/>
      <c r="F49" s="142"/>
      <c r="G49" s="142"/>
      <c r="H49" s="142"/>
      <c r="I49" s="142"/>
      <c r="J49" s="142"/>
      <c r="K49" s="142"/>
      <c r="L49" s="142"/>
    </row>
    <row r="50" spans="3:12" ht="12.75">
      <c r="C50" s="86"/>
      <c r="D50" s="86"/>
      <c r="E50" s="86"/>
      <c r="F50" s="86"/>
      <c r="G50" s="86"/>
      <c r="H50" s="86"/>
      <c r="I50" s="86"/>
      <c r="J50" s="86"/>
      <c r="K50" s="86"/>
      <c r="L50" s="86"/>
    </row>
  </sheetData>
  <sheetProtection/>
  <mergeCells count="5">
    <mergeCell ref="B6:B7"/>
    <mergeCell ref="B3:L3"/>
    <mergeCell ref="B2:L2"/>
    <mergeCell ref="B4:L4"/>
    <mergeCell ref="B23:L23"/>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80" workbookViewId="0" topLeftCell="A1">
      <selection activeCell="A1" sqref="A1"/>
    </sheetView>
  </sheetViews>
  <sheetFormatPr defaultColWidth="10.8515625" defaultRowHeight="15"/>
  <cols>
    <col min="1" max="1" width="1.1484375" style="35" customWidth="1"/>
    <col min="2" max="2" width="41.00390625" style="35" customWidth="1"/>
    <col min="3" max="3" width="26.28125" style="35" customWidth="1"/>
    <col min="4" max="4" width="26.140625" style="35" customWidth="1"/>
    <col min="5" max="5" width="22.28125" style="35" customWidth="1"/>
    <col min="6" max="6" width="4.00390625" style="35" customWidth="1"/>
    <col min="7" max="7" width="14.421875" style="35" customWidth="1"/>
    <col min="8" max="16384" width="10.8515625" style="35" customWidth="1"/>
  </cols>
  <sheetData>
    <row r="1" ht="6.75" customHeight="1"/>
    <row r="2" spans="2:7" ht="12.75">
      <c r="B2" s="409" t="s">
        <v>230</v>
      </c>
      <c r="C2" s="409"/>
      <c r="D2" s="409"/>
      <c r="E2" s="409"/>
      <c r="G2" s="45" t="s">
        <v>151</v>
      </c>
    </row>
    <row r="3" spans="2:7" ht="12.75">
      <c r="B3" s="409" t="s">
        <v>231</v>
      </c>
      <c r="C3" s="409"/>
      <c r="D3" s="409"/>
      <c r="E3" s="409"/>
      <c r="G3" s="45"/>
    </row>
    <row r="4" spans="2:5" ht="12.75">
      <c r="B4" s="409" t="s">
        <v>275</v>
      </c>
      <c r="C4" s="409"/>
      <c r="D4" s="409"/>
      <c r="E4" s="409"/>
    </row>
    <row r="6" spans="3:4" ht="38.25">
      <c r="C6" s="187" t="s">
        <v>212</v>
      </c>
      <c r="D6" s="187" t="s">
        <v>251</v>
      </c>
    </row>
    <row r="7" spans="2:4" ht="12.75">
      <c r="B7" s="188" t="s">
        <v>155</v>
      </c>
      <c r="C7" s="189">
        <v>26</v>
      </c>
      <c r="D7" s="189">
        <v>30</v>
      </c>
    </row>
    <row r="8" spans="2:4" ht="12.75">
      <c r="B8" s="188" t="s">
        <v>200</v>
      </c>
      <c r="C8" s="190">
        <v>998000</v>
      </c>
      <c r="D8" s="190">
        <v>648000</v>
      </c>
    </row>
    <row r="9" spans="2:4" ht="12.75">
      <c r="B9" s="188" t="s">
        <v>201</v>
      </c>
      <c r="C9" s="190">
        <v>612000</v>
      </c>
      <c r="D9" s="190">
        <v>651000</v>
      </c>
    </row>
    <row r="10" spans="2:4" ht="12.75">
      <c r="B10" s="188" t="s">
        <v>202</v>
      </c>
      <c r="C10" s="190">
        <v>1718582</v>
      </c>
      <c r="D10" s="190">
        <v>2349219</v>
      </c>
    </row>
    <row r="11" spans="2:4" ht="14.25">
      <c r="B11" s="191" t="s">
        <v>276</v>
      </c>
      <c r="C11" s="190">
        <f>124821.825+166429.1</f>
        <v>291250.925</v>
      </c>
      <c r="D11" s="190">
        <v>346581</v>
      </c>
    </row>
    <row r="12" spans="2:4" ht="12.75">
      <c r="B12" s="192" t="s">
        <v>203</v>
      </c>
      <c r="C12" s="193">
        <f>SUM(C8:C11)</f>
        <v>3619832.925</v>
      </c>
      <c r="D12" s="193">
        <f>SUM(D8:D11)</f>
        <v>3994800</v>
      </c>
    </row>
    <row r="13" spans="2:4" ht="14.25">
      <c r="B13" s="188" t="s">
        <v>216</v>
      </c>
      <c r="C13" s="212">
        <f>+AVERAGE('precio mayorista3'!F15:G35)/50</f>
        <v>157.80762895545314</v>
      </c>
      <c r="D13" s="212">
        <f>+AVERAGE('precio mayorista3'!I15:J35)/50</f>
        <v>113.95134333333334</v>
      </c>
    </row>
    <row r="14" spans="2:4" ht="12.75">
      <c r="B14" s="194" t="s">
        <v>204</v>
      </c>
      <c r="C14" s="193">
        <f>C13*C7*1000</f>
        <v>4102998.3528417815</v>
      </c>
      <c r="D14" s="193">
        <f>D13*D7*1000</f>
        <v>3418540.3000000003</v>
      </c>
    </row>
    <row r="15" spans="2:4" ht="12.75">
      <c r="B15" s="194" t="s">
        <v>205</v>
      </c>
      <c r="C15" s="195">
        <f>C14-C12</f>
        <v>483165.42784178164</v>
      </c>
      <c r="D15" s="195">
        <f>D14-D12</f>
        <v>-576259.6999999997</v>
      </c>
    </row>
    <row r="16" spans="2:5" ht="12.75">
      <c r="B16" s="196"/>
      <c r="C16" s="197"/>
      <c r="D16" s="197"/>
      <c r="E16" s="197"/>
    </row>
    <row r="17" spans="2:5" ht="26.25" customHeight="1">
      <c r="B17" s="403" t="s">
        <v>213</v>
      </c>
      <c r="C17" s="404"/>
      <c r="D17" s="404"/>
      <c r="E17" s="405"/>
    </row>
    <row r="18" spans="2:5" ht="12.75">
      <c r="B18" s="407" t="s">
        <v>206</v>
      </c>
      <c r="C18" s="410" t="s">
        <v>232</v>
      </c>
      <c r="D18" s="411"/>
      <c r="E18" s="412"/>
    </row>
    <row r="19" spans="2:5" ht="12.75">
      <c r="B19" s="408"/>
      <c r="C19" s="243">
        <v>120</v>
      </c>
      <c r="D19" s="243">
        <v>130</v>
      </c>
      <c r="E19" s="243">
        <v>140</v>
      </c>
    </row>
    <row r="20" spans="2:5" ht="12.75">
      <c r="B20" s="198">
        <v>25000</v>
      </c>
      <c r="C20" s="283">
        <f aca="true" t="shared" si="0" ref="C20:E22">+$B20*C$19-$C$12</f>
        <v>-619832.9249999998</v>
      </c>
      <c r="D20" s="283">
        <f t="shared" si="0"/>
        <v>-369832.9249999998</v>
      </c>
      <c r="E20" s="283">
        <f t="shared" si="0"/>
        <v>-119832.92499999981</v>
      </c>
    </row>
    <row r="21" spans="2:5" ht="12.75">
      <c r="B21" s="198">
        <v>30000</v>
      </c>
      <c r="C21" s="283">
        <f t="shared" si="0"/>
        <v>-19832.924999999814</v>
      </c>
      <c r="D21" s="283">
        <f t="shared" si="0"/>
        <v>280167.0750000002</v>
      </c>
      <c r="E21" s="283">
        <f t="shared" si="0"/>
        <v>580167.0750000002</v>
      </c>
    </row>
    <row r="22" spans="2:5" ht="12.75">
      <c r="B22" s="198">
        <v>35000</v>
      </c>
      <c r="C22" s="283">
        <f t="shared" si="0"/>
        <v>580167.0750000002</v>
      </c>
      <c r="D22" s="283">
        <f t="shared" si="0"/>
        <v>930167.0750000002</v>
      </c>
      <c r="E22" s="283">
        <f t="shared" si="0"/>
        <v>1280167.0750000002</v>
      </c>
    </row>
    <row r="23" spans="2:5" ht="12.75">
      <c r="B23" s="201"/>
      <c r="C23" s="284"/>
      <c r="D23" s="284"/>
      <c r="E23" s="284"/>
    </row>
    <row r="24" spans="2:5" ht="15" customHeight="1">
      <c r="B24" s="403" t="s">
        <v>219</v>
      </c>
      <c r="C24" s="404"/>
      <c r="D24" s="404"/>
      <c r="E24" s="405"/>
    </row>
    <row r="25" spans="2:5" ht="12.75">
      <c r="B25" s="241" t="s">
        <v>215</v>
      </c>
      <c r="C25" s="242">
        <f>+B20</f>
        <v>25000</v>
      </c>
      <c r="D25" s="242">
        <f>+B21</f>
        <v>30000</v>
      </c>
      <c r="E25" s="242">
        <f>+B22</f>
        <v>35000</v>
      </c>
    </row>
    <row r="26" spans="2:5" ht="12.75">
      <c r="B26" s="203" t="s">
        <v>218</v>
      </c>
      <c r="C26" s="202">
        <f>+$C12/C25</f>
        <v>144.793317</v>
      </c>
      <c r="D26" s="202">
        <f>+$C12/D25</f>
        <v>120.6610975</v>
      </c>
      <c r="E26" s="202">
        <f>+$C12/E25</f>
        <v>103.42379785714286</v>
      </c>
    </row>
    <row r="27" spans="2:5" ht="12.75">
      <c r="B27" s="199" t="s">
        <v>214</v>
      </c>
      <c r="C27" s="199"/>
      <c r="D27" s="199"/>
      <c r="E27" s="199"/>
    </row>
    <row r="28" spans="2:5" ht="12.75">
      <c r="B28" s="200" t="s">
        <v>207</v>
      </c>
      <c r="C28" s="200"/>
      <c r="D28" s="200"/>
      <c r="E28" s="200"/>
    </row>
    <row r="29" spans="2:5" ht="12.75">
      <c r="B29" s="402" t="s">
        <v>223</v>
      </c>
      <c r="C29" s="402"/>
      <c r="D29" s="402"/>
      <c r="E29" s="402"/>
    </row>
    <row r="30" spans="2:5" ht="26.25" customHeight="1">
      <c r="B30" s="406" t="s">
        <v>243</v>
      </c>
      <c r="C30" s="406"/>
      <c r="D30" s="406"/>
      <c r="E30" s="406"/>
    </row>
    <row r="31" spans="2:5" ht="12.75">
      <c r="B31" s="402" t="s">
        <v>265</v>
      </c>
      <c r="C31" s="402"/>
      <c r="D31" s="402"/>
      <c r="E31" s="402"/>
    </row>
    <row r="32" spans="2:5" ht="12.75">
      <c r="B32" s="402" t="s">
        <v>224</v>
      </c>
      <c r="C32" s="402"/>
      <c r="D32" s="402"/>
      <c r="E32" s="402"/>
    </row>
    <row r="33" spans="2:5" ht="12.75">
      <c r="B33" s="402" t="s">
        <v>208</v>
      </c>
      <c r="C33" s="402"/>
      <c r="D33" s="402"/>
      <c r="E33" s="402"/>
    </row>
    <row r="34" spans="2:5" ht="12.75">
      <c r="B34" s="402" t="s">
        <v>217</v>
      </c>
      <c r="C34" s="402"/>
      <c r="D34" s="402"/>
      <c r="E34" s="402"/>
    </row>
  </sheetData>
  <sheetProtection/>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7"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41"/>
  <sheetViews>
    <sheetView zoomScale="80" zoomScaleNormal="80" zoomScalePageLayoutView="0" workbookViewId="0" topLeftCell="A1">
      <selection activeCell="A1" sqref="A1"/>
    </sheetView>
  </sheetViews>
  <sheetFormatPr defaultColWidth="10.8515625" defaultRowHeight="15"/>
  <cols>
    <col min="1" max="1" width="1.421875" style="35" customWidth="1"/>
    <col min="2" max="2" width="17.8515625" style="35" customWidth="1"/>
    <col min="3" max="3" width="23.00390625" style="35" customWidth="1"/>
    <col min="4" max="4" width="9.8515625" style="35" bestFit="1" customWidth="1"/>
    <col min="5" max="7" width="10.421875" style="35" customWidth="1"/>
    <col min="8" max="9" width="11.28125" style="35" customWidth="1"/>
    <col min="10" max="10" width="11.00390625" style="35" customWidth="1"/>
    <col min="11" max="11" width="10.00390625" style="35" customWidth="1"/>
    <col min="12" max="12" width="2.140625" style="35" customWidth="1"/>
    <col min="13" max="13" width="10.8515625" style="35" customWidth="1"/>
    <col min="14" max="14" width="8.7109375" style="148" customWidth="1"/>
    <col min="15" max="17" width="10.8515625" style="285" hidden="1" customWidth="1"/>
    <col min="18" max="18" width="10.8515625" style="148" customWidth="1"/>
    <col min="19" max="16384" width="10.8515625" style="35" customWidth="1"/>
  </cols>
  <sheetData>
    <row r="2" spans="2:13" ht="12.75">
      <c r="B2" s="418" t="s">
        <v>209</v>
      </c>
      <c r="C2" s="418"/>
      <c r="D2" s="418"/>
      <c r="E2" s="418"/>
      <c r="F2" s="418"/>
      <c r="G2" s="418"/>
      <c r="H2" s="418"/>
      <c r="I2" s="418"/>
      <c r="J2" s="418"/>
      <c r="K2" s="418"/>
      <c r="L2" s="111"/>
      <c r="M2" s="45" t="s">
        <v>151</v>
      </c>
    </row>
    <row r="3" spans="2:13" ht="12.75">
      <c r="B3" s="111"/>
      <c r="C3" s="111"/>
      <c r="D3" s="111"/>
      <c r="E3" s="111"/>
      <c r="F3" s="111"/>
      <c r="G3" s="111"/>
      <c r="H3" s="111"/>
      <c r="I3" s="111"/>
      <c r="J3" s="111"/>
      <c r="K3" s="111"/>
      <c r="L3" s="111"/>
      <c r="M3" s="45"/>
    </row>
    <row r="4" spans="2:12" ht="12.75">
      <c r="B4" s="422" t="s">
        <v>71</v>
      </c>
      <c r="C4" s="424" t="s">
        <v>72</v>
      </c>
      <c r="D4" s="419" t="s">
        <v>73</v>
      </c>
      <c r="E4" s="420"/>
      <c r="F4" s="420"/>
      <c r="G4" s="421"/>
      <c r="H4" s="419" t="s">
        <v>74</v>
      </c>
      <c r="I4" s="420"/>
      <c r="J4" s="420"/>
      <c r="K4" s="421"/>
      <c r="L4" s="111"/>
    </row>
    <row r="5" spans="2:17" ht="25.5">
      <c r="B5" s="423"/>
      <c r="C5" s="425"/>
      <c r="D5" s="215" t="s">
        <v>252</v>
      </c>
      <c r="E5" s="216" t="s">
        <v>266</v>
      </c>
      <c r="F5" s="216" t="s">
        <v>267</v>
      </c>
      <c r="G5" s="217" t="s">
        <v>44</v>
      </c>
      <c r="H5" s="215" t="str">
        <f>+D5</f>
        <v>2016</v>
      </c>
      <c r="I5" s="218" t="str">
        <f>+E5</f>
        <v>ene-mar 2016</v>
      </c>
      <c r="J5" s="218" t="str">
        <f>+F5</f>
        <v>ene-mar 2017</v>
      </c>
      <c r="K5" s="219" t="s">
        <v>44</v>
      </c>
      <c r="L5" s="112"/>
      <c r="M5" s="41"/>
      <c r="O5" s="293" t="s">
        <v>253</v>
      </c>
      <c r="P5" s="293" t="s">
        <v>254</v>
      </c>
      <c r="Q5" s="301" t="s">
        <v>255</v>
      </c>
    </row>
    <row r="6" spans="2:17" ht="12.75">
      <c r="B6" s="417" t="s">
        <v>91</v>
      </c>
      <c r="C6" s="135" t="s">
        <v>79</v>
      </c>
      <c r="D6" s="346">
        <v>528974.6</v>
      </c>
      <c r="E6" s="347">
        <v>114560.04</v>
      </c>
      <c r="F6" s="347">
        <v>143517.14</v>
      </c>
      <c r="G6" s="348">
        <v>25.276789358662953</v>
      </c>
      <c r="H6" s="347">
        <v>3238323.51</v>
      </c>
      <c r="I6" s="347">
        <v>735310.08</v>
      </c>
      <c r="J6" s="347">
        <v>900630.7</v>
      </c>
      <c r="K6" s="348">
        <v>22.48311623852619</v>
      </c>
      <c r="L6" s="113"/>
      <c r="O6" s="294">
        <f>+F6-E6</f>
        <v>28957.10000000002</v>
      </c>
      <c r="P6" s="294">
        <f>+J6-I6</f>
        <v>165320.62</v>
      </c>
      <c r="Q6" s="298">
        <f>+IF(F6=0,0,J6/F6)</f>
        <v>6.275422573220173</v>
      </c>
    </row>
    <row r="7" spans="2:17" ht="12.75">
      <c r="B7" s="417"/>
      <c r="C7" s="238" t="s">
        <v>92</v>
      </c>
      <c r="D7" s="346">
        <v>95337.14</v>
      </c>
      <c r="E7" s="347">
        <v>48853.05</v>
      </c>
      <c r="F7" s="347">
        <v>19851.06</v>
      </c>
      <c r="G7" s="348">
        <v>-59.36577143085232</v>
      </c>
      <c r="H7" s="347">
        <v>348252.63</v>
      </c>
      <c r="I7" s="347">
        <v>178888.57</v>
      </c>
      <c r="J7" s="347">
        <v>74335.74</v>
      </c>
      <c r="K7" s="348">
        <v>-58.44578555242518</v>
      </c>
      <c r="L7" s="113"/>
      <c r="O7" s="294">
        <f aca="true" t="shared" si="0" ref="O7:O40">+F7-E7</f>
        <v>-29001.99</v>
      </c>
      <c r="P7" s="294">
        <f aca="true" t="shared" si="1" ref="P7:P40">+J7-I7</f>
        <v>-104552.83</v>
      </c>
      <c r="Q7" s="298">
        <f aca="true" t="shared" si="2" ref="Q7:Q40">+IF(F7=0,0,J7/F7)</f>
        <v>3.744673584181399</v>
      </c>
    </row>
    <row r="8" spans="2:17" ht="12.75">
      <c r="B8" s="417"/>
      <c r="C8" s="238" t="s">
        <v>90</v>
      </c>
      <c r="D8" s="346">
        <v>17916.32</v>
      </c>
      <c r="E8" s="347">
        <v>5983.12</v>
      </c>
      <c r="F8" s="347">
        <v>2861.76</v>
      </c>
      <c r="G8" s="348">
        <v>-52.16943668186498</v>
      </c>
      <c r="H8" s="347">
        <v>117060.66</v>
      </c>
      <c r="I8" s="347">
        <v>40590.26</v>
      </c>
      <c r="J8" s="347">
        <v>18415</v>
      </c>
      <c r="K8" s="348">
        <v>-54.63197328620216</v>
      </c>
      <c r="L8" s="113"/>
      <c r="O8" s="294">
        <f t="shared" si="0"/>
        <v>-3121.3599999999997</v>
      </c>
      <c r="P8" s="294">
        <f t="shared" si="1"/>
        <v>-22175.260000000002</v>
      </c>
      <c r="Q8" s="298">
        <f t="shared" si="2"/>
        <v>6.434851280330984</v>
      </c>
    </row>
    <row r="9" spans="2:17" ht="12.75">
      <c r="B9" s="417"/>
      <c r="C9" s="238" t="s">
        <v>77</v>
      </c>
      <c r="D9" s="346">
        <v>13053.04</v>
      </c>
      <c r="E9" s="347">
        <v>3346.56</v>
      </c>
      <c r="F9" s="347">
        <v>582.4</v>
      </c>
      <c r="G9" s="348">
        <v>-82.59705488621152</v>
      </c>
      <c r="H9" s="347">
        <v>106789.83</v>
      </c>
      <c r="I9" s="347">
        <v>29651.52</v>
      </c>
      <c r="J9" s="347">
        <v>5408</v>
      </c>
      <c r="K9" s="348">
        <v>-81.76147462254886</v>
      </c>
      <c r="L9" s="113"/>
      <c r="O9" s="294">
        <f t="shared" si="0"/>
        <v>-2764.16</v>
      </c>
      <c r="P9" s="294">
        <f t="shared" si="1"/>
        <v>-24243.52</v>
      </c>
      <c r="Q9" s="298">
        <f t="shared" si="2"/>
        <v>9.285714285714286</v>
      </c>
    </row>
    <row r="10" spans="2:17" ht="12.75">
      <c r="B10" s="417"/>
      <c r="C10" s="238" t="s">
        <v>127</v>
      </c>
      <c r="D10" s="346">
        <v>12506.88</v>
      </c>
      <c r="E10" s="347">
        <v>0</v>
      </c>
      <c r="F10" s="347">
        <v>0</v>
      </c>
      <c r="G10" s="348" t="s">
        <v>147</v>
      </c>
      <c r="H10" s="347">
        <v>30755.9</v>
      </c>
      <c r="I10" s="347">
        <v>0</v>
      </c>
      <c r="J10" s="347">
        <v>0</v>
      </c>
      <c r="K10" s="348" t="s">
        <v>147</v>
      </c>
      <c r="L10" s="113"/>
      <c r="O10" s="294">
        <f t="shared" si="0"/>
        <v>0</v>
      </c>
      <c r="P10" s="294">
        <f t="shared" si="1"/>
        <v>0</v>
      </c>
      <c r="Q10" s="298">
        <f t="shared" si="2"/>
        <v>0</v>
      </c>
    </row>
    <row r="11" spans="2:17" ht="12.75">
      <c r="B11" s="417"/>
      <c r="C11" s="238" t="s">
        <v>121</v>
      </c>
      <c r="D11" s="346">
        <v>205.6</v>
      </c>
      <c r="E11" s="347">
        <v>205.6</v>
      </c>
      <c r="F11" s="347">
        <v>0</v>
      </c>
      <c r="G11" s="348">
        <v>-100</v>
      </c>
      <c r="H11" s="347">
        <v>2159.7</v>
      </c>
      <c r="I11" s="347">
        <v>2159.7</v>
      </c>
      <c r="J11" s="347">
        <v>0</v>
      </c>
      <c r="K11" s="348">
        <v>-100</v>
      </c>
      <c r="L11" s="113"/>
      <c r="O11" s="294">
        <f t="shared" si="0"/>
        <v>-205.6</v>
      </c>
      <c r="P11" s="294">
        <f t="shared" si="1"/>
        <v>-2159.7</v>
      </c>
      <c r="Q11" s="298">
        <f t="shared" si="2"/>
        <v>0</v>
      </c>
    </row>
    <row r="12" spans="2:17" ht="12.75">
      <c r="B12" s="417"/>
      <c r="C12" s="238" t="s">
        <v>87</v>
      </c>
      <c r="D12" s="346">
        <v>121.52</v>
      </c>
      <c r="E12" s="347">
        <v>0</v>
      </c>
      <c r="F12" s="347">
        <v>0</v>
      </c>
      <c r="G12" s="348" t="s">
        <v>147</v>
      </c>
      <c r="H12" s="347">
        <v>851.16</v>
      </c>
      <c r="I12" s="347">
        <v>0</v>
      </c>
      <c r="J12" s="347">
        <v>0</v>
      </c>
      <c r="K12" s="348" t="s">
        <v>147</v>
      </c>
      <c r="L12" s="113"/>
      <c r="O12" s="294">
        <f t="shared" si="0"/>
        <v>0</v>
      </c>
      <c r="P12" s="294">
        <f t="shared" si="1"/>
        <v>0</v>
      </c>
      <c r="Q12" s="298">
        <f t="shared" si="2"/>
        <v>0</v>
      </c>
    </row>
    <row r="13" spans="2:17" ht="12.75">
      <c r="B13" s="417"/>
      <c r="C13" s="238" t="s">
        <v>76</v>
      </c>
      <c r="D13" s="346">
        <v>137.3</v>
      </c>
      <c r="E13" s="347">
        <v>0</v>
      </c>
      <c r="F13" s="347">
        <v>0</v>
      </c>
      <c r="G13" s="348" t="s">
        <v>147</v>
      </c>
      <c r="H13" s="347">
        <v>846.56</v>
      </c>
      <c r="I13" s="347">
        <v>0</v>
      </c>
      <c r="J13" s="347">
        <v>0</v>
      </c>
      <c r="K13" s="348" t="s">
        <v>147</v>
      </c>
      <c r="L13" s="113"/>
      <c r="O13" s="294">
        <f t="shared" si="0"/>
        <v>0</v>
      </c>
      <c r="P13" s="294">
        <f t="shared" si="1"/>
        <v>0</v>
      </c>
      <c r="Q13" s="298">
        <f t="shared" si="2"/>
        <v>0</v>
      </c>
    </row>
    <row r="14" spans="2:17" ht="12.75">
      <c r="B14" s="417"/>
      <c r="C14" s="238" t="s">
        <v>80</v>
      </c>
      <c r="D14" s="346">
        <v>600</v>
      </c>
      <c r="E14" s="347">
        <v>0</v>
      </c>
      <c r="F14" s="347">
        <v>138</v>
      </c>
      <c r="G14" s="348" t="s">
        <v>147</v>
      </c>
      <c r="H14" s="347">
        <v>700</v>
      </c>
      <c r="I14" s="347">
        <v>0</v>
      </c>
      <c r="J14" s="347">
        <v>184</v>
      </c>
      <c r="K14" s="348" t="s">
        <v>147</v>
      </c>
      <c r="L14" s="114"/>
      <c r="O14" s="294">
        <f t="shared" si="0"/>
        <v>138</v>
      </c>
      <c r="P14" s="294">
        <f t="shared" si="1"/>
        <v>184</v>
      </c>
      <c r="Q14" s="298">
        <f t="shared" si="2"/>
        <v>1.3333333333333333</v>
      </c>
    </row>
    <row r="15" spans="2:17" ht="12.75">
      <c r="B15" s="417"/>
      <c r="C15" s="238" t="s">
        <v>183</v>
      </c>
      <c r="D15" s="346">
        <v>98</v>
      </c>
      <c r="E15" s="347">
        <v>58.8</v>
      </c>
      <c r="F15" s="347">
        <v>0</v>
      </c>
      <c r="G15" s="348">
        <v>-100</v>
      </c>
      <c r="H15" s="347">
        <v>687</v>
      </c>
      <c r="I15" s="347">
        <v>411</v>
      </c>
      <c r="J15" s="347">
        <v>0</v>
      </c>
      <c r="K15" s="348">
        <v>-100</v>
      </c>
      <c r="L15" s="113"/>
      <c r="O15" s="294">
        <f t="shared" si="0"/>
        <v>-58.8</v>
      </c>
      <c r="P15" s="294">
        <f t="shared" si="1"/>
        <v>-411</v>
      </c>
      <c r="Q15" s="298">
        <f t="shared" si="2"/>
        <v>0</v>
      </c>
    </row>
    <row r="16" spans="2:17" ht="12.75">
      <c r="B16" s="417"/>
      <c r="C16" s="238" t="s">
        <v>84</v>
      </c>
      <c r="D16" s="346">
        <v>373.5</v>
      </c>
      <c r="E16" s="347">
        <v>0</v>
      </c>
      <c r="F16" s="347">
        <v>0</v>
      </c>
      <c r="G16" s="348" t="s">
        <v>147</v>
      </c>
      <c r="H16" s="347">
        <v>536.5</v>
      </c>
      <c r="I16" s="347">
        <v>0</v>
      </c>
      <c r="J16" s="347">
        <v>0</v>
      </c>
      <c r="K16" s="348" t="s">
        <v>147</v>
      </c>
      <c r="L16" s="113"/>
      <c r="O16" s="294">
        <f t="shared" si="0"/>
        <v>0</v>
      </c>
      <c r="P16" s="294">
        <f t="shared" si="1"/>
        <v>0</v>
      </c>
      <c r="Q16" s="298">
        <f t="shared" si="2"/>
        <v>0</v>
      </c>
    </row>
    <row r="17" spans="2:18" s="224" customFormat="1" ht="12.75">
      <c r="B17" s="417"/>
      <c r="C17" s="238" t="s">
        <v>179</v>
      </c>
      <c r="D17" s="346">
        <v>50</v>
      </c>
      <c r="E17" s="347">
        <v>0</v>
      </c>
      <c r="F17" s="347">
        <v>0</v>
      </c>
      <c r="G17" s="348" t="s">
        <v>147</v>
      </c>
      <c r="H17" s="347">
        <v>242</v>
      </c>
      <c r="I17" s="347">
        <v>0</v>
      </c>
      <c r="J17" s="347">
        <v>0</v>
      </c>
      <c r="K17" s="348" t="s">
        <v>147</v>
      </c>
      <c r="L17" s="235"/>
      <c r="N17" s="148"/>
      <c r="O17" s="294">
        <f t="shared" si="0"/>
        <v>0</v>
      </c>
      <c r="P17" s="294">
        <f t="shared" si="1"/>
        <v>0</v>
      </c>
      <c r="Q17" s="298">
        <f t="shared" si="2"/>
        <v>0</v>
      </c>
      <c r="R17" s="148"/>
    </row>
    <row r="18" spans="2:18" s="224" customFormat="1" ht="12.75">
      <c r="B18" s="417"/>
      <c r="C18" s="238" t="s">
        <v>242</v>
      </c>
      <c r="D18" s="228">
        <v>12.6</v>
      </c>
      <c r="E18" s="229">
        <v>0</v>
      </c>
      <c r="F18" s="229">
        <v>0</v>
      </c>
      <c r="G18" s="230" t="s">
        <v>147</v>
      </c>
      <c r="H18" s="229">
        <v>35.35</v>
      </c>
      <c r="I18" s="229">
        <v>0</v>
      </c>
      <c r="J18" s="229">
        <v>0</v>
      </c>
      <c r="K18" s="230" t="s">
        <v>147</v>
      </c>
      <c r="L18" s="235"/>
      <c r="N18" s="148"/>
      <c r="O18" s="294">
        <f t="shared" si="0"/>
        <v>0</v>
      </c>
      <c r="P18" s="294">
        <f t="shared" si="1"/>
        <v>0</v>
      </c>
      <c r="Q18" s="298">
        <f t="shared" si="2"/>
        <v>0</v>
      </c>
      <c r="R18" s="148"/>
    </row>
    <row r="19" spans="2:17" ht="12.75">
      <c r="B19" s="236" t="s">
        <v>114</v>
      </c>
      <c r="C19" s="237"/>
      <c r="D19" s="61">
        <v>669386.5</v>
      </c>
      <c r="E19" s="62">
        <v>173007.16999999998</v>
      </c>
      <c r="F19" s="62">
        <v>166950.36000000002</v>
      </c>
      <c r="G19" s="63">
        <v>-3.500901147622937</v>
      </c>
      <c r="H19" s="62">
        <v>3847240.8000000003</v>
      </c>
      <c r="I19" s="62">
        <v>987011.1299999999</v>
      </c>
      <c r="J19" s="62">
        <v>998973.44</v>
      </c>
      <c r="K19" s="63">
        <v>1.2119731618426721</v>
      </c>
      <c r="L19" s="114"/>
      <c r="O19" s="294">
        <f t="shared" si="0"/>
        <v>-6056.809999999969</v>
      </c>
      <c r="P19" s="294">
        <f t="shared" si="1"/>
        <v>11962.310000000056</v>
      </c>
      <c r="Q19" s="298">
        <f t="shared" si="2"/>
        <v>5.983655500952498</v>
      </c>
    </row>
    <row r="20" spans="2:17" ht="12.75">
      <c r="B20" s="413" t="s">
        <v>132</v>
      </c>
      <c r="C20" s="234" t="s">
        <v>76</v>
      </c>
      <c r="D20" s="346">
        <v>1150000</v>
      </c>
      <c r="E20" s="347">
        <v>0</v>
      </c>
      <c r="F20" s="347">
        <v>0</v>
      </c>
      <c r="G20" s="348" t="s">
        <v>147</v>
      </c>
      <c r="H20" s="347">
        <v>1211900</v>
      </c>
      <c r="I20" s="347">
        <v>0</v>
      </c>
      <c r="J20" s="347">
        <v>0</v>
      </c>
      <c r="K20" s="348" t="s">
        <v>147</v>
      </c>
      <c r="L20" s="113"/>
      <c r="O20" s="294">
        <f t="shared" si="0"/>
        <v>0</v>
      </c>
      <c r="P20" s="294">
        <f t="shared" si="1"/>
        <v>0</v>
      </c>
      <c r="Q20" s="298">
        <f t="shared" si="2"/>
        <v>0</v>
      </c>
    </row>
    <row r="21" spans="2:17" ht="12.75">
      <c r="B21" s="413"/>
      <c r="C21" s="68" t="s">
        <v>82</v>
      </c>
      <c r="D21" s="42">
        <v>240000</v>
      </c>
      <c r="E21" s="43">
        <v>0</v>
      </c>
      <c r="F21" s="43">
        <v>0</v>
      </c>
      <c r="G21" s="44" t="s">
        <v>147</v>
      </c>
      <c r="H21" s="43">
        <v>268800</v>
      </c>
      <c r="I21" s="43">
        <v>0</v>
      </c>
      <c r="J21" s="43">
        <v>0</v>
      </c>
      <c r="K21" s="44" t="s">
        <v>147</v>
      </c>
      <c r="L21" s="113"/>
      <c r="O21" s="294">
        <f t="shared" si="0"/>
        <v>0</v>
      </c>
      <c r="P21" s="294">
        <f t="shared" si="1"/>
        <v>0</v>
      </c>
      <c r="Q21" s="298">
        <f t="shared" si="2"/>
        <v>0</v>
      </c>
    </row>
    <row r="22" spans="2:17" ht="12.75">
      <c r="B22" s="236" t="s">
        <v>133</v>
      </c>
      <c r="C22" s="237"/>
      <c r="D22" s="61">
        <v>1390000</v>
      </c>
      <c r="E22" s="62">
        <v>0</v>
      </c>
      <c r="F22" s="62">
        <v>0</v>
      </c>
      <c r="G22" s="63" t="s">
        <v>147</v>
      </c>
      <c r="H22" s="62">
        <v>1480700</v>
      </c>
      <c r="I22" s="62">
        <v>0</v>
      </c>
      <c r="J22" s="62">
        <v>0</v>
      </c>
      <c r="K22" s="63" t="s">
        <v>147</v>
      </c>
      <c r="L22" s="113"/>
      <c r="O22" s="294">
        <f t="shared" si="0"/>
        <v>0</v>
      </c>
      <c r="P22" s="294">
        <f t="shared" si="1"/>
        <v>0</v>
      </c>
      <c r="Q22" s="298">
        <f t="shared" si="2"/>
        <v>0</v>
      </c>
    </row>
    <row r="23" spans="2:17" ht="12.75">
      <c r="B23" s="415" t="s">
        <v>86</v>
      </c>
      <c r="C23" s="67" t="s">
        <v>76</v>
      </c>
      <c r="D23" s="346">
        <v>2219600</v>
      </c>
      <c r="E23" s="347">
        <v>0</v>
      </c>
      <c r="F23" s="347">
        <v>0</v>
      </c>
      <c r="G23" s="348" t="s">
        <v>147</v>
      </c>
      <c r="H23" s="347">
        <v>961517</v>
      </c>
      <c r="I23" s="347">
        <v>0</v>
      </c>
      <c r="J23" s="347">
        <v>0</v>
      </c>
      <c r="K23" s="348" t="s">
        <v>147</v>
      </c>
      <c r="L23" s="113"/>
      <c r="O23" s="294">
        <f t="shared" si="0"/>
        <v>0</v>
      </c>
      <c r="P23" s="294">
        <f t="shared" si="1"/>
        <v>0</v>
      </c>
      <c r="Q23" s="298">
        <f t="shared" si="2"/>
        <v>0</v>
      </c>
    </row>
    <row r="24" spans="2:17" ht="12.75">
      <c r="B24" s="413"/>
      <c r="C24" s="68" t="s">
        <v>79</v>
      </c>
      <c r="D24" s="346">
        <v>252000</v>
      </c>
      <c r="E24" s="347">
        <v>0</v>
      </c>
      <c r="F24" s="347">
        <v>136000</v>
      </c>
      <c r="G24" s="348" t="s">
        <v>147</v>
      </c>
      <c r="H24" s="347">
        <v>72100</v>
      </c>
      <c r="I24" s="347">
        <v>0</v>
      </c>
      <c r="J24" s="347">
        <v>37300</v>
      </c>
      <c r="K24" s="348" t="s">
        <v>147</v>
      </c>
      <c r="L24" s="113"/>
      <c r="O24" s="294">
        <f t="shared" si="0"/>
        <v>136000</v>
      </c>
      <c r="P24" s="294">
        <f t="shared" si="1"/>
        <v>37300</v>
      </c>
      <c r="Q24" s="298">
        <f t="shared" si="2"/>
        <v>0.27426470588235297</v>
      </c>
    </row>
    <row r="25" spans="2:17" ht="12.75">
      <c r="B25" s="413"/>
      <c r="C25" s="68" t="s">
        <v>121</v>
      </c>
      <c r="D25" s="42">
        <v>300</v>
      </c>
      <c r="E25" s="43">
        <v>0</v>
      </c>
      <c r="F25" s="43">
        <v>0</v>
      </c>
      <c r="G25" s="44" t="s">
        <v>147</v>
      </c>
      <c r="H25" s="43">
        <v>297</v>
      </c>
      <c r="I25" s="43">
        <v>0</v>
      </c>
      <c r="J25" s="43">
        <v>0</v>
      </c>
      <c r="K25" s="44" t="s">
        <v>147</v>
      </c>
      <c r="L25" s="114"/>
      <c r="O25" s="294">
        <f t="shared" si="0"/>
        <v>0</v>
      </c>
      <c r="P25" s="294">
        <f t="shared" si="1"/>
        <v>0</v>
      </c>
      <c r="Q25" s="298">
        <f t="shared" si="2"/>
        <v>0</v>
      </c>
    </row>
    <row r="26" spans="2:17" ht="12.75">
      <c r="B26" s="236" t="s">
        <v>118</v>
      </c>
      <c r="C26" s="237"/>
      <c r="D26" s="61">
        <v>2471900</v>
      </c>
      <c r="E26" s="62">
        <v>0</v>
      </c>
      <c r="F26" s="62">
        <v>136000</v>
      </c>
      <c r="G26" s="63" t="s">
        <v>147</v>
      </c>
      <c r="H26" s="62">
        <v>1033914</v>
      </c>
      <c r="I26" s="62">
        <v>0</v>
      </c>
      <c r="J26" s="62">
        <v>37300</v>
      </c>
      <c r="K26" s="63" t="s">
        <v>147</v>
      </c>
      <c r="L26" s="113"/>
      <c r="O26" s="294">
        <f t="shared" si="0"/>
        <v>136000</v>
      </c>
      <c r="P26" s="294">
        <f t="shared" si="1"/>
        <v>37300</v>
      </c>
      <c r="Q26" s="298">
        <f t="shared" si="2"/>
        <v>0.27426470588235297</v>
      </c>
    </row>
    <row r="27" spans="2:17" ht="12.75">
      <c r="B27" s="415" t="s">
        <v>75</v>
      </c>
      <c r="C27" s="67" t="s">
        <v>80</v>
      </c>
      <c r="D27" s="346">
        <v>24487.5</v>
      </c>
      <c r="E27" s="347">
        <v>4980</v>
      </c>
      <c r="F27" s="347">
        <v>7350</v>
      </c>
      <c r="G27" s="348">
        <v>47.590361445783124</v>
      </c>
      <c r="H27" s="347">
        <v>52725.84</v>
      </c>
      <c r="I27" s="347">
        <v>8077</v>
      </c>
      <c r="J27" s="347">
        <v>15416</v>
      </c>
      <c r="K27" s="348">
        <v>90.86294416243655</v>
      </c>
      <c r="L27" s="113"/>
      <c r="O27" s="294">
        <f t="shared" si="0"/>
        <v>2370</v>
      </c>
      <c r="P27" s="294">
        <f t="shared" si="1"/>
        <v>7339</v>
      </c>
      <c r="Q27" s="298">
        <f t="shared" si="2"/>
        <v>2.0974149659863945</v>
      </c>
    </row>
    <row r="28" spans="2:17" ht="12.75">
      <c r="B28" s="413"/>
      <c r="C28" s="68" t="s">
        <v>78</v>
      </c>
      <c r="D28" s="346">
        <v>600</v>
      </c>
      <c r="E28" s="347">
        <v>0</v>
      </c>
      <c r="F28" s="347">
        <v>300</v>
      </c>
      <c r="G28" s="348" t="s">
        <v>147</v>
      </c>
      <c r="H28" s="347">
        <v>4819.46</v>
      </c>
      <c r="I28" s="347">
        <v>0</v>
      </c>
      <c r="J28" s="347">
        <v>2488.76</v>
      </c>
      <c r="K28" s="348" t="s">
        <v>147</v>
      </c>
      <c r="L28" s="113"/>
      <c r="O28" s="294">
        <f t="shared" si="0"/>
        <v>300</v>
      </c>
      <c r="P28" s="294">
        <f t="shared" si="1"/>
        <v>2488.76</v>
      </c>
      <c r="Q28" s="298">
        <f t="shared" si="2"/>
        <v>8.295866666666667</v>
      </c>
    </row>
    <row r="29" spans="2:17" ht="12.75">
      <c r="B29" s="413"/>
      <c r="C29" s="68" t="s">
        <v>84</v>
      </c>
      <c r="D29" s="346">
        <v>140</v>
      </c>
      <c r="E29" s="347">
        <v>45</v>
      </c>
      <c r="F29" s="347">
        <v>0</v>
      </c>
      <c r="G29" s="348">
        <v>-100</v>
      </c>
      <c r="H29" s="347">
        <v>417.21</v>
      </c>
      <c r="I29" s="347">
        <v>139.07</v>
      </c>
      <c r="J29" s="347">
        <v>0</v>
      </c>
      <c r="K29" s="348">
        <v>-100</v>
      </c>
      <c r="L29" s="113"/>
      <c r="O29" s="294">
        <f t="shared" si="0"/>
        <v>-45</v>
      </c>
      <c r="P29" s="294">
        <f t="shared" si="1"/>
        <v>-139.07</v>
      </c>
      <c r="Q29" s="298">
        <f t="shared" si="2"/>
        <v>0</v>
      </c>
    </row>
    <row r="30" spans="2:17" ht="12.75">
      <c r="B30" s="416"/>
      <c r="C30" s="68" t="s">
        <v>77</v>
      </c>
      <c r="D30" s="42">
        <v>255</v>
      </c>
      <c r="E30" s="43">
        <v>60</v>
      </c>
      <c r="F30" s="43">
        <v>0</v>
      </c>
      <c r="G30" s="44">
        <v>-100</v>
      </c>
      <c r="H30" s="43">
        <v>355</v>
      </c>
      <c r="I30" s="43">
        <v>100</v>
      </c>
      <c r="J30" s="43">
        <v>0</v>
      </c>
      <c r="K30" s="44">
        <v>-100</v>
      </c>
      <c r="L30" s="114"/>
      <c r="O30" s="294">
        <f t="shared" si="0"/>
        <v>-60</v>
      </c>
      <c r="P30" s="294">
        <f t="shared" si="1"/>
        <v>-100</v>
      </c>
      <c r="Q30" s="298">
        <f t="shared" si="2"/>
        <v>0</v>
      </c>
    </row>
    <row r="31" spans="2:17" ht="12.75">
      <c r="B31" s="236" t="s">
        <v>115</v>
      </c>
      <c r="C31" s="237"/>
      <c r="D31" s="61">
        <v>25482.5</v>
      </c>
      <c r="E31" s="62">
        <v>5085</v>
      </c>
      <c r="F31" s="62">
        <v>7650</v>
      </c>
      <c r="G31" s="63">
        <v>50.44247787610618</v>
      </c>
      <c r="H31" s="62">
        <v>58317.509999999995</v>
      </c>
      <c r="I31" s="62">
        <v>8316.07</v>
      </c>
      <c r="J31" s="62">
        <v>17904.760000000002</v>
      </c>
      <c r="K31" s="63">
        <v>115.30314198894432</v>
      </c>
      <c r="L31" s="113"/>
      <c r="O31" s="294">
        <f t="shared" si="0"/>
        <v>2565</v>
      </c>
      <c r="P31" s="294">
        <f t="shared" si="1"/>
        <v>9588.690000000002</v>
      </c>
      <c r="Q31" s="298">
        <f t="shared" si="2"/>
        <v>2.340491503267974</v>
      </c>
    </row>
    <row r="32" spans="2:17" ht="12.75">
      <c r="B32" s="415" t="s">
        <v>88</v>
      </c>
      <c r="C32" s="135" t="s">
        <v>96</v>
      </c>
      <c r="D32" s="346">
        <v>44750</v>
      </c>
      <c r="E32" s="347">
        <v>0</v>
      </c>
      <c r="F32" s="347">
        <v>0</v>
      </c>
      <c r="G32" s="348" t="s">
        <v>147</v>
      </c>
      <c r="H32" s="347">
        <v>41617.5</v>
      </c>
      <c r="I32" s="347">
        <v>0</v>
      </c>
      <c r="J32" s="347">
        <v>0</v>
      </c>
      <c r="K32" s="348" t="s">
        <v>147</v>
      </c>
      <c r="O32" s="294">
        <f t="shared" si="0"/>
        <v>0</v>
      </c>
      <c r="P32" s="294">
        <f t="shared" si="1"/>
        <v>0</v>
      </c>
      <c r="Q32" s="298">
        <f t="shared" si="2"/>
        <v>0</v>
      </c>
    </row>
    <row r="33" spans="2:17" ht="12.75">
      <c r="B33" s="413"/>
      <c r="C33" s="136" t="s">
        <v>77</v>
      </c>
      <c r="D33" s="346">
        <v>3330</v>
      </c>
      <c r="E33" s="347">
        <v>15</v>
      </c>
      <c r="F33" s="347">
        <v>0</v>
      </c>
      <c r="G33" s="348">
        <v>-100</v>
      </c>
      <c r="H33" s="347">
        <v>5843.75</v>
      </c>
      <c r="I33" s="347">
        <v>35</v>
      </c>
      <c r="J33" s="347">
        <v>0</v>
      </c>
      <c r="K33" s="348">
        <v>-100</v>
      </c>
      <c r="O33" s="294">
        <f t="shared" si="0"/>
        <v>-15</v>
      </c>
      <c r="P33" s="294">
        <f t="shared" si="1"/>
        <v>-35</v>
      </c>
      <c r="Q33" s="298">
        <f t="shared" si="2"/>
        <v>0</v>
      </c>
    </row>
    <row r="34" spans="2:17" ht="12.75">
      <c r="B34" s="413"/>
      <c r="C34" s="136" t="s">
        <v>121</v>
      </c>
      <c r="D34" s="346">
        <v>107.82</v>
      </c>
      <c r="E34" s="347">
        <v>0</v>
      </c>
      <c r="F34" s="347">
        <v>0</v>
      </c>
      <c r="G34" s="348" t="s">
        <v>147</v>
      </c>
      <c r="H34" s="347">
        <v>1402.68</v>
      </c>
      <c r="I34" s="347">
        <v>0</v>
      </c>
      <c r="J34" s="347">
        <v>0</v>
      </c>
      <c r="K34" s="348" t="s">
        <v>147</v>
      </c>
      <c r="M34" s="165"/>
      <c r="O34" s="294">
        <f t="shared" si="0"/>
        <v>0</v>
      </c>
      <c r="P34" s="294">
        <f t="shared" si="1"/>
        <v>0</v>
      </c>
      <c r="Q34" s="298">
        <f t="shared" si="2"/>
        <v>0</v>
      </c>
    </row>
    <row r="35" spans="2:17" ht="12.75">
      <c r="B35" s="413"/>
      <c r="C35" s="136" t="s">
        <v>80</v>
      </c>
      <c r="D35" s="346">
        <v>870</v>
      </c>
      <c r="E35" s="347">
        <v>0</v>
      </c>
      <c r="F35" s="347">
        <v>0</v>
      </c>
      <c r="G35" s="348" t="s">
        <v>147</v>
      </c>
      <c r="H35" s="347">
        <v>770</v>
      </c>
      <c r="I35" s="347">
        <v>0</v>
      </c>
      <c r="J35" s="347">
        <v>0</v>
      </c>
      <c r="K35" s="348" t="s">
        <v>147</v>
      </c>
      <c r="M35" s="165"/>
      <c r="O35" s="294">
        <f t="shared" si="0"/>
        <v>0</v>
      </c>
      <c r="P35" s="294">
        <f t="shared" si="1"/>
        <v>0</v>
      </c>
      <c r="Q35" s="298">
        <f t="shared" si="2"/>
        <v>0</v>
      </c>
    </row>
    <row r="36" spans="2:17" ht="12.75">
      <c r="B36" s="413"/>
      <c r="C36" s="136" t="s">
        <v>89</v>
      </c>
      <c r="D36" s="42">
        <v>290</v>
      </c>
      <c r="E36" s="43">
        <v>0</v>
      </c>
      <c r="F36" s="43">
        <v>0</v>
      </c>
      <c r="G36" s="44" t="s">
        <v>147</v>
      </c>
      <c r="H36" s="43">
        <v>524.38</v>
      </c>
      <c r="I36" s="43">
        <v>0</v>
      </c>
      <c r="J36" s="43">
        <v>0</v>
      </c>
      <c r="K36" s="44" t="s">
        <v>147</v>
      </c>
      <c r="M36" s="165"/>
      <c r="O36" s="294">
        <f t="shared" si="0"/>
        <v>0</v>
      </c>
      <c r="P36" s="294">
        <f t="shared" si="1"/>
        <v>0</v>
      </c>
      <c r="Q36" s="298">
        <f t="shared" si="2"/>
        <v>0</v>
      </c>
    </row>
    <row r="37" spans="2:17" ht="12.75">
      <c r="B37" s="126" t="s">
        <v>113</v>
      </c>
      <c r="C37" s="127"/>
      <c r="D37" s="64">
        <v>49347.82</v>
      </c>
      <c r="E37" s="65">
        <v>15</v>
      </c>
      <c r="F37" s="65">
        <v>0</v>
      </c>
      <c r="G37" s="66">
        <v>-100</v>
      </c>
      <c r="H37" s="65">
        <v>50158.31</v>
      </c>
      <c r="I37" s="65">
        <v>35</v>
      </c>
      <c r="J37" s="65">
        <v>0</v>
      </c>
      <c r="K37" s="66">
        <v>-100</v>
      </c>
      <c r="O37" s="294">
        <f t="shared" si="0"/>
        <v>-15</v>
      </c>
      <c r="P37" s="294">
        <f t="shared" si="1"/>
        <v>-35</v>
      </c>
      <c r="Q37" s="298">
        <f t="shared" si="2"/>
        <v>0</v>
      </c>
    </row>
    <row r="38" spans="2:18" s="224" customFormat="1" ht="12.75">
      <c r="B38" s="240" t="s">
        <v>83</v>
      </c>
      <c r="C38" s="233" t="s">
        <v>84</v>
      </c>
      <c r="D38" s="225">
        <v>10.42</v>
      </c>
      <c r="E38" s="226">
        <v>0</v>
      </c>
      <c r="F38" s="226">
        <v>0</v>
      </c>
      <c r="G38" s="227" t="s">
        <v>147</v>
      </c>
      <c r="H38" s="226">
        <v>31.85</v>
      </c>
      <c r="I38" s="226">
        <v>0</v>
      </c>
      <c r="J38" s="226">
        <v>0</v>
      </c>
      <c r="K38" s="227" t="s">
        <v>147</v>
      </c>
      <c r="N38" s="148"/>
      <c r="O38" s="294">
        <f t="shared" si="0"/>
        <v>0</v>
      </c>
      <c r="P38" s="294">
        <f t="shared" si="1"/>
        <v>0</v>
      </c>
      <c r="Q38" s="298">
        <f t="shared" si="2"/>
        <v>0</v>
      </c>
      <c r="R38" s="148"/>
    </row>
    <row r="39" spans="2:18" s="224" customFormat="1" ht="12.75">
      <c r="B39" s="236" t="s">
        <v>116</v>
      </c>
      <c r="C39" s="237"/>
      <c r="D39" s="231">
        <v>10.42</v>
      </c>
      <c r="E39" s="232">
        <v>0</v>
      </c>
      <c r="F39" s="232">
        <v>0</v>
      </c>
      <c r="G39" s="227" t="s">
        <v>147</v>
      </c>
      <c r="H39" s="232">
        <v>31.85</v>
      </c>
      <c r="I39" s="232">
        <v>0</v>
      </c>
      <c r="J39" s="232">
        <v>0</v>
      </c>
      <c r="K39" s="227" t="s">
        <v>147</v>
      </c>
      <c r="N39" s="148"/>
      <c r="O39" s="294">
        <f t="shared" si="0"/>
        <v>0</v>
      </c>
      <c r="P39" s="294">
        <f t="shared" si="1"/>
        <v>0</v>
      </c>
      <c r="Q39" s="298">
        <f t="shared" si="2"/>
        <v>0</v>
      </c>
      <c r="R39" s="148"/>
    </row>
    <row r="40" spans="2:17" ht="12.75">
      <c r="B40" s="126" t="s">
        <v>93</v>
      </c>
      <c r="C40" s="127"/>
      <c r="D40" s="61">
        <v>4606127.239999998</v>
      </c>
      <c r="E40" s="62">
        <v>178107.16999999998</v>
      </c>
      <c r="F40" s="62">
        <v>310600.36000000004</v>
      </c>
      <c r="G40" s="63">
        <v>74.38958802163893</v>
      </c>
      <c r="H40" s="62">
        <v>6470362.47</v>
      </c>
      <c r="I40" s="62">
        <v>995362.2</v>
      </c>
      <c r="J40" s="62">
        <v>1054178.2</v>
      </c>
      <c r="K40" s="63">
        <v>5.909004782379723</v>
      </c>
      <c r="O40" s="294">
        <f t="shared" si="0"/>
        <v>132493.19000000006</v>
      </c>
      <c r="P40" s="294">
        <f t="shared" si="1"/>
        <v>58816</v>
      </c>
      <c r="Q40" s="298">
        <f t="shared" si="2"/>
        <v>3.3940018614273333</v>
      </c>
    </row>
    <row r="41" spans="2:11" ht="12.75">
      <c r="B41" s="414" t="s">
        <v>152</v>
      </c>
      <c r="C41" s="414"/>
      <c r="D41" s="414"/>
      <c r="E41" s="414"/>
      <c r="F41" s="414"/>
      <c r="G41" s="414"/>
      <c r="H41" s="414"/>
      <c r="I41" s="414"/>
      <c r="J41" s="414"/>
      <c r="K41" s="414"/>
    </row>
  </sheetData>
  <sheetProtection/>
  <mergeCells count="11">
    <mergeCell ref="B2:K2"/>
    <mergeCell ref="D4:G4"/>
    <mergeCell ref="H4:K4"/>
    <mergeCell ref="B4:B5"/>
    <mergeCell ref="C4:C5"/>
    <mergeCell ref="B20:B21"/>
    <mergeCell ref="B41:K41"/>
    <mergeCell ref="B27:B30"/>
    <mergeCell ref="B23:B25"/>
    <mergeCell ref="B32:B36"/>
    <mergeCell ref="B6:B18"/>
  </mergeCells>
  <conditionalFormatting sqref="O6:O40">
    <cfRule type="colorScale" priority="9" dxfId="2">
      <colorScale>
        <cfvo type="min" val="0"/>
        <cfvo type="percentile" val="50"/>
        <cfvo type="max"/>
        <color rgb="FFF8696B"/>
        <color rgb="FFFFEB84"/>
        <color rgb="FF63BE7B"/>
      </colorScale>
    </cfRule>
  </conditionalFormatting>
  <conditionalFormatting sqref="P6:P40">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2:S113"/>
  <sheetViews>
    <sheetView zoomScale="80" zoomScaleNormal="80" zoomScalePageLayoutView="0" workbookViewId="0" topLeftCell="A1">
      <selection activeCell="A1" sqref="A1"/>
    </sheetView>
  </sheetViews>
  <sheetFormatPr defaultColWidth="10.8515625" defaultRowHeight="15"/>
  <cols>
    <col min="1" max="1" width="1.421875" style="35" customWidth="1"/>
    <col min="2" max="2" width="18.421875" style="35" customWidth="1"/>
    <col min="3" max="3" width="18.8515625" style="35" customWidth="1"/>
    <col min="4" max="11" width="11.7109375" style="35" customWidth="1"/>
    <col min="12" max="12" width="2.8515625" style="35" customWidth="1"/>
    <col min="13" max="13" width="10.8515625" style="35" customWidth="1"/>
    <col min="14" max="14" width="4.421875" style="148" customWidth="1"/>
    <col min="15" max="15" width="5.00390625" style="302" hidden="1" customWidth="1"/>
    <col min="16" max="16" width="10.8515625" style="302" hidden="1" customWidth="1"/>
    <col min="17" max="17" width="10.8515625" style="285" hidden="1" customWidth="1"/>
    <col min="18" max="18" width="8.421875" style="285" hidden="1" customWidth="1"/>
    <col min="19" max="19" width="10.8515625" style="148" customWidth="1"/>
    <col min="20" max="16384" width="10.8515625" style="35" customWidth="1"/>
  </cols>
  <sheetData>
    <row r="2" spans="2:14" ht="15">
      <c r="B2" s="418" t="s">
        <v>210</v>
      </c>
      <c r="C2" s="418"/>
      <c r="D2" s="418"/>
      <c r="E2" s="418"/>
      <c r="F2" s="418"/>
      <c r="G2" s="418"/>
      <c r="H2" s="418"/>
      <c r="I2" s="418"/>
      <c r="J2" s="418"/>
      <c r="K2" s="418"/>
      <c r="L2" s="111"/>
      <c r="M2" s="45" t="s">
        <v>151</v>
      </c>
      <c r="N2" s="150"/>
    </row>
    <row r="3" spans="2:14" ht="15">
      <c r="B3" s="111"/>
      <c r="C3" s="111"/>
      <c r="D3" s="111"/>
      <c r="E3" s="111"/>
      <c r="F3" s="111"/>
      <c r="G3" s="111"/>
      <c r="H3" s="111"/>
      <c r="I3" s="111"/>
      <c r="J3" s="111"/>
      <c r="K3" s="111"/>
      <c r="L3" s="111"/>
      <c r="M3" s="45"/>
      <c r="N3" s="150"/>
    </row>
    <row r="4" spans="2:12" ht="15">
      <c r="B4" s="426" t="s">
        <v>71</v>
      </c>
      <c r="C4" s="426" t="s">
        <v>72</v>
      </c>
      <c r="D4" s="419" t="s">
        <v>73</v>
      </c>
      <c r="E4" s="420"/>
      <c r="F4" s="420"/>
      <c r="G4" s="421"/>
      <c r="H4" s="419" t="s">
        <v>94</v>
      </c>
      <c r="I4" s="420"/>
      <c r="J4" s="420"/>
      <c r="K4" s="421"/>
      <c r="L4" s="111"/>
    </row>
    <row r="5" spans="2:18" ht="25.5">
      <c r="B5" s="427"/>
      <c r="C5" s="427"/>
      <c r="D5" s="36" t="str">
        <f>+export!D5</f>
        <v>2016</v>
      </c>
      <c r="E5" s="37" t="str">
        <f>+export!E5</f>
        <v>ene-mar 2016</v>
      </c>
      <c r="F5" s="37" t="str">
        <f>+export!F5</f>
        <v>ene-mar 2017</v>
      </c>
      <c r="G5" s="38" t="s">
        <v>44</v>
      </c>
      <c r="H5" s="36" t="str">
        <f>+export!H5</f>
        <v>2016</v>
      </c>
      <c r="I5" s="39" t="str">
        <f>+export!I5</f>
        <v>ene-mar 2016</v>
      </c>
      <c r="J5" s="39" t="str">
        <f>+export!J5</f>
        <v>ene-mar 2017</v>
      </c>
      <c r="K5" s="40" t="s">
        <v>44</v>
      </c>
      <c r="L5" s="112"/>
      <c r="P5" s="293" t="str">
        <f>+export!O5</f>
        <v>diff Vol</v>
      </c>
      <c r="Q5" s="293" t="str">
        <f>+export!P5</f>
        <v>diff $</v>
      </c>
      <c r="R5" s="293" t="str">
        <f>+export!Q5</f>
        <v>Px 2017</v>
      </c>
    </row>
    <row r="6" spans="2:18" ht="15">
      <c r="B6" s="415" t="s">
        <v>88</v>
      </c>
      <c r="C6" s="341" t="s">
        <v>96</v>
      </c>
      <c r="D6" s="342">
        <v>47173548.3941</v>
      </c>
      <c r="E6" s="343">
        <v>10118505.59</v>
      </c>
      <c r="F6" s="343">
        <v>12345641</v>
      </c>
      <c r="G6" s="344">
        <v>22.01051716768385</v>
      </c>
      <c r="H6" s="343">
        <v>36729736.76</v>
      </c>
      <c r="I6" s="343">
        <v>7597259.86</v>
      </c>
      <c r="J6" s="343">
        <v>9609945.64</v>
      </c>
      <c r="K6" s="344">
        <v>26.492259276228047</v>
      </c>
      <c r="L6" s="113"/>
      <c r="O6" s="303">
        <f aca="true" t="shared" si="0" ref="O6:O12">+J6/$J$21</f>
        <v>0.49509863157513834</v>
      </c>
      <c r="P6" s="294">
        <f>+F6-E6</f>
        <v>2227135.41</v>
      </c>
      <c r="Q6" s="294">
        <f>+J6-I6</f>
        <v>2012685.7800000003</v>
      </c>
      <c r="R6" s="298">
        <f>+IF(F6=0,0,J6/F6)</f>
        <v>0.7784079935582122</v>
      </c>
    </row>
    <row r="7" spans="2:18" ht="15">
      <c r="B7" s="413"/>
      <c r="C7" s="345" t="s">
        <v>129</v>
      </c>
      <c r="D7" s="346">
        <v>25016697.2477</v>
      </c>
      <c r="E7" s="347">
        <v>6549730</v>
      </c>
      <c r="F7" s="347">
        <v>6861136.1</v>
      </c>
      <c r="G7" s="348">
        <v>4.75448758956476</v>
      </c>
      <c r="H7" s="347">
        <v>19994052.33</v>
      </c>
      <c r="I7" s="347">
        <v>5096485.62</v>
      </c>
      <c r="J7" s="347">
        <v>5408207.44</v>
      </c>
      <c r="K7" s="348">
        <v>6.116407329331386</v>
      </c>
      <c r="L7" s="113"/>
      <c r="O7" s="303">
        <f t="shared" si="0"/>
        <v>0.27862760135430714</v>
      </c>
      <c r="P7" s="294">
        <f aca="true" t="shared" si="1" ref="P7:P70">+F7-E7</f>
        <v>311406.0999999996</v>
      </c>
      <c r="Q7" s="294">
        <f aca="true" t="shared" si="2" ref="Q7:Q70">+J7-I7</f>
        <v>311721.8200000003</v>
      </c>
      <c r="R7" s="298">
        <f aca="true" t="shared" si="3" ref="R7:R70">+IF(F7=0,0,J7/F7)</f>
        <v>0.7882378896404636</v>
      </c>
    </row>
    <row r="8" spans="2:18" ht="15">
      <c r="B8" s="413"/>
      <c r="C8" s="345" t="s">
        <v>79</v>
      </c>
      <c r="D8" s="346">
        <v>10528578.4985</v>
      </c>
      <c r="E8" s="347">
        <v>2747887.8</v>
      </c>
      <c r="F8" s="347">
        <v>1936151.2</v>
      </c>
      <c r="G8" s="348">
        <v>-29.540383708534236</v>
      </c>
      <c r="H8" s="347">
        <v>11875265.83</v>
      </c>
      <c r="I8" s="347">
        <v>3049997.22</v>
      </c>
      <c r="J8" s="347">
        <v>2371951.75</v>
      </c>
      <c r="K8" s="348">
        <v>-22.23101927942086</v>
      </c>
      <c r="L8" s="113"/>
      <c r="O8" s="303">
        <f t="shared" si="0"/>
        <v>0.12220153053719611</v>
      </c>
      <c r="P8" s="294">
        <f t="shared" si="1"/>
        <v>-811736.5999999999</v>
      </c>
      <c r="Q8" s="294">
        <f t="shared" si="2"/>
        <v>-678045.4700000002</v>
      </c>
      <c r="R8" s="298">
        <f t="shared" si="3"/>
        <v>1.2250860108446076</v>
      </c>
    </row>
    <row r="9" spans="2:18" ht="15">
      <c r="B9" s="413"/>
      <c r="C9" s="345" t="s">
        <v>95</v>
      </c>
      <c r="D9" s="346">
        <v>9095842.7362</v>
      </c>
      <c r="E9" s="347">
        <v>2690945</v>
      </c>
      <c r="F9" s="347">
        <v>2262135</v>
      </c>
      <c r="G9" s="348">
        <v>-15.935294106717157</v>
      </c>
      <c r="H9" s="347">
        <v>6919707.18</v>
      </c>
      <c r="I9" s="347">
        <v>1992003.3</v>
      </c>
      <c r="J9" s="347">
        <v>1717172.44</v>
      </c>
      <c r="K9" s="348">
        <v>-13.796707063688107</v>
      </c>
      <c r="L9" s="113"/>
      <c r="O9" s="303">
        <f t="shared" si="0"/>
        <v>0.08846769347828914</v>
      </c>
      <c r="P9" s="294">
        <f t="shared" si="1"/>
        <v>-428810</v>
      </c>
      <c r="Q9" s="294">
        <f t="shared" si="2"/>
        <v>-274830.8600000001</v>
      </c>
      <c r="R9" s="298">
        <f t="shared" si="3"/>
        <v>0.7590937057249014</v>
      </c>
    </row>
    <row r="10" spans="2:18" ht="15">
      <c r="B10" s="413"/>
      <c r="C10" s="345" t="s">
        <v>127</v>
      </c>
      <c r="D10" s="346">
        <v>512774.2314</v>
      </c>
      <c r="E10" s="347">
        <v>150246.138</v>
      </c>
      <c r="F10" s="347">
        <v>137051.0061</v>
      </c>
      <c r="G10" s="348">
        <v>-8.782343476941822</v>
      </c>
      <c r="H10" s="347">
        <v>743324.95</v>
      </c>
      <c r="I10" s="347">
        <v>209231.23</v>
      </c>
      <c r="J10" s="347">
        <v>194492.67</v>
      </c>
      <c r="K10" s="348">
        <v>-7.044149193215565</v>
      </c>
      <c r="L10" s="113"/>
      <c r="M10" s="41"/>
      <c r="O10" s="303">
        <f t="shared" si="0"/>
        <v>0.010020145625755586</v>
      </c>
      <c r="P10" s="294">
        <f t="shared" si="1"/>
        <v>-13195.131900000008</v>
      </c>
      <c r="Q10" s="294">
        <f t="shared" si="2"/>
        <v>-14738.559999999998</v>
      </c>
      <c r="R10" s="298">
        <f t="shared" si="3"/>
        <v>1.4191261745140886</v>
      </c>
    </row>
    <row r="11" spans="2:18" ht="15">
      <c r="B11" s="413"/>
      <c r="C11" s="345" t="s">
        <v>100</v>
      </c>
      <c r="D11" s="346">
        <v>553778.084</v>
      </c>
      <c r="E11" s="347">
        <v>197448.9462</v>
      </c>
      <c r="F11" s="347">
        <v>93135.2769</v>
      </c>
      <c r="G11" s="348">
        <v>-52.83070449732287</v>
      </c>
      <c r="H11" s="347">
        <v>506226.95</v>
      </c>
      <c r="I11" s="347">
        <v>155736.35</v>
      </c>
      <c r="J11" s="347">
        <v>90571.16</v>
      </c>
      <c r="K11" s="348">
        <v>-41.843275510181144</v>
      </c>
      <c r="L11" s="113"/>
      <c r="O11" s="303">
        <f t="shared" si="0"/>
        <v>0.004666171803254124</v>
      </c>
      <c r="P11" s="294">
        <f t="shared" si="1"/>
        <v>-104313.66930000001</v>
      </c>
      <c r="Q11" s="294">
        <f t="shared" si="2"/>
        <v>-65165.19</v>
      </c>
      <c r="R11" s="298">
        <f t="shared" si="3"/>
        <v>0.9724688970136085</v>
      </c>
    </row>
    <row r="12" spans="2:18" ht="15">
      <c r="B12" s="413"/>
      <c r="C12" s="345" t="s">
        <v>119</v>
      </c>
      <c r="D12" s="346">
        <v>75600</v>
      </c>
      <c r="E12" s="347">
        <v>0</v>
      </c>
      <c r="F12" s="347">
        <v>2956.8</v>
      </c>
      <c r="G12" s="348" t="s">
        <v>147</v>
      </c>
      <c r="H12" s="347">
        <v>55192.78</v>
      </c>
      <c r="I12" s="347">
        <v>0</v>
      </c>
      <c r="J12" s="347">
        <v>15216.37</v>
      </c>
      <c r="K12" s="348" t="s">
        <v>147</v>
      </c>
      <c r="L12" s="113"/>
      <c r="O12" s="303">
        <f t="shared" si="0"/>
        <v>0.0007839382496799417</v>
      </c>
      <c r="P12" s="294">
        <f t="shared" si="1"/>
        <v>2956.8</v>
      </c>
      <c r="Q12" s="294">
        <f t="shared" si="2"/>
        <v>15216.37</v>
      </c>
      <c r="R12" s="298">
        <f t="shared" si="3"/>
        <v>5.146229031385281</v>
      </c>
    </row>
    <row r="13" spans="2:18" ht="15">
      <c r="B13" s="413"/>
      <c r="C13" s="345" t="s">
        <v>84</v>
      </c>
      <c r="D13" s="346">
        <v>8976.67</v>
      </c>
      <c r="E13" s="347">
        <v>8976.67</v>
      </c>
      <c r="F13" s="347">
        <v>0</v>
      </c>
      <c r="G13" s="348">
        <v>-100</v>
      </c>
      <c r="H13" s="347">
        <v>51485.8</v>
      </c>
      <c r="I13" s="347">
        <v>51485.8</v>
      </c>
      <c r="J13" s="347">
        <v>0</v>
      </c>
      <c r="K13" s="348">
        <v>-100</v>
      </c>
      <c r="L13" s="113"/>
      <c r="O13" s="304"/>
      <c r="P13" s="294">
        <f t="shared" si="1"/>
        <v>-8976.67</v>
      </c>
      <c r="Q13" s="294">
        <f t="shared" si="2"/>
        <v>-51485.8</v>
      </c>
      <c r="R13" s="298">
        <f t="shared" si="3"/>
        <v>0</v>
      </c>
    </row>
    <row r="14" spans="2:18" ht="15">
      <c r="B14" s="413"/>
      <c r="C14" s="345" t="s">
        <v>77</v>
      </c>
      <c r="D14" s="346">
        <v>8721.63</v>
      </c>
      <c r="E14" s="347">
        <v>0</v>
      </c>
      <c r="F14" s="347">
        <v>1200</v>
      </c>
      <c r="G14" s="348" t="s">
        <v>147</v>
      </c>
      <c r="H14" s="347">
        <v>19631.86</v>
      </c>
      <c r="I14" s="347">
        <v>0</v>
      </c>
      <c r="J14" s="347">
        <v>2593.58</v>
      </c>
      <c r="K14" s="348" t="s">
        <v>147</v>
      </c>
      <c r="L14" s="113"/>
      <c r="O14" s="304"/>
      <c r="P14" s="294">
        <f t="shared" si="1"/>
        <v>1200</v>
      </c>
      <c r="Q14" s="294">
        <f t="shared" si="2"/>
        <v>2593.58</v>
      </c>
      <c r="R14" s="298">
        <f t="shared" si="3"/>
        <v>2.1613166666666666</v>
      </c>
    </row>
    <row r="15" spans="2:18" ht="15">
      <c r="B15" s="413"/>
      <c r="C15" s="345" t="s">
        <v>181</v>
      </c>
      <c r="D15" s="346">
        <v>20820</v>
      </c>
      <c r="E15" s="347">
        <v>0</v>
      </c>
      <c r="F15" s="347">
        <v>0</v>
      </c>
      <c r="G15" s="348" t="s">
        <v>147</v>
      </c>
      <c r="H15" s="347">
        <v>16078.07</v>
      </c>
      <c r="I15" s="347">
        <v>0</v>
      </c>
      <c r="J15" s="347">
        <v>0</v>
      </c>
      <c r="K15" s="348" t="s">
        <v>147</v>
      </c>
      <c r="L15" s="113"/>
      <c r="O15" s="304"/>
      <c r="P15" s="294">
        <f t="shared" si="1"/>
        <v>0</v>
      </c>
      <c r="Q15" s="294">
        <f t="shared" si="2"/>
        <v>0</v>
      </c>
      <c r="R15" s="298">
        <f t="shared" si="3"/>
        <v>0</v>
      </c>
    </row>
    <row r="16" spans="2:18" ht="15">
      <c r="B16" s="413"/>
      <c r="C16" s="345" t="s">
        <v>81</v>
      </c>
      <c r="D16" s="346">
        <v>3968.64</v>
      </c>
      <c r="E16" s="347">
        <v>363</v>
      </c>
      <c r="F16" s="347">
        <v>0</v>
      </c>
      <c r="G16" s="348">
        <v>-100</v>
      </c>
      <c r="H16" s="347">
        <v>10537.48</v>
      </c>
      <c r="I16" s="347">
        <v>890.58</v>
      </c>
      <c r="J16" s="347">
        <v>0</v>
      </c>
      <c r="K16" s="348">
        <v>-100</v>
      </c>
      <c r="L16" s="114"/>
      <c r="O16" s="304"/>
      <c r="P16" s="294">
        <f t="shared" si="1"/>
        <v>-363</v>
      </c>
      <c r="Q16" s="294">
        <f t="shared" si="2"/>
        <v>-890.58</v>
      </c>
      <c r="R16" s="298">
        <f t="shared" si="3"/>
        <v>0</v>
      </c>
    </row>
    <row r="17" spans="2:18" ht="15">
      <c r="B17" s="413"/>
      <c r="C17" s="345" t="s">
        <v>103</v>
      </c>
      <c r="D17" s="346">
        <v>875.9782</v>
      </c>
      <c r="E17" s="347">
        <v>875.9782</v>
      </c>
      <c r="F17" s="347">
        <v>0</v>
      </c>
      <c r="G17" s="348">
        <v>-100</v>
      </c>
      <c r="H17" s="347">
        <v>3768.02</v>
      </c>
      <c r="I17" s="347">
        <v>3768.02</v>
      </c>
      <c r="J17" s="347">
        <v>0</v>
      </c>
      <c r="K17" s="348">
        <v>-100</v>
      </c>
      <c r="L17" s="113"/>
      <c r="O17" s="304"/>
      <c r="P17" s="294">
        <f t="shared" si="1"/>
        <v>-875.9782</v>
      </c>
      <c r="Q17" s="294">
        <f t="shared" si="2"/>
        <v>-3768.02</v>
      </c>
      <c r="R17" s="298">
        <f t="shared" si="3"/>
        <v>0</v>
      </c>
    </row>
    <row r="18" spans="2:18" ht="15">
      <c r="B18" s="413"/>
      <c r="C18" s="345" t="s">
        <v>102</v>
      </c>
      <c r="D18" s="346">
        <v>132.4</v>
      </c>
      <c r="E18" s="347">
        <v>0</v>
      </c>
      <c r="F18" s="347">
        <v>0</v>
      </c>
      <c r="G18" s="348" t="s">
        <v>147</v>
      </c>
      <c r="H18" s="347">
        <v>493.72</v>
      </c>
      <c r="I18" s="347">
        <v>0</v>
      </c>
      <c r="J18" s="347">
        <v>0</v>
      </c>
      <c r="K18" s="348" t="s">
        <v>147</v>
      </c>
      <c r="L18" s="113"/>
      <c r="O18" s="304"/>
      <c r="P18" s="294">
        <f t="shared" si="1"/>
        <v>0</v>
      </c>
      <c r="Q18" s="294">
        <f t="shared" si="2"/>
        <v>0</v>
      </c>
      <c r="R18" s="298">
        <f t="shared" si="3"/>
        <v>0</v>
      </c>
    </row>
    <row r="19" spans="2:19" s="224" customFormat="1" ht="15">
      <c r="B19" s="413"/>
      <c r="C19" s="345" t="s">
        <v>76</v>
      </c>
      <c r="D19" s="346">
        <v>8.2</v>
      </c>
      <c r="E19" s="347">
        <v>8.2</v>
      </c>
      <c r="F19" s="347">
        <v>0</v>
      </c>
      <c r="G19" s="348">
        <v>-100</v>
      </c>
      <c r="H19" s="347">
        <v>116.84</v>
      </c>
      <c r="I19" s="347">
        <v>116.84</v>
      </c>
      <c r="J19" s="347">
        <v>0</v>
      </c>
      <c r="K19" s="348">
        <v>-100</v>
      </c>
      <c r="L19" s="235"/>
      <c r="N19" s="148"/>
      <c r="O19" s="304"/>
      <c r="P19" s="294">
        <f t="shared" si="1"/>
        <v>-8.2</v>
      </c>
      <c r="Q19" s="294">
        <f t="shared" si="2"/>
        <v>-116.84</v>
      </c>
      <c r="R19" s="298">
        <f t="shared" si="3"/>
        <v>0</v>
      </c>
      <c r="S19" s="148"/>
    </row>
    <row r="20" spans="2:18" ht="15">
      <c r="B20" s="413"/>
      <c r="C20" s="68" t="s">
        <v>257</v>
      </c>
      <c r="D20" s="42">
        <v>0</v>
      </c>
      <c r="E20" s="43">
        <v>0</v>
      </c>
      <c r="F20" s="43">
        <v>3.3</v>
      </c>
      <c r="G20" s="44" t="s">
        <v>147</v>
      </c>
      <c r="H20" s="43">
        <v>0</v>
      </c>
      <c r="I20" s="43">
        <v>0</v>
      </c>
      <c r="J20" s="43">
        <v>12.96</v>
      </c>
      <c r="K20" s="44" t="s">
        <v>147</v>
      </c>
      <c r="L20" s="113"/>
      <c r="O20" s="304"/>
      <c r="P20" s="294">
        <f t="shared" si="1"/>
        <v>3.3</v>
      </c>
      <c r="Q20" s="294">
        <f t="shared" si="2"/>
        <v>12.96</v>
      </c>
      <c r="R20" s="298">
        <f t="shared" si="3"/>
        <v>3.9272727272727277</v>
      </c>
    </row>
    <row r="21" spans="2:18" ht="15">
      <c r="B21" s="128" t="s">
        <v>113</v>
      </c>
      <c r="C21" s="129"/>
      <c r="D21" s="61">
        <v>93000322.71010001</v>
      </c>
      <c r="E21" s="62">
        <v>22464987.3224</v>
      </c>
      <c r="F21" s="62">
        <v>23639409.683</v>
      </c>
      <c r="G21" s="63">
        <v>5.227789999369259</v>
      </c>
      <c r="H21" s="62">
        <v>76925618.57</v>
      </c>
      <c r="I21" s="62">
        <v>18156974.82</v>
      </c>
      <c r="J21" s="62">
        <v>19410164.01</v>
      </c>
      <c r="K21" s="63">
        <v>6.901971294356857</v>
      </c>
      <c r="L21" s="113"/>
      <c r="M21" s="41"/>
      <c r="O21" s="305">
        <f>+J21/$J$90</f>
        <v>0.8101549262077059</v>
      </c>
      <c r="P21" s="294">
        <f t="shared" si="1"/>
        <v>1174422.3605999984</v>
      </c>
      <c r="Q21" s="294">
        <f t="shared" si="2"/>
        <v>1253189.1900000013</v>
      </c>
      <c r="R21" s="298">
        <f t="shared" si="3"/>
        <v>0.8210934312779642</v>
      </c>
    </row>
    <row r="22" spans="2:18" ht="15" customHeight="1">
      <c r="B22" s="415" t="s">
        <v>91</v>
      </c>
      <c r="C22" s="341" t="s">
        <v>127</v>
      </c>
      <c r="D22" s="342">
        <v>662368.8621</v>
      </c>
      <c r="E22" s="343">
        <v>122029.629</v>
      </c>
      <c r="F22" s="343">
        <v>90950.2022</v>
      </c>
      <c r="G22" s="344">
        <v>-25.46875464154693</v>
      </c>
      <c r="H22" s="343">
        <v>4593908.96</v>
      </c>
      <c r="I22" s="343">
        <v>820744.47</v>
      </c>
      <c r="J22" s="343">
        <v>602365.93</v>
      </c>
      <c r="K22" s="344">
        <v>-26.607372694207733</v>
      </c>
      <c r="L22" s="113"/>
      <c r="P22" s="294">
        <f t="shared" si="1"/>
        <v>-31079.4268</v>
      </c>
      <c r="Q22" s="294">
        <f t="shared" si="2"/>
        <v>-218378.53999999992</v>
      </c>
      <c r="R22" s="298">
        <f t="shared" si="3"/>
        <v>6.623030135495401</v>
      </c>
    </row>
    <row r="23" spans="2:18" ht="15">
      <c r="B23" s="413"/>
      <c r="C23" s="345" t="s">
        <v>129</v>
      </c>
      <c r="D23" s="346">
        <v>3256680</v>
      </c>
      <c r="E23" s="347">
        <v>455904</v>
      </c>
      <c r="F23" s="347">
        <v>466020</v>
      </c>
      <c r="G23" s="348">
        <v>2.218888186986745</v>
      </c>
      <c r="H23" s="347">
        <v>3373007.56</v>
      </c>
      <c r="I23" s="347">
        <v>405920.95</v>
      </c>
      <c r="J23" s="347">
        <v>485095.49</v>
      </c>
      <c r="K23" s="348">
        <v>19.504915920205647</v>
      </c>
      <c r="L23" s="113"/>
      <c r="P23" s="294">
        <f t="shared" si="1"/>
        <v>10116</v>
      </c>
      <c r="Q23" s="294">
        <f t="shared" si="2"/>
        <v>79174.53999999998</v>
      </c>
      <c r="R23" s="298">
        <f t="shared" si="3"/>
        <v>1.0409327711257028</v>
      </c>
    </row>
    <row r="24" spans="2:18" ht="15">
      <c r="B24" s="413"/>
      <c r="C24" s="345" t="s">
        <v>84</v>
      </c>
      <c r="D24" s="346">
        <v>238082.2595</v>
      </c>
      <c r="E24" s="347">
        <v>35811.71</v>
      </c>
      <c r="F24" s="347">
        <v>33410.64</v>
      </c>
      <c r="G24" s="348">
        <v>-6.704706365599411</v>
      </c>
      <c r="H24" s="347">
        <v>1346779.91</v>
      </c>
      <c r="I24" s="347">
        <v>220228.25</v>
      </c>
      <c r="J24" s="347">
        <v>170947.27</v>
      </c>
      <c r="K24" s="348">
        <v>-22.377229079375603</v>
      </c>
      <c r="L24" s="113"/>
      <c r="P24" s="294">
        <f t="shared" si="1"/>
        <v>-2401.0699999999997</v>
      </c>
      <c r="Q24" s="294">
        <f t="shared" si="2"/>
        <v>-49280.98000000001</v>
      </c>
      <c r="R24" s="298">
        <f t="shared" si="3"/>
        <v>5.116551793081485</v>
      </c>
    </row>
    <row r="25" spans="2:18" ht="15">
      <c r="B25" s="413"/>
      <c r="C25" s="345" t="s">
        <v>77</v>
      </c>
      <c r="D25" s="346">
        <v>19039.5777</v>
      </c>
      <c r="E25" s="347">
        <v>5736.3308</v>
      </c>
      <c r="F25" s="347">
        <v>3409.44</v>
      </c>
      <c r="G25" s="348">
        <v>-40.56409717514896</v>
      </c>
      <c r="H25" s="347">
        <v>107925.38</v>
      </c>
      <c r="I25" s="347">
        <v>33807.93</v>
      </c>
      <c r="J25" s="347">
        <v>20440.36</v>
      </c>
      <c r="K25" s="348">
        <v>-39.53974703568068</v>
      </c>
      <c r="L25" s="113"/>
      <c r="P25" s="294">
        <f t="shared" si="1"/>
        <v>-2326.8907999999997</v>
      </c>
      <c r="Q25" s="294">
        <f t="shared" si="2"/>
        <v>-13367.57</v>
      </c>
      <c r="R25" s="298">
        <f t="shared" si="3"/>
        <v>5.99522502229105</v>
      </c>
    </row>
    <row r="26" spans="2:18" ht="15">
      <c r="B26" s="413"/>
      <c r="C26" s="345" t="s">
        <v>79</v>
      </c>
      <c r="D26" s="346">
        <v>20000</v>
      </c>
      <c r="E26" s="347">
        <v>0</v>
      </c>
      <c r="F26" s="347">
        <v>0</v>
      </c>
      <c r="G26" s="348" t="s">
        <v>147</v>
      </c>
      <c r="H26" s="347">
        <v>45606</v>
      </c>
      <c r="I26" s="347">
        <v>0</v>
      </c>
      <c r="J26" s="347">
        <v>0</v>
      </c>
      <c r="K26" s="348" t="s">
        <v>147</v>
      </c>
      <c r="L26" s="113"/>
      <c r="P26" s="294">
        <f t="shared" si="1"/>
        <v>0</v>
      </c>
      <c r="Q26" s="294">
        <f t="shared" si="2"/>
        <v>0</v>
      </c>
      <c r="R26" s="298">
        <f t="shared" si="3"/>
        <v>0</v>
      </c>
    </row>
    <row r="27" spans="2:18" ht="15">
      <c r="B27" s="413"/>
      <c r="C27" s="345" t="s">
        <v>81</v>
      </c>
      <c r="D27" s="346">
        <v>4727.2</v>
      </c>
      <c r="E27" s="347">
        <v>2239.2</v>
      </c>
      <c r="F27" s="347">
        <v>0</v>
      </c>
      <c r="G27" s="348">
        <v>-100</v>
      </c>
      <c r="H27" s="347">
        <v>28164.08</v>
      </c>
      <c r="I27" s="347">
        <v>15297.74</v>
      </c>
      <c r="J27" s="347">
        <v>0</v>
      </c>
      <c r="K27" s="348">
        <v>-100</v>
      </c>
      <c r="L27" s="113"/>
      <c r="P27" s="294">
        <f t="shared" si="1"/>
        <v>-2239.2</v>
      </c>
      <c r="Q27" s="294">
        <f t="shared" si="2"/>
        <v>-15297.74</v>
      </c>
      <c r="R27" s="298">
        <f t="shared" si="3"/>
        <v>0</v>
      </c>
    </row>
    <row r="28" spans="2:18" ht="15">
      <c r="B28" s="413"/>
      <c r="C28" s="345" t="s">
        <v>181</v>
      </c>
      <c r="D28" s="346">
        <v>4933.5</v>
      </c>
      <c r="E28" s="347">
        <v>4920</v>
      </c>
      <c r="F28" s="347">
        <v>0</v>
      </c>
      <c r="G28" s="348">
        <v>-100</v>
      </c>
      <c r="H28" s="347">
        <v>11618.94</v>
      </c>
      <c r="I28" s="347">
        <v>11285.55</v>
      </c>
      <c r="J28" s="347">
        <v>0</v>
      </c>
      <c r="K28" s="348">
        <v>-100</v>
      </c>
      <c r="L28" s="113"/>
      <c r="P28" s="294">
        <f t="shared" si="1"/>
        <v>-4920</v>
      </c>
      <c r="Q28" s="294">
        <f t="shared" si="2"/>
        <v>-11285.55</v>
      </c>
      <c r="R28" s="298">
        <f t="shared" si="3"/>
        <v>0</v>
      </c>
    </row>
    <row r="29" spans="2:18" ht="15">
      <c r="B29" s="413"/>
      <c r="C29" s="345" t="s">
        <v>78</v>
      </c>
      <c r="D29" s="346">
        <v>578.76</v>
      </c>
      <c r="E29" s="347">
        <v>129.48</v>
      </c>
      <c r="F29" s="347">
        <v>0</v>
      </c>
      <c r="G29" s="348">
        <v>-100</v>
      </c>
      <c r="H29" s="347">
        <v>7260.14</v>
      </c>
      <c r="I29" s="347">
        <v>1521.33</v>
      </c>
      <c r="J29" s="347">
        <v>0</v>
      </c>
      <c r="K29" s="348">
        <v>-100</v>
      </c>
      <c r="L29" s="113"/>
      <c r="P29" s="294">
        <f t="shared" si="1"/>
        <v>-129.48</v>
      </c>
      <c r="Q29" s="294">
        <f t="shared" si="2"/>
        <v>-1521.33</v>
      </c>
      <c r="R29" s="298">
        <f t="shared" si="3"/>
        <v>0</v>
      </c>
    </row>
    <row r="30" spans="2:18" ht="15">
      <c r="B30" s="413"/>
      <c r="C30" s="345" t="s">
        <v>101</v>
      </c>
      <c r="D30" s="346">
        <v>7200</v>
      </c>
      <c r="E30" s="347">
        <v>0</v>
      </c>
      <c r="F30" s="347">
        <v>0</v>
      </c>
      <c r="G30" s="348" t="s">
        <v>147</v>
      </c>
      <c r="H30" s="347">
        <v>6055.22</v>
      </c>
      <c r="I30" s="347">
        <v>0</v>
      </c>
      <c r="J30" s="347">
        <v>0</v>
      </c>
      <c r="K30" s="348" t="s">
        <v>147</v>
      </c>
      <c r="L30" s="113"/>
      <c r="P30" s="294">
        <f t="shared" si="1"/>
        <v>0</v>
      </c>
      <c r="Q30" s="294">
        <f t="shared" si="2"/>
        <v>0</v>
      </c>
      <c r="R30" s="298">
        <f t="shared" si="3"/>
        <v>0</v>
      </c>
    </row>
    <row r="31" spans="2:18" ht="15">
      <c r="B31" s="413"/>
      <c r="C31" s="345" t="s">
        <v>103</v>
      </c>
      <c r="D31" s="346">
        <v>2330.88</v>
      </c>
      <c r="E31" s="347">
        <v>600</v>
      </c>
      <c r="F31" s="347">
        <v>242.8462</v>
      </c>
      <c r="G31" s="348">
        <v>-59.52563333333334</v>
      </c>
      <c r="H31" s="347">
        <v>5725.8</v>
      </c>
      <c r="I31" s="347">
        <v>2214.75</v>
      </c>
      <c r="J31" s="347">
        <v>801.75</v>
      </c>
      <c r="K31" s="348">
        <v>-63.799525905858445</v>
      </c>
      <c r="L31" s="113"/>
      <c r="P31" s="294">
        <f t="shared" si="1"/>
        <v>-357.1538</v>
      </c>
      <c r="Q31" s="294">
        <f t="shared" si="2"/>
        <v>-1413</v>
      </c>
      <c r="R31" s="298">
        <f t="shared" si="3"/>
        <v>3.301472289869061</v>
      </c>
    </row>
    <row r="32" spans="2:18" ht="15">
      <c r="B32" s="413"/>
      <c r="C32" s="345" t="s">
        <v>98</v>
      </c>
      <c r="D32" s="346">
        <v>3110.8077</v>
      </c>
      <c r="E32" s="347">
        <v>792.3</v>
      </c>
      <c r="F32" s="347">
        <v>7206.96</v>
      </c>
      <c r="G32" s="348">
        <v>809.6251419916699</v>
      </c>
      <c r="H32" s="347">
        <v>4846.97</v>
      </c>
      <c r="I32" s="347">
        <v>920.61</v>
      </c>
      <c r="J32" s="347">
        <v>34277.61</v>
      </c>
      <c r="K32" s="348">
        <v>3623.3584253918602</v>
      </c>
      <c r="L32" s="113"/>
      <c r="P32" s="294">
        <f t="shared" si="1"/>
        <v>6414.66</v>
      </c>
      <c r="Q32" s="294">
        <f t="shared" si="2"/>
        <v>33357</v>
      </c>
      <c r="R32" s="298">
        <f t="shared" si="3"/>
        <v>4.7561815245262915</v>
      </c>
    </row>
    <row r="33" spans="2:18" ht="15">
      <c r="B33" s="413"/>
      <c r="C33" s="345" t="s">
        <v>119</v>
      </c>
      <c r="D33" s="346">
        <v>77.05</v>
      </c>
      <c r="E33" s="347">
        <v>0</v>
      </c>
      <c r="F33" s="347">
        <v>0</v>
      </c>
      <c r="G33" s="348" t="s">
        <v>147</v>
      </c>
      <c r="H33" s="347">
        <v>1873.64</v>
      </c>
      <c r="I33" s="347">
        <v>0</v>
      </c>
      <c r="J33" s="347">
        <v>0</v>
      </c>
      <c r="K33" s="348" t="s">
        <v>147</v>
      </c>
      <c r="L33" s="113"/>
      <c r="P33" s="294">
        <f t="shared" si="1"/>
        <v>0</v>
      </c>
      <c r="Q33" s="294">
        <f t="shared" si="2"/>
        <v>0</v>
      </c>
      <c r="R33" s="298">
        <f t="shared" si="3"/>
        <v>0</v>
      </c>
    </row>
    <row r="34" spans="2:18" ht="15">
      <c r="B34" s="413"/>
      <c r="C34" s="345" t="s">
        <v>102</v>
      </c>
      <c r="D34" s="346">
        <v>353</v>
      </c>
      <c r="E34" s="347">
        <v>273</v>
      </c>
      <c r="F34" s="347">
        <v>160</v>
      </c>
      <c r="G34" s="348">
        <v>-41.39194139194139</v>
      </c>
      <c r="H34" s="347">
        <v>1655.98</v>
      </c>
      <c r="I34" s="347">
        <v>1197.67</v>
      </c>
      <c r="J34" s="347">
        <v>940.21</v>
      </c>
      <c r="K34" s="348">
        <v>-21.49673950253409</v>
      </c>
      <c r="L34" s="113"/>
      <c r="P34" s="294">
        <f t="shared" si="1"/>
        <v>-113</v>
      </c>
      <c r="Q34" s="294">
        <f t="shared" si="2"/>
        <v>-257.46000000000004</v>
      </c>
      <c r="R34" s="298">
        <f t="shared" si="3"/>
        <v>5.8763125</v>
      </c>
    </row>
    <row r="35" spans="2:18" ht="15">
      <c r="B35" s="413"/>
      <c r="C35" s="345" t="s">
        <v>99</v>
      </c>
      <c r="D35" s="346">
        <v>160</v>
      </c>
      <c r="E35" s="347">
        <v>80</v>
      </c>
      <c r="F35" s="347">
        <v>0</v>
      </c>
      <c r="G35" s="348">
        <v>-100</v>
      </c>
      <c r="H35" s="347">
        <v>1123.27</v>
      </c>
      <c r="I35" s="347">
        <v>556.81</v>
      </c>
      <c r="J35" s="347">
        <v>0</v>
      </c>
      <c r="K35" s="348">
        <v>-100</v>
      </c>
      <c r="L35" s="113"/>
      <c r="P35" s="294">
        <f t="shared" si="1"/>
        <v>-80</v>
      </c>
      <c r="Q35" s="294">
        <f t="shared" si="2"/>
        <v>-556.81</v>
      </c>
      <c r="R35" s="298">
        <f t="shared" si="3"/>
        <v>0</v>
      </c>
    </row>
    <row r="36" spans="2:18" ht="15">
      <c r="B36" s="413"/>
      <c r="C36" s="345" t="s">
        <v>168</v>
      </c>
      <c r="D36" s="346">
        <v>69.53</v>
      </c>
      <c r="E36" s="347">
        <v>0</v>
      </c>
      <c r="F36" s="347">
        <v>80.24</v>
      </c>
      <c r="G36" s="348" t="s">
        <v>147</v>
      </c>
      <c r="H36" s="347">
        <v>510.15</v>
      </c>
      <c r="I36" s="347">
        <v>0</v>
      </c>
      <c r="J36" s="347">
        <v>825.82</v>
      </c>
      <c r="K36" s="348" t="s">
        <v>147</v>
      </c>
      <c r="L36" s="113"/>
      <c r="P36" s="294">
        <f t="shared" si="1"/>
        <v>80.24</v>
      </c>
      <c r="Q36" s="294">
        <f t="shared" si="2"/>
        <v>825.82</v>
      </c>
      <c r="R36" s="298">
        <f t="shared" si="3"/>
        <v>10.291874376869393</v>
      </c>
    </row>
    <row r="37" spans="2:18" ht="15">
      <c r="B37" s="413"/>
      <c r="C37" s="345" t="s">
        <v>198</v>
      </c>
      <c r="D37" s="346">
        <v>3</v>
      </c>
      <c r="E37" s="347">
        <v>0</v>
      </c>
      <c r="F37" s="347">
        <v>0</v>
      </c>
      <c r="G37" s="348" t="s">
        <v>147</v>
      </c>
      <c r="H37" s="347">
        <v>230.91</v>
      </c>
      <c r="I37" s="347">
        <v>0</v>
      </c>
      <c r="J37" s="347">
        <v>0</v>
      </c>
      <c r="K37" s="348" t="s">
        <v>147</v>
      </c>
      <c r="L37" s="113"/>
      <c r="P37" s="294">
        <f t="shared" si="1"/>
        <v>0</v>
      </c>
      <c r="Q37" s="294">
        <f t="shared" si="2"/>
        <v>0</v>
      </c>
      <c r="R37" s="298">
        <f t="shared" si="3"/>
        <v>0</v>
      </c>
    </row>
    <row r="38" spans="2:18" ht="15">
      <c r="B38" s="413"/>
      <c r="C38" s="345" t="s">
        <v>97</v>
      </c>
      <c r="D38" s="346">
        <v>3.34</v>
      </c>
      <c r="E38" s="347">
        <v>0</v>
      </c>
      <c r="F38" s="347">
        <v>0</v>
      </c>
      <c r="G38" s="348" t="s">
        <v>147</v>
      </c>
      <c r="H38" s="347">
        <v>139.17</v>
      </c>
      <c r="I38" s="347">
        <v>0</v>
      </c>
      <c r="J38" s="347">
        <v>0</v>
      </c>
      <c r="K38" s="348" t="s">
        <v>147</v>
      </c>
      <c r="L38" s="113"/>
      <c r="P38" s="294">
        <f t="shared" si="1"/>
        <v>0</v>
      </c>
      <c r="Q38" s="294">
        <f t="shared" si="2"/>
        <v>0</v>
      </c>
      <c r="R38" s="298">
        <f t="shared" si="3"/>
        <v>0</v>
      </c>
    </row>
    <row r="39" spans="2:18" ht="15">
      <c r="B39" s="413"/>
      <c r="C39" s="345" t="s">
        <v>192</v>
      </c>
      <c r="D39" s="346">
        <v>10.05</v>
      </c>
      <c r="E39" s="347">
        <v>10.05</v>
      </c>
      <c r="F39" s="347">
        <v>0</v>
      </c>
      <c r="G39" s="348">
        <v>-100</v>
      </c>
      <c r="H39" s="347">
        <v>51.27</v>
      </c>
      <c r="I39" s="347">
        <v>51.27</v>
      </c>
      <c r="J39" s="347">
        <v>0</v>
      </c>
      <c r="K39" s="348">
        <v>-100</v>
      </c>
      <c r="L39" s="113"/>
      <c r="P39" s="294">
        <f t="shared" si="1"/>
        <v>-10.05</v>
      </c>
      <c r="Q39" s="294">
        <f t="shared" si="2"/>
        <v>-51.27</v>
      </c>
      <c r="R39" s="298">
        <f t="shared" si="3"/>
        <v>0</v>
      </c>
    </row>
    <row r="40" spans="2:18" ht="15">
      <c r="B40" s="413"/>
      <c r="C40" s="345" t="s">
        <v>100</v>
      </c>
      <c r="D40" s="346">
        <v>0</v>
      </c>
      <c r="E40" s="347">
        <v>0</v>
      </c>
      <c r="F40" s="347">
        <v>14000</v>
      </c>
      <c r="G40" s="348" t="s">
        <v>147</v>
      </c>
      <c r="H40" s="347">
        <v>0</v>
      </c>
      <c r="I40" s="347">
        <v>0</v>
      </c>
      <c r="J40" s="347">
        <v>20782.59</v>
      </c>
      <c r="K40" s="348" t="s">
        <v>147</v>
      </c>
      <c r="L40" s="113"/>
      <c r="P40" s="294">
        <f t="shared" si="1"/>
        <v>14000</v>
      </c>
      <c r="Q40" s="294">
        <f t="shared" si="2"/>
        <v>20782.59</v>
      </c>
      <c r="R40" s="298">
        <f t="shared" si="3"/>
        <v>1.4844707142857143</v>
      </c>
    </row>
    <row r="41" spans="2:19" s="224" customFormat="1" ht="15">
      <c r="B41" s="416"/>
      <c r="C41" s="234" t="s">
        <v>76</v>
      </c>
      <c r="D41" s="228">
        <v>0</v>
      </c>
      <c r="E41" s="229">
        <v>0</v>
      </c>
      <c r="F41" s="229">
        <v>43201.75</v>
      </c>
      <c r="G41" s="230" t="s">
        <v>147</v>
      </c>
      <c r="H41" s="229">
        <v>0</v>
      </c>
      <c r="I41" s="229">
        <v>0</v>
      </c>
      <c r="J41" s="229">
        <v>54622.3</v>
      </c>
      <c r="K41" s="230" t="s">
        <v>147</v>
      </c>
      <c r="L41" s="235"/>
      <c r="N41" s="148"/>
      <c r="O41" s="302"/>
      <c r="P41" s="294">
        <f t="shared" si="1"/>
        <v>43201.75</v>
      </c>
      <c r="Q41" s="294">
        <f t="shared" si="2"/>
        <v>54622.3</v>
      </c>
      <c r="R41" s="298">
        <f t="shared" si="3"/>
        <v>1.2643538745536929</v>
      </c>
      <c r="S41" s="148"/>
    </row>
    <row r="42" spans="2:18" ht="15">
      <c r="B42" s="128" t="s">
        <v>114</v>
      </c>
      <c r="C42" s="129"/>
      <c r="D42" s="61">
        <v>4219727.816999999</v>
      </c>
      <c r="E42" s="62">
        <v>628525.6998</v>
      </c>
      <c r="F42" s="62">
        <v>658682.0784</v>
      </c>
      <c r="G42" s="63">
        <v>4.797954739097543</v>
      </c>
      <c r="H42" s="62">
        <v>9536483.35</v>
      </c>
      <c r="I42" s="62">
        <v>1513747.33</v>
      </c>
      <c r="J42" s="62">
        <v>1391099.33</v>
      </c>
      <c r="K42" s="63">
        <v>-8.102276883949976</v>
      </c>
      <c r="L42" s="113"/>
      <c r="O42" s="305">
        <f>+J42/$J$90</f>
        <v>0.05806267141602268</v>
      </c>
      <c r="P42" s="294">
        <f t="shared" si="1"/>
        <v>30156.378600000055</v>
      </c>
      <c r="Q42" s="294">
        <f t="shared" si="2"/>
        <v>-122648</v>
      </c>
      <c r="R42" s="298">
        <f t="shared" si="3"/>
        <v>2.1119434938614234</v>
      </c>
    </row>
    <row r="43" spans="2:18" ht="15">
      <c r="B43" s="415" t="s">
        <v>75</v>
      </c>
      <c r="C43" s="345" t="s">
        <v>95</v>
      </c>
      <c r="D43" s="346">
        <v>2660412.816</v>
      </c>
      <c r="E43" s="347">
        <v>354337.816</v>
      </c>
      <c r="F43" s="347">
        <v>824685</v>
      </c>
      <c r="G43" s="348">
        <v>132.73976492534456</v>
      </c>
      <c r="H43" s="347">
        <v>3289548.32</v>
      </c>
      <c r="I43" s="347">
        <v>450462.02</v>
      </c>
      <c r="J43" s="347">
        <v>982596.47</v>
      </c>
      <c r="K43" s="348">
        <v>118.13081378092649</v>
      </c>
      <c r="L43" s="114"/>
      <c r="P43" s="294">
        <f t="shared" si="1"/>
        <v>470347.184</v>
      </c>
      <c r="Q43" s="294">
        <f t="shared" si="2"/>
        <v>532134.45</v>
      </c>
      <c r="R43" s="298">
        <f t="shared" si="3"/>
        <v>1.191480953333697</v>
      </c>
    </row>
    <row r="44" spans="2:18" ht="15">
      <c r="B44" s="413"/>
      <c r="C44" s="345" t="s">
        <v>129</v>
      </c>
      <c r="D44" s="346">
        <v>2234673.5538</v>
      </c>
      <c r="E44" s="347">
        <v>782165</v>
      </c>
      <c r="F44" s="347">
        <v>569625.5</v>
      </c>
      <c r="G44" s="348">
        <v>-27.173230712189888</v>
      </c>
      <c r="H44" s="347">
        <v>2868270.42</v>
      </c>
      <c r="I44" s="347">
        <v>999478.1</v>
      </c>
      <c r="J44" s="347">
        <v>690110.45</v>
      </c>
      <c r="K44" s="348">
        <v>-30.952919328597595</v>
      </c>
      <c r="L44" s="113"/>
      <c r="P44" s="294">
        <f t="shared" si="1"/>
        <v>-212539.5</v>
      </c>
      <c r="Q44" s="294">
        <f t="shared" si="2"/>
        <v>-309367.65</v>
      </c>
      <c r="R44" s="298">
        <f t="shared" si="3"/>
        <v>1.2115160750352643</v>
      </c>
    </row>
    <row r="45" spans="2:18" ht="15">
      <c r="B45" s="413"/>
      <c r="C45" s="345" t="s">
        <v>127</v>
      </c>
      <c r="D45" s="346">
        <v>935896.8542</v>
      </c>
      <c r="E45" s="347">
        <v>523329.7811</v>
      </c>
      <c r="F45" s="347">
        <v>312437.042</v>
      </c>
      <c r="G45" s="348">
        <v>-40.29824915691197</v>
      </c>
      <c r="H45" s="347">
        <v>1328296.29</v>
      </c>
      <c r="I45" s="347">
        <v>738278.4</v>
      </c>
      <c r="J45" s="347">
        <v>456332.93</v>
      </c>
      <c r="K45" s="348">
        <v>-38.18958674667985</v>
      </c>
      <c r="L45" s="113"/>
      <c r="P45" s="294">
        <f t="shared" si="1"/>
        <v>-210892.7391</v>
      </c>
      <c r="Q45" s="294">
        <f t="shared" si="2"/>
        <v>-281945.47000000003</v>
      </c>
      <c r="R45" s="298">
        <f t="shared" si="3"/>
        <v>1.4605596285218958</v>
      </c>
    </row>
    <row r="46" spans="2:18" ht="15">
      <c r="B46" s="413"/>
      <c r="C46" s="345" t="s">
        <v>101</v>
      </c>
      <c r="D46" s="346">
        <v>695525</v>
      </c>
      <c r="E46" s="347">
        <v>259925</v>
      </c>
      <c r="F46" s="347">
        <v>108900</v>
      </c>
      <c r="G46" s="348">
        <v>-58.10329902856593</v>
      </c>
      <c r="H46" s="347">
        <v>883600.42</v>
      </c>
      <c r="I46" s="347">
        <v>329903.44</v>
      </c>
      <c r="J46" s="347">
        <v>140524.55</v>
      </c>
      <c r="K46" s="348">
        <v>-57.40433928182138</v>
      </c>
      <c r="L46" s="113"/>
      <c r="P46" s="294">
        <f t="shared" si="1"/>
        <v>-151025</v>
      </c>
      <c r="Q46" s="294">
        <f t="shared" si="2"/>
        <v>-189378.89</v>
      </c>
      <c r="R46" s="298">
        <f t="shared" si="3"/>
        <v>1.2903999081726354</v>
      </c>
    </row>
    <row r="47" spans="2:18" ht="15">
      <c r="B47" s="413"/>
      <c r="C47" s="345" t="s">
        <v>186</v>
      </c>
      <c r="D47" s="346">
        <v>595511.8538</v>
      </c>
      <c r="E47" s="347">
        <v>141000</v>
      </c>
      <c r="F47" s="347">
        <v>227562</v>
      </c>
      <c r="G47" s="348">
        <v>61.391489361702135</v>
      </c>
      <c r="H47" s="347">
        <v>678360</v>
      </c>
      <c r="I47" s="347">
        <v>164058.5</v>
      </c>
      <c r="J47" s="347">
        <v>250855.71</v>
      </c>
      <c r="K47" s="348">
        <v>52.90625600014629</v>
      </c>
      <c r="L47" s="113"/>
      <c r="P47" s="294">
        <f t="shared" si="1"/>
        <v>86562</v>
      </c>
      <c r="Q47" s="294">
        <f t="shared" si="2"/>
        <v>86797.20999999999</v>
      </c>
      <c r="R47" s="298">
        <f t="shared" si="3"/>
        <v>1.1023620375985446</v>
      </c>
    </row>
    <row r="48" spans="2:18" ht="15">
      <c r="B48" s="413"/>
      <c r="C48" s="345" t="s">
        <v>96</v>
      </c>
      <c r="D48" s="346">
        <v>310824.5</v>
      </c>
      <c r="E48" s="347">
        <v>175608</v>
      </c>
      <c r="F48" s="347">
        <v>0</v>
      </c>
      <c r="G48" s="348">
        <v>-100</v>
      </c>
      <c r="H48" s="347">
        <v>403314.86</v>
      </c>
      <c r="I48" s="347">
        <v>225149.68</v>
      </c>
      <c r="J48" s="347">
        <v>0</v>
      </c>
      <c r="K48" s="348">
        <v>-100</v>
      </c>
      <c r="L48" s="113"/>
      <c r="P48" s="294">
        <f t="shared" si="1"/>
        <v>-175608</v>
      </c>
      <c r="Q48" s="294">
        <f t="shared" si="2"/>
        <v>-225149.68</v>
      </c>
      <c r="R48" s="298">
        <f t="shared" si="3"/>
        <v>0</v>
      </c>
    </row>
    <row r="49" spans="2:18" ht="15">
      <c r="B49" s="413"/>
      <c r="C49" s="345" t="s">
        <v>98</v>
      </c>
      <c r="D49" s="346">
        <v>595</v>
      </c>
      <c r="E49" s="347">
        <v>0</v>
      </c>
      <c r="F49" s="347">
        <v>0</v>
      </c>
      <c r="G49" s="348" t="s">
        <v>147</v>
      </c>
      <c r="H49" s="347">
        <v>1133.24</v>
      </c>
      <c r="I49" s="347">
        <v>0</v>
      </c>
      <c r="J49" s="347">
        <v>0</v>
      </c>
      <c r="K49" s="348" t="s">
        <v>147</v>
      </c>
      <c r="L49" s="113"/>
      <c r="P49" s="294">
        <f t="shared" si="1"/>
        <v>0</v>
      </c>
      <c r="Q49" s="294">
        <f t="shared" si="2"/>
        <v>0</v>
      </c>
      <c r="R49" s="298">
        <f t="shared" si="3"/>
        <v>0</v>
      </c>
    </row>
    <row r="50" spans="2:19" s="224" customFormat="1" ht="15">
      <c r="B50" s="413"/>
      <c r="C50" s="345" t="s">
        <v>119</v>
      </c>
      <c r="D50" s="346">
        <v>24.3</v>
      </c>
      <c r="E50" s="347">
        <v>0</v>
      </c>
      <c r="F50" s="347">
        <v>15.5</v>
      </c>
      <c r="G50" s="348" t="s">
        <v>147</v>
      </c>
      <c r="H50" s="347">
        <v>406.01</v>
      </c>
      <c r="I50" s="347">
        <v>0</v>
      </c>
      <c r="J50" s="347">
        <v>287.6</v>
      </c>
      <c r="K50" s="348" t="s">
        <v>147</v>
      </c>
      <c r="L50" s="235"/>
      <c r="N50" s="148"/>
      <c r="O50" s="302"/>
      <c r="P50" s="294">
        <f t="shared" si="1"/>
        <v>15.5</v>
      </c>
      <c r="Q50" s="294">
        <f t="shared" si="2"/>
        <v>287.6</v>
      </c>
      <c r="R50" s="298">
        <f t="shared" si="3"/>
        <v>18.55483870967742</v>
      </c>
      <c r="S50" s="148"/>
    </row>
    <row r="51" spans="2:19" s="224" customFormat="1" ht="15">
      <c r="B51" s="413"/>
      <c r="C51" s="345" t="s">
        <v>181</v>
      </c>
      <c r="D51" s="346">
        <v>4</v>
      </c>
      <c r="E51" s="347">
        <v>0</v>
      </c>
      <c r="F51" s="347">
        <v>0</v>
      </c>
      <c r="G51" s="348" t="s">
        <v>147</v>
      </c>
      <c r="H51" s="347">
        <v>67.16</v>
      </c>
      <c r="I51" s="347">
        <v>0</v>
      </c>
      <c r="J51" s="347">
        <v>0</v>
      </c>
      <c r="K51" s="348" t="s">
        <v>147</v>
      </c>
      <c r="L51" s="235"/>
      <c r="N51" s="148"/>
      <c r="O51" s="302"/>
      <c r="P51" s="294">
        <f t="shared" si="1"/>
        <v>0</v>
      </c>
      <c r="Q51" s="294">
        <f t="shared" si="2"/>
        <v>0</v>
      </c>
      <c r="R51" s="298">
        <f t="shared" si="3"/>
        <v>0</v>
      </c>
      <c r="S51" s="148"/>
    </row>
    <row r="52" spans="2:19" s="224" customFormat="1" ht="15">
      <c r="B52" s="416"/>
      <c r="C52" s="234" t="s">
        <v>77</v>
      </c>
      <c r="D52" s="228">
        <v>0</v>
      </c>
      <c r="E52" s="229">
        <v>0</v>
      </c>
      <c r="F52" s="229">
        <v>140</v>
      </c>
      <c r="G52" s="230" t="s">
        <v>147</v>
      </c>
      <c r="H52" s="229">
        <v>0</v>
      </c>
      <c r="I52" s="229">
        <v>0</v>
      </c>
      <c r="J52" s="229">
        <v>1891.74</v>
      </c>
      <c r="K52" s="230" t="s">
        <v>147</v>
      </c>
      <c r="L52" s="235"/>
      <c r="N52" s="148"/>
      <c r="O52" s="302"/>
      <c r="P52" s="294">
        <f t="shared" si="1"/>
        <v>140</v>
      </c>
      <c r="Q52" s="294">
        <f t="shared" si="2"/>
        <v>1891.74</v>
      </c>
      <c r="R52" s="298">
        <f t="shared" si="3"/>
        <v>13.512428571428572</v>
      </c>
      <c r="S52" s="148"/>
    </row>
    <row r="53" spans="2:18" ht="15">
      <c r="B53" s="128" t="s">
        <v>115</v>
      </c>
      <c r="C53" s="129"/>
      <c r="D53" s="61">
        <v>7433467.877799999</v>
      </c>
      <c r="E53" s="62">
        <v>2236365.5971</v>
      </c>
      <c r="F53" s="62">
        <v>2043365.042</v>
      </c>
      <c r="G53" s="63">
        <v>-8.630098555901277</v>
      </c>
      <c r="H53" s="62">
        <v>9452996.719999999</v>
      </c>
      <c r="I53" s="62">
        <v>2907330.1399999997</v>
      </c>
      <c r="J53" s="62">
        <v>2522599.45</v>
      </c>
      <c r="K53" s="63">
        <v>-13.233127009098444</v>
      </c>
      <c r="L53" s="113"/>
      <c r="O53" s="305">
        <f>+J53/$J$90</f>
        <v>0.10529001044058409</v>
      </c>
      <c r="P53" s="294">
        <f t="shared" si="1"/>
        <v>-193000.5551</v>
      </c>
      <c r="Q53" s="294">
        <f t="shared" si="2"/>
        <v>-384730.6899999995</v>
      </c>
      <c r="R53" s="298">
        <f t="shared" si="3"/>
        <v>1.234531959855267</v>
      </c>
    </row>
    <row r="54" spans="2:18" ht="12.75">
      <c r="B54" s="415" t="s">
        <v>83</v>
      </c>
      <c r="C54" s="345" t="s">
        <v>129</v>
      </c>
      <c r="D54" s="346">
        <v>570650</v>
      </c>
      <c r="E54" s="347">
        <v>130500</v>
      </c>
      <c r="F54" s="347">
        <v>134152.2692</v>
      </c>
      <c r="G54" s="348">
        <v>2.7986737164751085</v>
      </c>
      <c r="H54" s="347">
        <v>719399.28</v>
      </c>
      <c r="I54" s="347">
        <v>169111.23</v>
      </c>
      <c r="J54" s="347">
        <v>138407.47</v>
      </c>
      <c r="K54" s="348">
        <v>-18.155955698506844</v>
      </c>
      <c r="L54" s="113"/>
      <c r="O54" s="285"/>
      <c r="P54" s="294">
        <f t="shared" si="1"/>
        <v>3652.2692000000097</v>
      </c>
      <c r="Q54" s="294">
        <f t="shared" si="2"/>
        <v>-30703.76000000001</v>
      </c>
      <c r="R54" s="298">
        <f t="shared" si="3"/>
        <v>1.0317191861559654</v>
      </c>
    </row>
    <row r="55" spans="2:18" ht="12.75">
      <c r="B55" s="413"/>
      <c r="C55" s="345" t="s">
        <v>127</v>
      </c>
      <c r="D55" s="346">
        <v>273566.1</v>
      </c>
      <c r="E55" s="347">
        <v>19278</v>
      </c>
      <c r="F55" s="347">
        <v>107730</v>
      </c>
      <c r="G55" s="348">
        <v>458.8235294117647</v>
      </c>
      <c r="H55" s="347">
        <v>364902.47</v>
      </c>
      <c r="I55" s="347">
        <v>23806.16</v>
      </c>
      <c r="J55" s="347">
        <v>117203.79</v>
      </c>
      <c r="K55" s="348">
        <v>392.32547374293034</v>
      </c>
      <c r="L55" s="113"/>
      <c r="O55" s="285"/>
      <c r="P55" s="294">
        <f t="shared" si="1"/>
        <v>88452</v>
      </c>
      <c r="Q55" s="294">
        <f t="shared" si="2"/>
        <v>93397.62999999999</v>
      </c>
      <c r="R55" s="298">
        <f t="shared" si="3"/>
        <v>1.0879401280980228</v>
      </c>
    </row>
    <row r="56" spans="2:18" ht="12.75">
      <c r="B56" s="413"/>
      <c r="C56" s="345" t="s">
        <v>99</v>
      </c>
      <c r="D56" s="346">
        <v>357004.325</v>
      </c>
      <c r="E56" s="347">
        <v>105000</v>
      </c>
      <c r="F56" s="347">
        <v>63000</v>
      </c>
      <c r="G56" s="348">
        <v>-40</v>
      </c>
      <c r="H56" s="347">
        <v>258063.97</v>
      </c>
      <c r="I56" s="347">
        <v>75915</v>
      </c>
      <c r="J56" s="347">
        <v>43386</v>
      </c>
      <c r="K56" s="348">
        <v>-42.849239280774555</v>
      </c>
      <c r="L56" s="113"/>
      <c r="O56" s="285"/>
      <c r="P56" s="294">
        <f t="shared" si="1"/>
        <v>-42000</v>
      </c>
      <c r="Q56" s="294">
        <f t="shared" si="2"/>
        <v>-32529</v>
      </c>
      <c r="R56" s="298">
        <f t="shared" si="3"/>
        <v>0.6886666666666666</v>
      </c>
    </row>
    <row r="57" spans="2:18" ht="12.75">
      <c r="B57" s="413"/>
      <c r="C57" s="345" t="s">
        <v>101</v>
      </c>
      <c r="D57" s="346">
        <v>312850</v>
      </c>
      <c r="E57" s="347">
        <v>63000</v>
      </c>
      <c r="F57" s="347">
        <v>119600</v>
      </c>
      <c r="G57" s="348">
        <v>89.84126984126983</v>
      </c>
      <c r="H57" s="347">
        <v>232309.25</v>
      </c>
      <c r="I57" s="347">
        <v>37251</v>
      </c>
      <c r="J57" s="347">
        <v>81571.76</v>
      </c>
      <c r="K57" s="348">
        <v>118.9787119808864</v>
      </c>
      <c r="L57" s="114"/>
      <c r="O57" s="285"/>
      <c r="P57" s="294">
        <f t="shared" si="1"/>
        <v>56600</v>
      </c>
      <c r="Q57" s="294">
        <f t="shared" si="2"/>
        <v>44320.759999999995</v>
      </c>
      <c r="R57" s="298">
        <f t="shared" si="3"/>
        <v>0.682038127090301</v>
      </c>
    </row>
    <row r="58" spans="2:18" ht="12.75">
      <c r="B58" s="413"/>
      <c r="C58" s="345" t="s">
        <v>95</v>
      </c>
      <c r="D58" s="346">
        <v>301525</v>
      </c>
      <c r="E58" s="347">
        <v>80025</v>
      </c>
      <c r="F58" s="347">
        <v>60000</v>
      </c>
      <c r="G58" s="348">
        <v>-25.02343017806935</v>
      </c>
      <c r="H58" s="347">
        <v>224159.39</v>
      </c>
      <c r="I58" s="347">
        <v>58349.84</v>
      </c>
      <c r="J58" s="347">
        <v>42840</v>
      </c>
      <c r="K58" s="348">
        <v>-26.58077554282925</v>
      </c>
      <c r="L58" s="114"/>
      <c r="O58" s="285"/>
      <c r="P58" s="294">
        <f t="shared" si="1"/>
        <v>-20025</v>
      </c>
      <c r="Q58" s="294">
        <f t="shared" si="2"/>
        <v>-15509.839999999997</v>
      </c>
      <c r="R58" s="298">
        <f t="shared" si="3"/>
        <v>0.714</v>
      </c>
    </row>
    <row r="59" spans="2:18" ht="12.75">
      <c r="B59" s="413"/>
      <c r="C59" s="345" t="s">
        <v>97</v>
      </c>
      <c r="D59" s="346">
        <v>139000.5</v>
      </c>
      <c r="E59" s="347">
        <v>48000</v>
      </c>
      <c r="F59" s="347">
        <v>0</v>
      </c>
      <c r="G59" s="348">
        <v>-100</v>
      </c>
      <c r="H59" s="347">
        <v>79274.37</v>
      </c>
      <c r="I59" s="347">
        <v>27360</v>
      </c>
      <c r="J59" s="347">
        <v>0</v>
      </c>
      <c r="K59" s="348">
        <v>-100</v>
      </c>
      <c r="L59" s="114"/>
      <c r="O59" s="285"/>
      <c r="P59" s="294">
        <f t="shared" si="1"/>
        <v>-48000</v>
      </c>
      <c r="Q59" s="294">
        <f t="shared" si="2"/>
        <v>-27360</v>
      </c>
      <c r="R59" s="298">
        <f t="shared" si="3"/>
        <v>0</v>
      </c>
    </row>
    <row r="60" spans="2:18" ht="12.75">
      <c r="B60" s="413"/>
      <c r="C60" s="345" t="s">
        <v>100</v>
      </c>
      <c r="D60" s="346">
        <v>45520</v>
      </c>
      <c r="E60" s="347">
        <v>43000</v>
      </c>
      <c r="F60" s="347">
        <v>0</v>
      </c>
      <c r="G60" s="348">
        <v>-100</v>
      </c>
      <c r="H60" s="347">
        <v>35848.67</v>
      </c>
      <c r="I60" s="347">
        <v>30153.47</v>
      </c>
      <c r="J60" s="347">
        <v>0</v>
      </c>
      <c r="K60" s="348">
        <v>-100</v>
      </c>
      <c r="L60" s="113"/>
      <c r="O60" s="285"/>
      <c r="P60" s="294">
        <f t="shared" si="1"/>
        <v>-43000</v>
      </c>
      <c r="Q60" s="294">
        <f t="shared" si="2"/>
        <v>-30153.47</v>
      </c>
      <c r="R60" s="298">
        <f t="shared" si="3"/>
        <v>0</v>
      </c>
    </row>
    <row r="61" spans="2:18" ht="12.75">
      <c r="B61" s="413"/>
      <c r="C61" s="345" t="s">
        <v>179</v>
      </c>
      <c r="D61" s="346">
        <v>40000</v>
      </c>
      <c r="E61" s="347">
        <v>40000</v>
      </c>
      <c r="F61" s="347">
        <v>100000</v>
      </c>
      <c r="G61" s="348">
        <v>150</v>
      </c>
      <c r="H61" s="347">
        <v>25635.99</v>
      </c>
      <c r="I61" s="347">
        <v>25635.99</v>
      </c>
      <c r="J61" s="347">
        <v>65705.54</v>
      </c>
      <c r="K61" s="348">
        <v>156.3019411382201</v>
      </c>
      <c r="L61" s="113"/>
      <c r="O61" s="285"/>
      <c r="P61" s="294">
        <f t="shared" si="1"/>
        <v>60000</v>
      </c>
      <c r="Q61" s="294">
        <f t="shared" si="2"/>
        <v>40069.54999999999</v>
      </c>
      <c r="R61" s="298">
        <f t="shared" si="3"/>
        <v>0.6570554</v>
      </c>
    </row>
    <row r="62" spans="2:18" ht="12.75">
      <c r="B62" s="413"/>
      <c r="C62" s="345" t="s">
        <v>110</v>
      </c>
      <c r="D62" s="346">
        <v>17500</v>
      </c>
      <c r="E62" s="347">
        <v>0</v>
      </c>
      <c r="F62" s="347">
        <v>0</v>
      </c>
      <c r="G62" s="348" t="s">
        <v>147</v>
      </c>
      <c r="H62" s="347">
        <v>11645.79</v>
      </c>
      <c r="I62" s="347">
        <v>0</v>
      </c>
      <c r="J62" s="347">
        <v>0</v>
      </c>
      <c r="K62" s="348" t="s">
        <v>147</v>
      </c>
      <c r="L62" s="113"/>
      <c r="O62" s="285"/>
      <c r="P62" s="294">
        <f t="shared" si="1"/>
        <v>0</v>
      </c>
      <c r="Q62" s="294">
        <f t="shared" si="2"/>
        <v>0</v>
      </c>
      <c r="R62" s="298">
        <f t="shared" si="3"/>
        <v>0</v>
      </c>
    </row>
    <row r="63" spans="2:18" ht="12.75">
      <c r="B63" s="413"/>
      <c r="C63" s="345" t="s">
        <v>96</v>
      </c>
      <c r="D63" s="346">
        <v>10000</v>
      </c>
      <c r="E63" s="347">
        <v>0</v>
      </c>
      <c r="F63" s="347">
        <v>0</v>
      </c>
      <c r="G63" s="348" t="s">
        <v>147</v>
      </c>
      <c r="H63" s="347">
        <v>10385.13</v>
      </c>
      <c r="I63" s="347">
        <v>0</v>
      </c>
      <c r="J63" s="347">
        <v>0</v>
      </c>
      <c r="K63" s="348" t="s">
        <v>147</v>
      </c>
      <c r="L63" s="113"/>
      <c r="O63" s="285"/>
      <c r="P63" s="294">
        <f t="shared" si="1"/>
        <v>0</v>
      </c>
      <c r="Q63" s="294">
        <f t="shared" si="2"/>
        <v>0</v>
      </c>
      <c r="R63" s="298">
        <f t="shared" si="3"/>
        <v>0</v>
      </c>
    </row>
    <row r="64" spans="2:18" ht="12.75">
      <c r="B64" s="413"/>
      <c r="C64" s="345" t="s">
        <v>102</v>
      </c>
      <c r="D64" s="346">
        <v>7076</v>
      </c>
      <c r="E64" s="347">
        <v>0</v>
      </c>
      <c r="F64" s="347">
        <v>0</v>
      </c>
      <c r="G64" s="348" t="s">
        <v>147</v>
      </c>
      <c r="H64" s="347">
        <v>6012.93</v>
      </c>
      <c r="I64" s="347">
        <v>0</v>
      </c>
      <c r="J64" s="347">
        <v>0</v>
      </c>
      <c r="K64" s="348" t="s">
        <v>147</v>
      </c>
      <c r="L64" s="113"/>
      <c r="O64" s="285"/>
      <c r="P64" s="294">
        <f t="shared" si="1"/>
        <v>0</v>
      </c>
      <c r="Q64" s="294">
        <f t="shared" si="2"/>
        <v>0</v>
      </c>
      <c r="R64" s="298">
        <f t="shared" si="3"/>
        <v>0</v>
      </c>
    </row>
    <row r="65" spans="2:18" ht="12.75">
      <c r="B65" s="413"/>
      <c r="C65" s="345" t="s">
        <v>168</v>
      </c>
      <c r="D65" s="346">
        <v>112.9692</v>
      </c>
      <c r="E65" s="347">
        <v>0</v>
      </c>
      <c r="F65" s="347">
        <v>0</v>
      </c>
      <c r="G65" s="348" t="s">
        <v>147</v>
      </c>
      <c r="H65" s="347">
        <v>724.35</v>
      </c>
      <c r="I65" s="347">
        <v>0</v>
      </c>
      <c r="J65" s="347">
        <v>0</v>
      </c>
      <c r="K65" s="348" t="s">
        <v>147</v>
      </c>
      <c r="L65" s="113"/>
      <c r="O65" s="285"/>
      <c r="P65" s="294">
        <f t="shared" si="1"/>
        <v>0</v>
      </c>
      <c r="Q65" s="294">
        <f t="shared" si="2"/>
        <v>0</v>
      </c>
      <c r="R65" s="298">
        <f t="shared" si="3"/>
        <v>0</v>
      </c>
    </row>
    <row r="66" spans="2:18" ht="12.75">
      <c r="B66" s="413"/>
      <c r="C66" s="345" t="s">
        <v>98</v>
      </c>
      <c r="D66" s="346">
        <v>725</v>
      </c>
      <c r="E66" s="347">
        <v>0</v>
      </c>
      <c r="F66" s="347">
        <v>0</v>
      </c>
      <c r="G66" s="348" t="s">
        <v>147</v>
      </c>
      <c r="H66" s="347">
        <v>602.82</v>
      </c>
      <c r="I66" s="347">
        <v>0</v>
      </c>
      <c r="J66" s="347">
        <v>0</v>
      </c>
      <c r="K66" s="348" t="s">
        <v>147</v>
      </c>
      <c r="L66" s="114"/>
      <c r="O66" s="285"/>
      <c r="P66" s="294">
        <f t="shared" si="1"/>
        <v>0</v>
      </c>
      <c r="Q66" s="294">
        <f t="shared" si="2"/>
        <v>0</v>
      </c>
      <c r="R66" s="298">
        <f t="shared" si="3"/>
        <v>0</v>
      </c>
    </row>
    <row r="67" spans="2:18" ht="15">
      <c r="B67" s="413"/>
      <c r="C67" s="68" t="s">
        <v>80</v>
      </c>
      <c r="D67" s="42">
        <v>1125</v>
      </c>
      <c r="E67" s="43">
        <v>0</v>
      </c>
      <c r="F67" s="43">
        <v>0</v>
      </c>
      <c r="G67" s="44" t="s">
        <v>147</v>
      </c>
      <c r="H67" s="43">
        <v>161.86</v>
      </c>
      <c r="I67" s="43">
        <v>0</v>
      </c>
      <c r="J67" s="43">
        <v>0</v>
      </c>
      <c r="K67" s="44" t="s">
        <v>147</v>
      </c>
      <c r="L67" s="113"/>
      <c r="P67" s="294">
        <f t="shared" si="1"/>
        <v>0</v>
      </c>
      <c r="Q67" s="294">
        <f t="shared" si="2"/>
        <v>0</v>
      </c>
      <c r="R67" s="298">
        <f t="shared" si="3"/>
        <v>0</v>
      </c>
    </row>
    <row r="68" spans="2:18" ht="15">
      <c r="B68" s="128" t="s">
        <v>116</v>
      </c>
      <c r="C68" s="129"/>
      <c r="D68" s="61">
        <v>2076654.8941999997</v>
      </c>
      <c r="E68" s="62">
        <v>528803</v>
      </c>
      <c r="F68" s="62">
        <v>584482.2692</v>
      </c>
      <c r="G68" s="63">
        <v>10.529302821655694</v>
      </c>
      <c r="H68" s="62">
        <v>1969126.2700000003</v>
      </c>
      <c r="I68" s="62">
        <v>447582.69</v>
      </c>
      <c r="J68" s="62">
        <v>489114.55999999994</v>
      </c>
      <c r="K68" s="63">
        <v>9.27915018339962</v>
      </c>
      <c r="L68" s="113"/>
      <c r="O68" s="305">
        <f>+J68/$J$90</f>
        <v>0.020415003709384653</v>
      </c>
      <c r="P68" s="294">
        <f t="shared" si="1"/>
        <v>55679.26919999998</v>
      </c>
      <c r="Q68" s="294">
        <f t="shared" si="2"/>
        <v>41531.86999999994</v>
      </c>
      <c r="R68" s="298">
        <f t="shared" si="3"/>
        <v>0.836833871230118</v>
      </c>
    </row>
    <row r="69" spans="2:18" ht="12.75">
      <c r="B69" s="417" t="s">
        <v>125</v>
      </c>
      <c r="C69" s="345" t="s">
        <v>96</v>
      </c>
      <c r="D69" s="346">
        <v>368031.75</v>
      </c>
      <c r="E69" s="347">
        <v>92943.75</v>
      </c>
      <c r="F69" s="347">
        <v>69638.5</v>
      </c>
      <c r="G69" s="348">
        <v>-25.074574675543005</v>
      </c>
      <c r="H69" s="347">
        <v>272389.16</v>
      </c>
      <c r="I69" s="347">
        <v>69433.62</v>
      </c>
      <c r="J69" s="347">
        <v>51648.45</v>
      </c>
      <c r="K69" s="348">
        <v>-25.614637404761552</v>
      </c>
      <c r="L69" s="113"/>
      <c r="O69" s="285"/>
      <c r="P69" s="294">
        <f t="shared" si="1"/>
        <v>-23305.25</v>
      </c>
      <c r="Q69" s="294">
        <f t="shared" si="2"/>
        <v>-17785.17</v>
      </c>
      <c r="R69" s="298">
        <f t="shared" si="3"/>
        <v>0.7416651708465862</v>
      </c>
    </row>
    <row r="70" spans="2:18" ht="12.75">
      <c r="B70" s="417"/>
      <c r="C70" s="345" t="s">
        <v>77</v>
      </c>
      <c r="D70" s="346">
        <v>65672.6538</v>
      </c>
      <c r="E70" s="347">
        <v>19327.3538</v>
      </c>
      <c r="F70" s="347">
        <v>19815</v>
      </c>
      <c r="G70" s="348">
        <v>2.523088287440567</v>
      </c>
      <c r="H70" s="347">
        <v>94172.32</v>
      </c>
      <c r="I70" s="347">
        <v>32244.14</v>
      </c>
      <c r="J70" s="347">
        <v>46608.39</v>
      </c>
      <c r="K70" s="348">
        <v>44.54840476440061</v>
      </c>
      <c r="L70" s="113"/>
      <c r="O70" s="285"/>
      <c r="P70" s="294">
        <f t="shared" si="1"/>
        <v>487.6461999999992</v>
      </c>
      <c r="Q70" s="294">
        <f t="shared" si="2"/>
        <v>14364.25</v>
      </c>
      <c r="R70" s="298">
        <f t="shared" si="3"/>
        <v>2.3521771385314154</v>
      </c>
    </row>
    <row r="71" spans="2:19" s="224" customFormat="1" ht="12.75">
      <c r="B71" s="417"/>
      <c r="C71" s="345" t="s">
        <v>127</v>
      </c>
      <c r="D71" s="346">
        <v>17178.597</v>
      </c>
      <c r="E71" s="347">
        <v>228.61</v>
      </c>
      <c r="F71" s="347">
        <v>40.824</v>
      </c>
      <c r="G71" s="348">
        <v>-82.14251345085518</v>
      </c>
      <c r="H71" s="347">
        <v>85743.33</v>
      </c>
      <c r="I71" s="347">
        <v>15367.15</v>
      </c>
      <c r="J71" s="347">
        <v>382.1</v>
      </c>
      <c r="K71" s="348">
        <v>-97.5135272317899</v>
      </c>
      <c r="L71" s="235"/>
      <c r="N71" s="148"/>
      <c r="O71" s="285"/>
      <c r="P71" s="294">
        <f aca="true" t="shared" si="4" ref="P71:P90">+F71-E71</f>
        <v>-187.786</v>
      </c>
      <c r="Q71" s="294">
        <f aca="true" t="shared" si="5" ref="Q71:Q90">+J71-I71</f>
        <v>-14985.05</v>
      </c>
      <c r="R71" s="298">
        <f aca="true" t="shared" si="6" ref="R71:R90">+IF(F71=0,0,J71/F71)</f>
        <v>9.359690378208898</v>
      </c>
      <c r="S71" s="148"/>
    </row>
    <row r="72" spans="2:18" ht="12.75">
      <c r="B72" s="417"/>
      <c r="C72" s="68" t="s">
        <v>98</v>
      </c>
      <c r="D72" s="42">
        <v>0</v>
      </c>
      <c r="E72" s="43">
        <v>0</v>
      </c>
      <c r="F72" s="43">
        <v>2400</v>
      </c>
      <c r="G72" s="44" t="s">
        <v>147</v>
      </c>
      <c r="H72" s="43">
        <v>0</v>
      </c>
      <c r="I72" s="43">
        <v>0</v>
      </c>
      <c r="J72" s="43">
        <v>2280</v>
      </c>
      <c r="K72" s="44" t="s">
        <v>147</v>
      </c>
      <c r="L72" s="113"/>
      <c r="O72" s="285"/>
      <c r="P72" s="294">
        <f t="shared" si="4"/>
        <v>2400</v>
      </c>
      <c r="Q72" s="294">
        <f t="shared" si="5"/>
        <v>2280</v>
      </c>
      <c r="R72" s="298">
        <f t="shared" si="6"/>
        <v>0.95</v>
      </c>
    </row>
    <row r="73" spans="2:18" ht="15">
      <c r="B73" s="128" t="s">
        <v>126</v>
      </c>
      <c r="C73" s="129"/>
      <c r="D73" s="61">
        <v>450883.0008</v>
      </c>
      <c r="E73" s="62">
        <v>112499.7138</v>
      </c>
      <c r="F73" s="62">
        <v>91894.324</v>
      </c>
      <c r="G73" s="63">
        <v>-18.315948640217794</v>
      </c>
      <c r="H73" s="62">
        <v>452304.81</v>
      </c>
      <c r="I73" s="62">
        <v>117044.90999999999</v>
      </c>
      <c r="J73" s="62">
        <v>100918.94</v>
      </c>
      <c r="K73" s="63">
        <v>-13.77759186623322</v>
      </c>
      <c r="L73" s="114"/>
      <c r="O73" s="305">
        <f>+J73/$J$90</f>
        <v>0.004212224911986197</v>
      </c>
      <c r="P73" s="294">
        <f t="shared" si="4"/>
        <v>-20605.389800000004</v>
      </c>
      <c r="Q73" s="294">
        <f t="shared" si="5"/>
        <v>-16125.969999999987</v>
      </c>
      <c r="R73" s="298">
        <f t="shared" si="6"/>
        <v>1.0982064572345078</v>
      </c>
    </row>
    <row r="74" spans="2:18" ht="12.75">
      <c r="B74" s="415" t="s">
        <v>86</v>
      </c>
      <c r="C74" s="345" t="s">
        <v>127</v>
      </c>
      <c r="D74" s="346">
        <v>738</v>
      </c>
      <c r="E74" s="347">
        <v>0</v>
      </c>
      <c r="F74" s="347">
        <v>0</v>
      </c>
      <c r="G74" s="348" t="s">
        <v>147</v>
      </c>
      <c r="H74" s="347">
        <v>84943.33</v>
      </c>
      <c r="I74" s="347">
        <v>0</v>
      </c>
      <c r="J74" s="347">
        <v>0</v>
      </c>
      <c r="K74" s="348" t="s">
        <v>147</v>
      </c>
      <c r="L74" s="113"/>
      <c r="O74" s="285"/>
      <c r="P74" s="294">
        <f t="shared" si="4"/>
        <v>0</v>
      </c>
      <c r="Q74" s="294">
        <f t="shared" si="5"/>
        <v>0</v>
      </c>
      <c r="R74" s="298">
        <f t="shared" si="6"/>
        <v>0</v>
      </c>
    </row>
    <row r="75" spans="2:18" ht="15">
      <c r="B75" s="413"/>
      <c r="C75" s="345" t="s">
        <v>96</v>
      </c>
      <c r="D75" s="346">
        <v>57323.0769</v>
      </c>
      <c r="E75" s="347">
        <v>57323.0769</v>
      </c>
      <c r="F75" s="347">
        <v>0</v>
      </c>
      <c r="G75" s="348">
        <v>-100</v>
      </c>
      <c r="H75" s="347">
        <v>58523.86</v>
      </c>
      <c r="I75" s="347">
        <v>58523.86</v>
      </c>
      <c r="J75" s="347">
        <v>0</v>
      </c>
      <c r="K75" s="348">
        <v>-100</v>
      </c>
      <c r="L75" s="114"/>
      <c r="P75" s="294">
        <f t="shared" si="4"/>
        <v>-57323.0769</v>
      </c>
      <c r="Q75" s="294">
        <f t="shared" si="5"/>
        <v>-58523.86</v>
      </c>
      <c r="R75" s="298">
        <f t="shared" si="6"/>
        <v>0</v>
      </c>
    </row>
    <row r="76" spans="2:18" ht="12.75">
      <c r="B76" s="413"/>
      <c r="C76" s="68" t="s">
        <v>77</v>
      </c>
      <c r="D76" s="42">
        <v>67205.69</v>
      </c>
      <c r="E76" s="43">
        <v>1256.69</v>
      </c>
      <c r="F76" s="43">
        <v>23864.34</v>
      </c>
      <c r="G76" s="44">
        <v>1798.9838384963673</v>
      </c>
      <c r="H76" s="43">
        <v>7814.02</v>
      </c>
      <c r="I76" s="43">
        <v>209.94</v>
      </c>
      <c r="J76" s="43">
        <v>2904.09</v>
      </c>
      <c r="K76" s="44">
        <v>1283.2952272077737</v>
      </c>
      <c r="L76" s="114"/>
      <c r="O76" s="285"/>
      <c r="P76" s="294">
        <f t="shared" si="4"/>
        <v>22607.65</v>
      </c>
      <c r="Q76" s="294">
        <f t="shared" si="5"/>
        <v>2694.15</v>
      </c>
      <c r="R76" s="298">
        <f t="shared" si="6"/>
        <v>0.12169161183590245</v>
      </c>
    </row>
    <row r="77" spans="2:18" ht="15">
      <c r="B77" s="128" t="s">
        <v>118</v>
      </c>
      <c r="C77" s="129"/>
      <c r="D77" s="61">
        <v>125266.7669</v>
      </c>
      <c r="E77" s="62">
        <v>58579.7669</v>
      </c>
      <c r="F77" s="62">
        <v>23864.34</v>
      </c>
      <c r="G77" s="63">
        <v>-59.26180443712212</v>
      </c>
      <c r="H77" s="62">
        <v>151281.21000000002</v>
      </c>
      <c r="I77" s="62">
        <v>58733.8</v>
      </c>
      <c r="J77" s="62">
        <v>2904.09</v>
      </c>
      <c r="K77" s="63">
        <v>-95.05550466681876</v>
      </c>
      <c r="O77" s="305">
        <f>+J77/$J$90</f>
        <v>0.00012121292836260464</v>
      </c>
      <c r="P77" s="294">
        <f t="shared" si="4"/>
        <v>-34715.426900000006</v>
      </c>
      <c r="Q77" s="294">
        <f t="shared" si="5"/>
        <v>-55829.71000000001</v>
      </c>
      <c r="R77" s="298">
        <f t="shared" si="6"/>
        <v>0.12169161183590245</v>
      </c>
    </row>
    <row r="78" spans="2:18" ht="12.75">
      <c r="B78" s="415" t="s">
        <v>85</v>
      </c>
      <c r="C78" s="345" t="s">
        <v>127</v>
      </c>
      <c r="D78" s="346">
        <v>13608</v>
      </c>
      <c r="E78" s="347">
        <v>0</v>
      </c>
      <c r="F78" s="347">
        <v>13608</v>
      </c>
      <c r="G78" s="348" t="s">
        <v>147</v>
      </c>
      <c r="H78" s="347">
        <v>22676</v>
      </c>
      <c r="I78" s="347">
        <v>0</v>
      </c>
      <c r="J78" s="347">
        <v>20700</v>
      </c>
      <c r="K78" s="348" t="s">
        <v>147</v>
      </c>
      <c r="O78" s="285"/>
      <c r="P78" s="294">
        <f t="shared" si="4"/>
        <v>13608</v>
      </c>
      <c r="Q78" s="294">
        <f t="shared" si="5"/>
        <v>20700</v>
      </c>
      <c r="R78" s="298">
        <f t="shared" si="6"/>
        <v>1.5211640211640212</v>
      </c>
    </row>
    <row r="79" spans="2:18" ht="12.75">
      <c r="B79" s="413"/>
      <c r="C79" s="345" t="s">
        <v>129</v>
      </c>
      <c r="D79" s="346">
        <v>20000</v>
      </c>
      <c r="E79" s="347">
        <v>0</v>
      </c>
      <c r="F79" s="347">
        <v>20000</v>
      </c>
      <c r="G79" s="348" t="s">
        <v>147</v>
      </c>
      <c r="H79" s="347">
        <v>16300</v>
      </c>
      <c r="I79" s="347">
        <v>0</v>
      </c>
      <c r="J79" s="347">
        <v>15760</v>
      </c>
      <c r="K79" s="348" t="s">
        <v>147</v>
      </c>
      <c r="O79" s="285"/>
      <c r="P79" s="294">
        <f t="shared" si="4"/>
        <v>20000</v>
      </c>
      <c r="Q79" s="294">
        <f t="shared" si="5"/>
        <v>15760</v>
      </c>
      <c r="R79" s="298">
        <f t="shared" si="6"/>
        <v>0.788</v>
      </c>
    </row>
    <row r="80" spans="2:18" ht="12.75">
      <c r="B80" s="413"/>
      <c r="C80" s="345" t="s">
        <v>102</v>
      </c>
      <c r="D80" s="346">
        <v>5389.0772</v>
      </c>
      <c r="E80" s="347">
        <v>0</v>
      </c>
      <c r="F80" s="347">
        <v>0</v>
      </c>
      <c r="G80" s="348" t="s">
        <v>147</v>
      </c>
      <c r="H80" s="347">
        <v>6599.38</v>
      </c>
      <c r="I80" s="347">
        <v>0</v>
      </c>
      <c r="J80" s="347">
        <v>0</v>
      </c>
      <c r="K80" s="348" t="s">
        <v>147</v>
      </c>
      <c r="O80" s="285"/>
      <c r="P80" s="294">
        <f t="shared" si="4"/>
        <v>0</v>
      </c>
      <c r="Q80" s="294">
        <f t="shared" si="5"/>
        <v>0</v>
      </c>
      <c r="R80" s="298">
        <f t="shared" si="6"/>
        <v>0</v>
      </c>
    </row>
    <row r="81" spans="2:18" ht="12.75">
      <c r="B81" s="413"/>
      <c r="C81" s="345" t="s">
        <v>77</v>
      </c>
      <c r="D81" s="346">
        <v>964.6308</v>
      </c>
      <c r="E81" s="347">
        <v>0</v>
      </c>
      <c r="F81" s="347">
        <v>0</v>
      </c>
      <c r="G81" s="348" t="s">
        <v>147</v>
      </c>
      <c r="H81" s="347">
        <v>216.91</v>
      </c>
      <c r="I81" s="347">
        <v>0</v>
      </c>
      <c r="J81" s="347">
        <v>0</v>
      </c>
      <c r="K81" s="348" t="s">
        <v>147</v>
      </c>
      <c r="O81" s="285"/>
      <c r="P81" s="294">
        <f t="shared" si="4"/>
        <v>0</v>
      </c>
      <c r="Q81" s="294">
        <f t="shared" si="5"/>
        <v>0</v>
      </c>
      <c r="R81" s="298">
        <f t="shared" si="6"/>
        <v>0</v>
      </c>
    </row>
    <row r="82" spans="2:18" ht="12.75">
      <c r="B82" s="413"/>
      <c r="C82" s="345" t="s">
        <v>95</v>
      </c>
      <c r="D82" s="346">
        <v>1.38</v>
      </c>
      <c r="E82" s="347">
        <v>1</v>
      </c>
      <c r="F82" s="347">
        <v>0</v>
      </c>
      <c r="G82" s="348">
        <v>-100</v>
      </c>
      <c r="H82" s="347">
        <v>167.27</v>
      </c>
      <c r="I82" s="347">
        <v>104.6</v>
      </c>
      <c r="J82" s="347">
        <v>0</v>
      </c>
      <c r="K82" s="348">
        <v>-100</v>
      </c>
      <c r="O82" s="285"/>
      <c r="P82" s="294">
        <f t="shared" si="4"/>
        <v>-1</v>
      </c>
      <c r="Q82" s="294">
        <f t="shared" si="5"/>
        <v>-104.6</v>
      </c>
      <c r="R82" s="298">
        <f t="shared" si="6"/>
        <v>0</v>
      </c>
    </row>
    <row r="83" spans="2:19" s="224" customFormat="1" ht="12.75">
      <c r="B83" s="413"/>
      <c r="C83" s="345" t="s">
        <v>98</v>
      </c>
      <c r="D83" s="346">
        <v>21</v>
      </c>
      <c r="E83" s="347">
        <v>21</v>
      </c>
      <c r="F83" s="347">
        <v>1141.8698</v>
      </c>
      <c r="G83" s="348">
        <v>5337.475238095238</v>
      </c>
      <c r="H83" s="347">
        <v>34.5</v>
      </c>
      <c r="I83" s="347">
        <v>34.5</v>
      </c>
      <c r="J83" s="347">
        <v>1931.68</v>
      </c>
      <c r="K83" s="348">
        <v>5499.072463768116</v>
      </c>
      <c r="N83" s="148"/>
      <c r="O83" s="285"/>
      <c r="P83" s="294">
        <f t="shared" si="4"/>
        <v>1120.8698</v>
      </c>
      <c r="Q83" s="294">
        <f t="shared" si="5"/>
        <v>1897.18</v>
      </c>
      <c r="R83" s="298">
        <f t="shared" si="6"/>
        <v>1.6916814859277303</v>
      </c>
      <c r="S83" s="148"/>
    </row>
    <row r="84" spans="2:19" s="224" customFormat="1" ht="12.75">
      <c r="B84" s="416"/>
      <c r="C84" s="234" t="s">
        <v>100</v>
      </c>
      <c r="D84" s="228">
        <v>0</v>
      </c>
      <c r="E84" s="229">
        <v>0</v>
      </c>
      <c r="F84" s="229">
        <v>96</v>
      </c>
      <c r="G84" s="230" t="s">
        <v>147</v>
      </c>
      <c r="H84" s="229">
        <v>0</v>
      </c>
      <c r="I84" s="229">
        <v>0</v>
      </c>
      <c r="J84" s="229">
        <v>375.23</v>
      </c>
      <c r="K84" s="230" t="s">
        <v>147</v>
      </c>
      <c r="N84" s="148"/>
      <c r="O84" s="285"/>
      <c r="P84" s="294">
        <f t="shared" si="4"/>
        <v>96</v>
      </c>
      <c r="Q84" s="294">
        <f t="shared" si="5"/>
        <v>375.23</v>
      </c>
      <c r="R84" s="298">
        <f t="shared" si="6"/>
        <v>3.9086458333333334</v>
      </c>
      <c r="S84" s="148"/>
    </row>
    <row r="85" spans="2:18" ht="15">
      <c r="B85" s="128" t="s">
        <v>117</v>
      </c>
      <c r="C85" s="129"/>
      <c r="D85" s="61">
        <v>39984.088</v>
      </c>
      <c r="E85" s="62">
        <v>22</v>
      </c>
      <c r="F85" s="62">
        <v>34845.8698</v>
      </c>
      <c r="G85" s="63">
        <v>158290.31727272726</v>
      </c>
      <c r="H85" s="62">
        <v>45994.06</v>
      </c>
      <c r="I85" s="62">
        <v>139.1</v>
      </c>
      <c r="J85" s="62">
        <v>38766.91</v>
      </c>
      <c r="K85" s="63">
        <v>27769.813084112157</v>
      </c>
      <c r="O85" s="305">
        <f>+J85/$J$90</f>
        <v>0.0016180802539416965</v>
      </c>
      <c r="P85" s="294">
        <f t="shared" si="4"/>
        <v>34823.8698</v>
      </c>
      <c r="Q85" s="294">
        <f t="shared" si="5"/>
        <v>38627.810000000005</v>
      </c>
      <c r="R85" s="298">
        <f t="shared" si="6"/>
        <v>1.1125252496925764</v>
      </c>
    </row>
    <row r="86" spans="2:19" s="224" customFormat="1" ht="15">
      <c r="B86" s="245" t="s">
        <v>244</v>
      </c>
      <c r="C86" s="162" t="s">
        <v>77</v>
      </c>
      <c r="D86" s="163">
        <v>4375</v>
      </c>
      <c r="E86" s="163">
        <v>0</v>
      </c>
      <c r="F86" s="163">
        <v>24935</v>
      </c>
      <c r="G86" s="164" t="s">
        <v>147</v>
      </c>
      <c r="H86" s="163">
        <v>469.7</v>
      </c>
      <c r="I86" s="163">
        <v>0</v>
      </c>
      <c r="J86" s="163">
        <v>3015.67</v>
      </c>
      <c r="K86" s="164" t="s">
        <v>147</v>
      </c>
      <c r="N86" s="148"/>
      <c r="O86" s="305"/>
      <c r="P86" s="294">
        <f t="shared" si="4"/>
        <v>24935</v>
      </c>
      <c r="Q86" s="294">
        <f t="shared" si="5"/>
        <v>3015.67</v>
      </c>
      <c r="R86" s="298">
        <f t="shared" si="6"/>
        <v>0.12094124724283137</v>
      </c>
      <c r="S86" s="148"/>
    </row>
    <row r="87" spans="2:19" s="224" customFormat="1" ht="15">
      <c r="B87" s="128" t="s">
        <v>245</v>
      </c>
      <c r="C87" s="129"/>
      <c r="D87" s="61">
        <v>4375</v>
      </c>
      <c r="E87" s="62">
        <v>0</v>
      </c>
      <c r="F87" s="62">
        <v>24935</v>
      </c>
      <c r="G87" s="63" t="s">
        <v>147</v>
      </c>
      <c r="H87" s="62">
        <v>469.7</v>
      </c>
      <c r="I87" s="62">
        <v>0</v>
      </c>
      <c r="J87" s="62">
        <v>3015.67</v>
      </c>
      <c r="K87" s="63" t="s">
        <v>147</v>
      </c>
      <c r="N87" s="148"/>
      <c r="O87" s="305">
        <f>+J87/$J$90</f>
        <v>0.00012587013201218142</v>
      </c>
      <c r="P87" s="294">
        <f t="shared" si="4"/>
        <v>24935</v>
      </c>
      <c r="Q87" s="294">
        <f t="shared" si="5"/>
        <v>3015.67</v>
      </c>
      <c r="R87" s="298">
        <f t="shared" si="6"/>
        <v>0.12094124724283137</v>
      </c>
      <c r="S87" s="148"/>
    </row>
    <row r="88" spans="2:18" ht="25.5">
      <c r="B88" s="214" t="s">
        <v>189</v>
      </c>
      <c r="C88" s="162" t="s">
        <v>95</v>
      </c>
      <c r="D88" s="163">
        <v>1.339</v>
      </c>
      <c r="E88" s="163">
        <v>0</v>
      </c>
      <c r="F88" s="163">
        <v>0</v>
      </c>
      <c r="G88" s="164" t="s">
        <v>147</v>
      </c>
      <c r="H88" s="163">
        <v>203.57</v>
      </c>
      <c r="I88" s="163">
        <v>0</v>
      </c>
      <c r="J88" s="163">
        <v>0</v>
      </c>
      <c r="K88" s="164" t="s">
        <v>147</v>
      </c>
      <c r="O88" s="285"/>
      <c r="P88" s="294">
        <f t="shared" si="4"/>
        <v>0</v>
      </c>
      <c r="Q88" s="294">
        <f t="shared" si="5"/>
        <v>0</v>
      </c>
      <c r="R88" s="298">
        <f t="shared" si="6"/>
        <v>0</v>
      </c>
    </row>
    <row r="89" spans="2:18" ht="15">
      <c r="B89" s="128" t="s">
        <v>190</v>
      </c>
      <c r="C89" s="129"/>
      <c r="D89" s="61">
        <v>1.339</v>
      </c>
      <c r="E89" s="62">
        <v>0</v>
      </c>
      <c r="F89" s="62">
        <v>0</v>
      </c>
      <c r="G89" s="63" t="s">
        <v>147</v>
      </c>
      <c r="H89" s="62">
        <v>203.57</v>
      </c>
      <c r="I89" s="62">
        <v>0</v>
      </c>
      <c r="J89" s="62">
        <v>0</v>
      </c>
      <c r="K89" s="63" t="s">
        <v>147</v>
      </c>
      <c r="O89" s="305">
        <f>+J89/$J$90</f>
        <v>0</v>
      </c>
      <c r="P89" s="294">
        <f t="shared" si="4"/>
        <v>0</v>
      </c>
      <c r="Q89" s="294">
        <f t="shared" si="5"/>
        <v>0</v>
      </c>
      <c r="R89" s="298">
        <f t="shared" si="6"/>
        <v>0</v>
      </c>
    </row>
    <row r="90" spans="2:18" ht="12.75">
      <c r="B90" s="128" t="s">
        <v>93</v>
      </c>
      <c r="C90" s="129"/>
      <c r="D90" s="61">
        <v>107350683.4938</v>
      </c>
      <c r="E90" s="62">
        <v>26029783.100000005</v>
      </c>
      <c r="F90" s="62">
        <v>27101478.6064</v>
      </c>
      <c r="G90" s="63">
        <v>4.117189537395705</v>
      </c>
      <c r="H90" s="62">
        <v>98534478.25999993</v>
      </c>
      <c r="I90" s="62">
        <v>23201552.789999995</v>
      </c>
      <c r="J90" s="62">
        <v>23958582.96</v>
      </c>
      <c r="K90" s="63">
        <v>3.2628426935557897</v>
      </c>
      <c r="O90" s="285"/>
      <c r="P90" s="294">
        <f t="shared" si="4"/>
        <v>1071695.5063999966</v>
      </c>
      <c r="Q90" s="294">
        <f t="shared" si="5"/>
        <v>757030.1700000055</v>
      </c>
      <c r="R90" s="298">
        <f t="shared" si="6"/>
        <v>0.8840323182345554</v>
      </c>
    </row>
    <row r="91" spans="2:16" ht="12.75">
      <c r="B91" s="115" t="s">
        <v>152</v>
      </c>
      <c r="C91" s="115"/>
      <c r="D91" s="115"/>
      <c r="E91" s="115"/>
      <c r="F91" s="115"/>
      <c r="G91" s="115"/>
      <c r="H91" s="115"/>
      <c r="I91" s="115"/>
      <c r="J91" s="115"/>
      <c r="K91" s="115"/>
      <c r="O91" s="285"/>
      <c r="P91" s="285"/>
    </row>
    <row r="92" spans="15:16" ht="12.75">
      <c r="O92" s="285"/>
      <c r="P92" s="285"/>
    </row>
    <row r="93" spans="15:16" ht="12.75">
      <c r="O93" s="285"/>
      <c r="P93" s="285"/>
    </row>
    <row r="94" spans="15:16" ht="12.75">
      <c r="O94" s="285"/>
      <c r="P94" s="285"/>
    </row>
    <row r="95" spans="15:16" ht="12.75">
      <c r="O95" s="285"/>
      <c r="P95" s="285"/>
    </row>
    <row r="96" spans="15:16" ht="12.75">
      <c r="O96" s="285"/>
      <c r="P96" s="285"/>
    </row>
    <row r="97" spans="15:16" ht="12.75">
      <c r="O97" s="285"/>
      <c r="P97" s="285"/>
    </row>
    <row r="98" spans="15:16" ht="12.75">
      <c r="O98" s="285"/>
      <c r="P98" s="285"/>
    </row>
    <row r="99" spans="15:16" ht="12.75">
      <c r="O99" s="285"/>
      <c r="P99" s="285"/>
    </row>
    <row r="100" spans="15:16" ht="12.75">
      <c r="O100" s="285"/>
      <c r="P100" s="285"/>
    </row>
    <row r="101" spans="15:16" ht="12.75">
      <c r="O101" s="285"/>
      <c r="P101" s="285"/>
    </row>
    <row r="102" spans="15:16" ht="12.75">
      <c r="O102" s="285"/>
      <c r="P102" s="285"/>
    </row>
    <row r="103" spans="15:16" ht="12.75">
      <c r="O103" s="285"/>
      <c r="P103" s="285"/>
    </row>
    <row r="104" spans="15:16" ht="12.75">
      <c r="O104" s="285"/>
      <c r="P104" s="285"/>
    </row>
    <row r="105" spans="15:16" ht="12.75">
      <c r="O105" s="285"/>
      <c r="P105" s="285"/>
    </row>
    <row r="106" spans="15:16" ht="12.75">
      <c r="O106" s="285"/>
      <c r="P106" s="285"/>
    </row>
    <row r="107" spans="15:16" ht="12.75">
      <c r="O107" s="285"/>
      <c r="P107" s="285"/>
    </row>
    <row r="108" spans="15:16" ht="12.75">
      <c r="O108" s="285"/>
      <c r="P108" s="285"/>
    </row>
    <row r="109" spans="15:16" ht="12.75">
      <c r="O109" s="285"/>
      <c r="P109" s="285"/>
    </row>
    <row r="110" spans="15:16" ht="12.75">
      <c r="O110" s="285"/>
      <c r="P110" s="285"/>
    </row>
    <row r="111" spans="15:16" ht="12.75">
      <c r="O111" s="285"/>
      <c r="P111" s="285"/>
    </row>
    <row r="112" spans="15:16" ht="12.75">
      <c r="O112" s="285"/>
      <c r="P112" s="285"/>
    </row>
    <row r="113" spans="15:16" ht="12.75">
      <c r="O113" s="285"/>
      <c r="P113" s="285"/>
    </row>
  </sheetData>
  <sheetProtection/>
  <mergeCells count="12">
    <mergeCell ref="B74:B76"/>
    <mergeCell ref="B69:B72"/>
    <mergeCell ref="B54:B67"/>
    <mergeCell ref="B78:B84"/>
    <mergeCell ref="B43:B52"/>
    <mergeCell ref="B22:B41"/>
    <mergeCell ref="B2:K2"/>
    <mergeCell ref="D4:G4"/>
    <mergeCell ref="H4:K4"/>
    <mergeCell ref="B4:B5"/>
    <mergeCell ref="C4:C5"/>
    <mergeCell ref="B6:B20"/>
  </mergeCells>
  <conditionalFormatting sqref="P6:P90">
    <cfRule type="colorScale" priority="16" dxfId="2">
      <colorScale>
        <cfvo type="min" val="0"/>
        <cfvo type="percentile" val="50"/>
        <cfvo type="max"/>
        <color rgb="FFF8696B"/>
        <color rgb="FFFFEB84"/>
        <color rgb="FF63BE7B"/>
      </colorScale>
    </cfRule>
  </conditionalFormatting>
  <conditionalFormatting sqref="Q6:Q90">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2:H26"/>
  <sheetViews>
    <sheetView zoomScale="80" zoomScaleNormal="80" zoomScalePageLayoutView="80" workbookViewId="0" topLeftCell="A1">
      <selection activeCell="A1" sqref="A1"/>
    </sheetView>
  </sheetViews>
  <sheetFormatPr defaultColWidth="10.8515625" defaultRowHeight="15"/>
  <cols>
    <col min="1" max="9" width="10.421875" style="103" customWidth="1"/>
    <col min="10" max="23" width="10.8515625" style="103" customWidth="1"/>
    <col min="24" max="16384" width="10.8515625" style="103" customWidth="1"/>
  </cols>
  <sheetData>
    <row r="2" spans="2:8" ht="15.75">
      <c r="B2" s="74"/>
      <c r="C2" s="74"/>
      <c r="D2" s="75"/>
      <c r="E2" s="204" t="s">
        <v>111</v>
      </c>
      <c r="F2" s="75"/>
      <c r="G2" s="74"/>
      <c r="H2" s="74"/>
    </row>
    <row r="3" spans="2:8" ht="15" customHeight="1">
      <c r="B3" s="74"/>
      <c r="C3" s="74"/>
      <c r="E3" s="134" t="str">
        <f>+Portada!E42</f>
        <v>Abril 2017</v>
      </c>
      <c r="F3" s="133"/>
      <c r="G3" s="74"/>
      <c r="H3" s="74"/>
    </row>
    <row r="4" spans="2:8" ht="15">
      <c r="B4" s="74"/>
      <c r="C4" s="74"/>
      <c r="D4" s="75"/>
      <c r="E4" s="105" t="s">
        <v>263</v>
      </c>
      <c r="F4" s="75"/>
      <c r="G4" s="74"/>
      <c r="H4" s="74"/>
    </row>
    <row r="5" spans="2:8" ht="15">
      <c r="B5" s="74"/>
      <c r="D5" s="106"/>
      <c r="F5" s="106"/>
      <c r="G5" s="106"/>
      <c r="H5" s="74"/>
    </row>
    <row r="6" spans="2:8" ht="15">
      <c r="B6" s="74"/>
      <c r="C6" s="74"/>
      <c r="D6" s="74"/>
      <c r="E6" s="74"/>
      <c r="F6" s="74"/>
      <c r="G6" s="74"/>
      <c r="H6" s="74"/>
    </row>
    <row r="7" spans="2:8" ht="15">
      <c r="B7" s="74"/>
      <c r="C7" s="74"/>
      <c r="D7" s="75"/>
      <c r="E7" s="100" t="s">
        <v>145</v>
      </c>
      <c r="F7" s="75"/>
      <c r="G7" s="74"/>
      <c r="H7" s="74"/>
    </row>
    <row r="8" spans="2:8" ht="15">
      <c r="B8" s="74"/>
      <c r="C8" s="74"/>
      <c r="D8" s="74"/>
      <c r="E8" s="74"/>
      <c r="F8" s="74"/>
      <c r="G8" s="74"/>
      <c r="H8" s="74"/>
    </row>
    <row r="9" spans="2:8" ht="15">
      <c r="B9" s="74"/>
      <c r="C9" s="74"/>
      <c r="D9" s="74"/>
      <c r="E9" s="74"/>
      <c r="F9" s="74"/>
      <c r="G9" s="74"/>
      <c r="H9" s="74"/>
    </row>
    <row r="10" spans="2:8" ht="15">
      <c r="B10" s="74"/>
      <c r="C10" s="74"/>
      <c r="D10" s="74"/>
      <c r="E10" s="74"/>
      <c r="F10" s="74"/>
      <c r="G10" s="74"/>
      <c r="H10" s="74"/>
    </row>
    <row r="11" spans="2:8" ht="15">
      <c r="B11" s="74"/>
      <c r="C11" s="74"/>
      <c r="D11" s="74"/>
      <c r="E11" s="74"/>
      <c r="F11" s="74"/>
      <c r="G11" s="74"/>
      <c r="H11" s="74"/>
    </row>
    <row r="12" spans="2:8" ht="15">
      <c r="B12" s="74"/>
      <c r="C12" s="74"/>
      <c r="D12" s="74"/>
      <c r="E12" s="74"/>
      <c r="F12" s="74"/>
      <c r="G12" s="74"/>
      <c r="H12" s="74"/>
    </row>
    <row r="13" spans="2:8" ht="15">
      <c r="B13" s="75"/>
      <c r="D13" s="107"/>
      <c r="E13" s="105" t="s">
        <v>120</v>
      </c>
      <c r="F13" s="107"/>
      <c r="G13" s="107"/>
      <c r="H13" s="75"/>
    </row>
    <row r="14" spans="2:8" ht="15">
      <c r="B14" s="74"/>
      <c r="D14" s="107"/>
      <c r="E14" s="105" t="s">
        <v>0</v>
      </c>
      <c r="F14" s="107"/>
      <c r="G14" s="107"/>
      <c r="H14" s="74"/>
    </row>
    <row r="15" spans="2:8" ht="15">
      <c r="B15" s="75"/>
      <c r="D15" s="108"/>
      <c r="E15" s="109" t="s">
        <v>1</v>
      </c>
      <c r="F15" s="108"/>
      <c r="G15" s="108"/>
      <c r="H15" s="75"/>
    </row>
    <row r="16" spans="2:8" ht="15">
      <c r="B16" s="75"/>
      <c r="C16" s="75"/>
      <c r="D16" s="75"/>
      <c r="E16" s="75"/>
      <c r="F16" s="75"/>
      <c r="G16" s="75"/>
      <c r="H16" s="75"/>
    </row>
    <row r="17" spans="2:8" ht="15">
      <c r="B17" s="75"/>
      <c r="E17" s="125" t="s">
        <v>160</v>
      </c>
      <c r="F17" s="125"/>
      <c r="G17" s="125"/>
      <c r="H17" s="104"/>
    </row>
    <row r="18" spans="2:8" ht="15">
      <c r="B18" s="75"/>
      <c r="E18" s="125" t="s">
        <v>144</v>
      </c>
      <c r="F18" s="125"/>
      <c r="G18" s="125"/>
      <c r="H18" s="104"/>
    </row>
    <row r="19" spans="2:8" ht="15">
      <c r="B19" s="75"/>
      <c r="C19" s="75"/>
      <c r="D19" s="75"/>
      <c r="E19" s="75"/>
      <c r="F19" s="75"/>
      <c r="G19" s="75"/>
      <c r="H19" s="75"/>
    </row>
    <row r="20" spans="2:8" ht="15">
      <c r="B20" s="75"/>
      <c r="C20" s="75"/>
      <c r="D20" s="74"/>
      <c r="E20" s="74"/>
      <c r="F20" s="74"/>
      <c r="G20" s="75"/>
      <c r="H20" s="75"/>
    </row>
    <row r="21" spans="2:8" ht="15">
      <c r="B21" s="75"/>
      <c r="C21" s="75"/>
      <c r="D21" s="74"/>
      <c r="E21" s="74"/>
      <c r="F21" s="74"/>
      <c r="G21" s="75"/>
      <c r="H21" s="75"/>
    </row>
    <row r="22" spans="2:8" ht="15">
      <c r="B22" s="75"/>
      <c r="C22" s="75"/>
      <c r="D22" s="75"/>
      <c r="E22" s="75"/>
      <c r="F22" s="75"/>
      <c r="G22" s="75"/>
      <c r="H22" s="75"/>
    </row>
    <row r="23" spans="2:8" ht="15">
      <c r="B23" s="74"/>
      <c r="C23" s="74"/>
      <c r="D23" s="74"/>
      <c r="E23" s="74"/>
      <c r="F23" s="74"/>
      <c r="G23" s="74"/>
      <c r="H23" s="74"/>
    </row>
    <row r="24" spans="2:8" ht="15">
      <c r="B24" s="74"/>
      <c r="C24" s="74"/>
      <c r="D24" s="74"/>
      <c r="E24" s="74"/>
      <c r="F24" s="74"/>
      <c r="G24" s="74"/>
      <c r="H24" s="74"/>
    </row>
    <row r="25" spans="4:8" ht="15">
      <c r="D25" s="110"/>
      <c r="E25" s="205" t="s">
        <v>108</v>
      </c>
      <c r="F25" s="110"/>
      <c r="G25" s="110"/>
      <c r="H25" s="104"/>
    </row>
    <row r="26" spans="2:8" ht="15">
      <c r="B26" s="74"/>
      <c r="C26" s="74"/>
      <c r="D26" s="74"/>
      <c r="E26" s="74"/>
      <c r="F26" s="74"/>
      <c r="G26" s="74"/>
      <c r="H26" s="74"/>
    </row>
  </sheetData>
  <sheetProtection/>
  <hyperlinks>
    <hyperlink ref="E15"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80" workbookViewId="0" topLeftCell="A1">
      <selection activeCell="A1" sqref="A1"/>
    </sheetView>
  </sheetViews>
  <sheetFormatPr defaultColWidth="10.8515625" defaultRowHeight="15"/>
  <cols>
    <col min="1" max="1" width="1.28515625" style="207" customWidth="1"/>
    <col min="2" max="9" width="11.00390625" style="207" customWidth="1"/>
    <col min="10" max="10" width="2.00390625" style="207" customWidth="1"/>
    <col min="11" max="26" width="10.8515625" style="207" customWidth="1"/>
    <col min="27" max="16384" width="10.8515625" style="207" customWidth="1"/>
  </cols>
  <sheetData>
    <row r="2" spans="2:11" ht="15">
      <c r="B2" s="355" t="s">
        <v>164</v>
      </c>
      <c r="C2" s="355"/>
      <c r="D2" s="355"/>
      <c r="E2" s="355"/>
      <c r="F2" s="355"/>
      <c r="G2" s="355"/>
      <c r="H2" s="355"/>
      <c r="I2" s="355"/>
      <c r="J2" s="206"/>
      <c r="K2" s="69" t="s">
        <v>151</v>
      </c>
    </row>
    <row r="3" spans="2:10" ht="14.25">
      <c r="B3" s="208"/>
      <c r="C3" s="208"/>
      <c r="D3" s="208"/>
      <c r="E3" s="208"/>
      <c r="F3" s="208"/>
      <c r="G3" s="208"/>
      <c r="H3" s="208"/>
      <c r="I3" s="208"/>
      <c r="J3" s="208"/>
    </row>
    <row r="4" spans="2:10" ht="34.5" customHeight="1">
      <c r="B4" s="356" t="s">
        <v>191</v>
      </c>
      <c r="C4" s="356"/>
      <c r="D4" s="356"/>
      <c r="E4" s="356"/>
      <c r="F4" s="356"/>
      <c r="G4" s="356"/>
      <c r="H4" s="356"/>
      <c r="I4" s="356"/>
      <c r="J4" s="209"/>
    </row>
    <row r="5" spans="2:10" ht="29.25" customHeight="1">
      <c r="B5" s="356" t="s">
        <v>166</v>
      </c>
      <c r="C5" s="356"/>
      <c r="D5" s="356"/>
      <c r="E5" s="356"/>
      <c r="F5" s="356"/>
      <c r="G5" s="356"/>
      <c r="H5" s="356"/>
      <c r="I5" s="356"/>
      <c r="J5" s="209"/>
    </row>
    <row r="6" spans="2:10" ht="18" customHeight="1">
      <c r="B6" s="354" t="s">
        <v>165</v>
      </c>
      <c r="C6" s="354"/>
      <c r="D6" s="354"/>
      <c r="E6" s="354"/>
      <c r="F6" s="354"/>
      <c r="G6" s="354"/>
      <c r="H6" s="354"/>
      <c r="I6" s="354"/>
      <c r="J6" s="209"/>
    </row>
    <row r="7" spans="2:10" ht="34.5" customHeight="1">
      <c r="B7" s="354" t="s">
        <v>167</v>
      </c>
      <c r="C7" s="354"/>
      <c r="D7" s="354"/>
      <c r="E7" s="354"/>
      <c r="F7" s="354"/>
      <c r="G7" s="354"/>
      <c r="H7" s="354"/>
      <c r="I7" s="354"/>
      <c r="J7" s="209"/>
    </row>
    <row r="8" spans="2:10" ht="34.5" customHeight="1">
      <c r="B8" s="354" t="s">
        <v>169</v>
      </c>
      <c r="C8" s="354"/>
      <c r="D8" s="354"/>
      <c r="E8" s="354"/>
      <c r="F8" s="354"/>
      <c r="G8" s="354"/>
      <c r="H8" s="354"/>
      <c r="I8" s="354"/>
      <c r="J8" s="209"/>
    </row>
    <row r="9" spans="2:9" ht="14.25">
      <c r="B9" s="354" t="s">
        <v>182</v>
      </c>
      <c r="C9" s="354"/>
      <c r="D9" s="354"/>
      <c r="E9" s="354"/>
      <c r="F9" s="354"/>
      <c r="G9" s="354"/>
      <c r="H9" s="354"/>
      <c r="I9" s="354"/>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2"/>
  <headerFooter differentFirst="1">
    <oddFooter>&amp;C&amp;P</oddFooter>
  </headerFooter>
  <drawing r:id="rId1"/>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80" workbookViewId="0" topLeftCell="A1">
      <selection activeCell="A1" sqref="A1"/>
    </sheetView>
  </sheetViews>
  <sheetFormatPr defaultColWidth="10.8515625" defaultRowHeight="15"/>
  <cols>
    <col min="1" max="1" width="1.421875" style="5" customWidth="1"/>
    <col min="2" max="2" width="14.421875" style="7" customWidth="1"/>
    <col min="3" max="3" width="84.140625" style="6" customWidth="1"/>
    <col min="4" max="4" width="7.421875" style="6" customWidth="1"/>
    <col min="5" max="5" width="1.8515625" style="5" customWidth="1"/>
    <col min="6" max="7" width="9.421875" style="5" customWidth="1"/>
    <col min="8" max="14" width="10.8515625" style="5" customWidth="1"/>
    <col min="15" max="16384" width="10.8515625" style="5" customWidth="1"/>
  </cols>
  <sheetData>
    <row r="1" ht="4.5" customHeight="1"/>
    <row r="2" spans="2:4" ht="12.75">
      <c r="B2" s="357" t="s">
        <v>56</v>
      </c>
      <c r="C2" s="357"/>
      <c r="D2" s="357"/>
    </row>
    <row r="3" spans="2:3" ht="12.75">
      <c r="B3" s="6"/>
      <c r="C3" s="59"/>
    </row>
    <row r="4" spans="2:4" ht="12.75">
      <c r="B4" s="22" t="s">
        <v>55</v>
      </c>
      <c r="C4" s="22" t="s">
        <v>52</v>
      </c>
      <c r="D4" s="21" t="s">
        <v>51</v>
      </c>
    </row>
    <row r="5" spans="2:4" ht="8.25" customHeight="1">
      <c r="B5" s="34"/>
      <c r="C5" s="19"/>
      <c r="D5" s="18"/>
    </row>
    <row r="6" spans="2:4" ht="12.75">
      <c r="B6" s="9">
        <v>1</v>
      </c>
      <c r="C6" s="68" t="s">
        <v>104</v>
      </c>
      <c r="D6" s="27">
        <v>5</v>
      </c>
    </row>
    <row r="7" spans="2:4" ht="12.75">
      <c r="B7" s="9">
        <v>2</v>
      </c>
      <c r="C7" s="68" t="s">
        <v>105</v>
      </c>
      <c r="D7" s="27">
        <v>5</v>
      </c>
    </row>
    <row r="8" spans="2:4" ht="12.75">
      <c r="B8" s="9">
        <v>3</v>
      </c>
      <c r="C8" s="68" t="s">
        <v>128</v>
      </c>
      <c r="D8" s="27">
        <v>5</v>
      </c>
    </row>
    <row r="9" spans="2:4" ht="12.75">
      <c r="B9" s="9">
        <v>4</v>
      </c>
      <c r="C9" s="68" t="s">
        <v>229</v>
      </c>
      <c r="D9" s="27">
        <v>5</v>
      </c>
    </row>
    <row r="10" spans="2:4" ht="12.75">
      <c r="B10" s="9">
        <v>5</v>
      </c>
      <c r="C10" s="87" t="s">
        <v>194</v>
      </c>
      <c r="D10" s="27">
        <v>5</v>
      </c>
    </row>
    <row r="11" spans="2:4" ht="7.5" customHeight="1">
      <c r="B11" s="17"/>
      <c r="C11" s="16"/>
      <c r="D11" s="15"/>
    </row>
    <row r="12" spans="2:4" ht="12.75">
      <c r="B12" s="22" t="s">
        <v>54</v>
      </c>
      <c r="C12" s="22" t="s">
        <v>52</v>
      </c>
      <c r="D12" s="21" t="s">
        <v>51</v>
      </c>
    </row>
    <row r="13" spans="2:4" ht="8.25" customHeight="1">
      <c r="B13" s="10"/>
      <c r="C13" s="12"/>
      <c r="D13" s="14"/>
    </row>
    <row r="14" spans="2:4" ht="12.75">
      <c r="B14" s="10">
        <v>1</v>
      </c>
      <c r="C14" s="8" t="s">
        <v>227</v>
      </c>
      <c r="D14" s="28">
        <v>6</v>
      </c>
    </row>
    <row r="15" spans="2:4" ht="12.75">
      <c r="B15" s="10">
        <v>2</v>
      </c>
      <c r="C15" s="8" t="s">
        <v>141</v>
      </c>
      <c r="D15" s="29">
        <v>7</v>
      </c>
    </row>
    <row r="16" spans="2:4" ht="12.75">
      <c r="B16" s="10">
        <v>3</v>
      </c>
      <c r="C16" s="8" t="s">
        <v>140</v>
      </c>
      <c r="D16" s="29">
        <v>8</v>
      </c>
    </row>
    <row r="17" spans="2:4" ht="12.75">
      <c r="B17" s="10">
        <v>4</v>
      </c>
      <c r="C17" s="8" t="s">
        <v>106</v>
      </c>
      <c r="D17" s="29">
        <v>9</v>
      </c>
    </row>
    <row r="18" spans="2:4" ht="12.75">
      <c r="B18" s="10">
        <v>5</v>
      </c>
      <c r="C18" s="8" t="s">
        <v>148</v>
      </c>
      <c r="D18" s="29">
        <v>10</v>
      </c>
    </row>
    <row r="19" spans="2:4" ht="12.75">
      <c r="B19" s="10">
        <v>6</v>
      </c>
      <c r="C19" s="8" t="s">
        <v>123</v>
      </c>
      <c r="D19" s="29">
        <v>11</v>
      </c>
    </row>
    <row r="20" spans="2:4" ht="12.75">
      <c r="B20" s="10">
        <v>7</v>
      </c>
      <c r="C20" s="8" t="s">
        <v>49</v>
      </c>
      <c r="D20" s="28">
        <v>12</v>
      </c>
    </row>
    <row r="21" spans="2:4" ht="12.75">
      <c r="B21" s="10">
        <v>8</v>
      </c>
      <c r="C21" s="8" t="s">
        <v>48</v>
      </c>
      <c r="D21" s="28">
        <v>13</v>
      </c>
    </row>
    <row r="22" spans="2:4" ht="12.75">
      <c r="B22" s="10">
        <v>9</v>
      </c>
      <c r="C22" s="8" t="s">
        <v>47</v>
      </c>
      <c r="D22" s="28">
        <v>14</v>
      </c>
    </row>
    <row r="23" spans="2:4" ht="15">
      <c r="B23" s="10">
        <v>10</v>
      </c>
      <c r="C23" s="8" t="s">
        <v>211</v>
      </c>
      <c r="D23" s="186">
        <v>15</v>
      </c>
    </row>
    <row r="24" spans="2:4" ht="12.75">
      <c r="B24" s="10">
        <v>11</v>
      </c>
      <c r="C24" s="8" t="s">
        <v>195</v>
      </c>
      <c r="D24" s="28">
        <v>16</v>
      </c>
    </row>
    <row r="25" spans="2:4" ht="12.75">
      <c r="B25" s="10">
        <v>12</v>
      </c>
      <c r="C25" s="8" t="s">
        <v>196</v>
      </c>
      <c r="D25" s="28">
        <v>17</v>
      </c>
    </row>
    <row r="26" spans="2:4" ht="6.75" customHeight="1">
      <c r="B26" s="10"/>
      <c r="C26" s="12"/>
      <c r="D26" s="11"/>
    </row>
    <row r="27" spans="2:4" ht="12.75">
      <c r="B27" s="22" t="s">
        <v>53</v>
      </c>
      <c r="C27" s="23" t="s">
        <v>52</v>
      </c>
      <c r="D27" s="21" t="s">
        <v>51</v>
      </c>
    </row>
    <row r="28" spans="2:4" ht="7.5" customHeight="1">
      <c r="B28" s="13"/>
      <c r="C28" s="12"/>
      <c r="D28" s="11"/>
    </row>
    <row r="29" spans="2:4" ht="12.75">
      <c r="B29" s="10">
        <v>1</v>
      </c>
      <c r="C29" s="24" t="s">
        <v>137</v>
      </c>
      <c r="D29" s="28">
        <v>6</v>
      </c>
    </row>
    <row r="30" spans="2:4" ht="12.75">
      <c r="B30" s="10">
        <v>2</v>
      </c>
      <c r="C30" s="6" t="s">
        <v>228</v>
      </c>
      <c r="D30" s="28">
        <v>7</v>
      </c>
    </row>
    <row r="31" spans="2:4" ht="12.75">
      <c r="B31" s="10">
        <v>3</v>
      </c>
      <c r="C31" s="6" t="s">
        <v>143</v>
      </c>
      <c r="D31" s="28">
        <v>8</v>
      </c>
    </row>
    <row r="32" spans="2:4" ht="12.75">
      <c r="B32" s="10">
        <v>4</v>
      </c>
      <c r="C32" s="6" t="s">
        <v>272</v>
      </c>
      <c r="D32" s="29">
        <v>9</v>
      </c>
    </row>
    <row r="33" spans="2:4" ht="12.75">
      <c r="B33" s="10">
        <v>5</v>
      </c>
      <c r="C33" s="8" t="s">
        <v>149</v>
      </c>
      <c r="D33" s="29">
        <v>10</v>
      </c>
    </row>
    <row r="34" spans="2:4" ht="12.75">
      <c r="B34" s="10">
        <v>6</v>
      </c>
      <c r="C34" s="8" t="s">
        <v>150</v>
      </c>
      <c r="D34" s="29">
        <v>10</v>
      </c>
    </row>
    <row r="35" spans="2:4" ht="12.75">
      <c r="B35" s="10">
        <v>7</v>
      </c>
      <c r="C35" s="6" t="s">
        <v>50</v>
      </c>
      <c r="D35" s="29">
        <v>11</v>
      </c>
    </row>
    <row r="36" spans="2:4" ht="12.75">
      <c r="B36" s="10">
        <v>8</v>
      </c>
      <c r="C36" s="6" t="s">
        <v>49</v>
      </c>
      <c r="D36" s="28">
        <v>12</v>
      </c>
    </row>
    <row r="37" spans="2:4" ht="12.75">
      <c r="B37" s="10">
        <v>9</v>
      </c>
      <c r="C37" s="6" t="s">
        <v>48</v>
      </c>
      <c r="D37" s="28">
        <v>13</v>
      </c>
    </row>
    <row r="38" spans="2:4" ht="12.75">
      <c r="B38" s="10">
        <v>10</v>
      </c>
      <c r="C38" s="6" t="s">
        <v>47</v>
      </c>
      <c r="D38" s="28">
        <v>14</v>
      </c>
    </row>
    <row r="39" spans="2:4" ht="12.75">
      <c r="B39" s="10"/>
      <c r="C39" s="8"/>
      <c r="D39" s="30"/>
    </row>
    <row r="40" spans="2:4" ht="12.75">
      <c r="B40" s="10"/>
      <c r="C40" s="8"/>
      <c r="D40" s="30"/>
    </row>
    <row r="41" spans="2:4" ht="12.75">
      <c r="B41" s="10"/>
      <c r="C41" s="8"/>
      <c r="D41" s="30"/>
    </row>
    <row r="42" spans="2:4" ht="12.75">
      <c r="B42" s="10"/>
      <c r="C42" s="8"/>
      <c r="D42" s="30"/>
    </row>
    <row r="43" spans="2:4" ht="12.75">
      <c r="B43" s="10"/>
      <c r="C43" s="8"/>
      <c r="D43" s="30"/>
    </row>
    <row r="44" spans="2:4" ht="12.75">
      <c r="B44" s="10"/>
      <c r="C44" s="8"/>
      <c r="D44" s="30"/>
    </row>
    <row r="45" spans="2:4" ht="12.75">
      <c r="B45" s="10"/>
      <c r="C45" s="8"/>
      <c r="D45" s="30"/>
    </row>
    <row r="46" spans="2:4" ht="12.75">
      <c r="B46" s="10"/>
      <c r="C46" s="8"/>
      <c r="D46" s="30"/>
    </row>
    <row r="47" spans="2:4" ht="12.75">
      <c r="B47" s="10"/>
      <c r="C47" s="8"/>
      <c r="D47" s="30"/>
    </row>
    <row r="48" spans="2:4" ht="12.75">
      <c r="B48" s="10"/>
      <c r="C48" s="8"/>
      <c r="D48" s="30"/>
    </row>
    <row r="49" spans="2:4" ht="12.75">
      <c r="B49" s="10"/>
      <c r="C49" s="8"/>
      <c r="D49" s="30"/>
    </row>
    <row r="50" spans="2:4" ht="12.75">
      <c r="B50" s="10"/>
      <c r="C50" s="8"/>
      <c r="D50" s="30"/>
    </row>
    <row r="51" spans="2:4" ht="12.75">
      <c r="B51" s="10"/>
      <c r="C51" s="8"/>
      <c r="D51" s="30"/>
    </row>
    <row r="52" spans="2:3" ht="12.75">
      <c r="B52" s="5"/>
      <c r="C52" s="5"/>
    </row>
    <row r="53" spans="2:3" ht="12.75">
      <c r="B53" s="5"/>
      <c r="C53" s="5"/>
    </row>
    <row r="54" spans="2:3" ht="12.75">
      <c r="B54" s="5"/>
      <c r="C54" s="5"/>
    </row>
    <row r="55" spans="2:3" ht="12.75">
      <c r="B55" s="5"/>
      <c r="C55" s="5"/>
    </row>
    <row r="56" spans="2:3" ht="12.75">
      <c r="B56" s="5"/>
      <c r="C56" s="5"/>
    </row>
    <row r="57" spans="2:4" ht="12.75">
      <c r="B57" s="9"/>
      <c r="C57" s="8"/>
      <c r="D57" s="8"/>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79"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N16"/>
  <sheetViews>
    <sheetView zoomScale="80" zoomScaleNormal="80" zoomScaleSheetLayoutView="80" zoomScalePageLayoutView="80" workbookViewId="0" topLeftCell="A1">
      <selection activeCell="A1" sqref="A1"/>
    </sheetView>
  </sheetViews>
  <sheetFormatPr defaultColWidth="10.8515625" defaultRowHeight="15"/>
  <cols>
    <col min="1" max="1" width="1.28515625" style="20" customWidth="1"/>
    <col min="2" max="12" width="15.8515625" style="20" customWidth="1"/>
    <col min="13" max="13" width="2.00390625" style="20" customWidth="1"/>
    <col min="14" max="20" width="10.8515625" style="20" customWidth="1"/>
    <col min="21" max="16384" width="10.8515625" style="20" customWidth="1"/>
  </cols>
  <sheetData>
    <row r="1" ht="7.5" customHeight="1"/>
    <row r="2" spans="2:14" ht="16.5" customHeight="1">
      <c r="B2" s="358" t="s">
        <v>159</v>
      </c>
      <c r="C2" s="359"/>
      <c r="D2" s="359"/>
      <c r="E2" s="359"/>
      <c r="F2" s="359"/>
      <c r="G2" s="359"/>
      <c r="H2" s="359"/>
      <c r="I2" s="359"/>
      <c r="J2" s="359"/>
      <c r="K2" s="359"/>
      <c r="L2" s="360"/>
      <c r="M2" s="167"/>
      <c r="N2" s="69" t="s">
        <v>151</v>
      </c>
    </row>
    <row r="3" spans="2:13" ht="12.75">
      <c r="B3" s="60"/>
      <c r="C3" s="2"/>
      <c r="D3" s="2"/>
      <c r="E3" s="2"/>
      <c r="F3" s="2"/>
      <c r="G3" s="2"/>
      <c r="H3" s="2"/>
      <c r="I3" s="2"/>
      <c r="J3" s="2"/>
      <c r="K3" s="2"/>
      <c r="L3" s="173"/>
      <c r="M3" s="2"/>
    </row>
    <row r="4" spans="2:13" ht="211.5" customHeight="1">
      <c r="B4" s="361" t="s">
        <v>273</v>
      </c>
      <c r="C4" s="362"/>
      <c r="D4" s="362"/>
      <c r="E4" s="362"/>
      <c r="F4" s="362"/>
      <c r="G4" s="362"/>
      <c r="H4" s="362"/>
      <c r="I4" s="362"/>
      <c r="J4" s="362"/>
      <c r="K4" s="362"/>
      <c r="L4" s="363"/>
      <c r="M4" s="168"/>
    </row>
    <row r="5" spans="2:13" ht="198.75" customHeight="1">
      <c r="B5" s="361" t="s">
        <v>274</v>
      </c>
      <c r="C5" s="362"/>
      <c r="D5" s="362"/>
      <c r="E5" s="362"/>
      <c r="F5" s="362"/>
      <c r="G5" s="362"/>
      <c r="H5" s="362"/>
      <c r="I5" s="362"/>
      <c r="J5" s="362"/>
      <c r="K5" s="362"/>
      <c r="L5" s="363"/>
      <c r="M5" s="168"/>
    </row>
    <row r="6" spans="2:13" ht="274.5" customHeight="1">
      <c r="B6" s="364" t="s">
        <v>277</v>
      </c>
      <c r="C6" s="365"/>
      <c r="D6" s="365"/>
      <c r="E6" s="365"/>
      <c r="F6" s="365"/>
      <c r="G6" s="365"/>
      <c r="H6" s="365"/>
      <c r="I6" s="365"/>
      <c r="J6" s="365"/>
      <c r="K6" s="365"/>
      <c r="L6" s="366"/>
      <c r="M6" s="168"/>
    </row>
    <row r="7" spans="2:13" ht="119.25" customHeight="1">
      <c r="B7" s="364" t="s">
        <v>258</v>
      </c>
      <c r="C7" s="365"/>
      <c r="D7" s="365"/>
      <c r="E7" s="365"/>
      <c r="F7" s="365"/>
      <c r="G7" s="365"/>
      <c r="H7" s="365"/>
      <c r="I7" s="365"/>
      <c r="J7" s="365"/>
      <c r="K7" s="365"/>
      <c r="L7" s="366"/>
      <c r="M7" s="168"/>
    </row>
    <row r="8" spans="2:12" ht="177.75" customHeight="1">
      <c r="B8" s="367" t="s">
        <v>269</v>
      </c>
      <c r="C8" s="368"/>
      <c r="D8" s="368"/>
      <c r="E8" s="368"/>
      <c r="F8" s="368"/>
      <c r="G8" s="368"/>
      <c r="H8" s="368"/>
      <c r="I8" s="368"/>
      <c r="J8" s="368"/>
      <c r="K8" s="368"/>
      <c r="L8" s="369"/>
    </row>
    <row r="12" spans="3:4" ht="12.75">
      <c r="C12" s="349"/>
      <c r="D12" s="349"/>
    </row>
    <row r="15" spans="2:12" ht="12.75">
      <c r="B15" s="351"/>
      <c r="C15" s="351"/>
      <c r="D15" s="351"/>
      <c r="E15" s="351"/>
      <c r="F15" s="351"/>
      <c r="G15" s="351"/>
      <c r="H15" s="351"/>
      <c r="I15" s="351"/>
      <c r="J15" s="351"/>
      <c r="K15" s="351"/>
      <c r="L15" s="351"/>
    </row>
    <row r="16" spans="2:12" ht="12.75">
      <c r="B16" s="350"/>
      <c r="C16" s="350"/>
      <c r="D16" s="350"/>
      <c r="E16" s="350"/>
      <c r="F16" s="350"/>
      <c r="G16" s="350"/>
      <c r="H16" s="350"/>
      <c r="I16" s="350"/>
      <c r="J16" s="350"/>
      <c r="K16" s="350"/>
      <c r="L16" s="350"/>
    </row>
  </sheetData>
  <sheetProtection/>
  <mergeCells count="6">
    <mergeCell ref="B2:L2"/>
    <mergeCell ref="B4:L4"/>
    <mergeCell ref="B5:L5"/>
    <mergeCell ref="B6:L6"/>
    <mergeCell ref="B8:L8"/>
    <mergeCell ref="B7:L7"/>
  </mergeCells>
  <hyperlinks>
    <hyperlink ref="N2" location="Índice!A1" display="Volver al índice"/>
  </hyperlinks>
  <printOptions/>
  <pageMargins left="0.7086614173228347" right="0.7086614173228347" top="1.299212598425197" bottom="0.7480314960629921" header="0.31496062992125984" footer="0.31496062992125984"/>
  <pageSetup fitToHeight="0" horizontalDpi="600" verticalDpi="600" orientation="portrait" scale="51" r:id="rId1"/>
  <headerFooter differentFirst="1">
    <oddFooter>&amp;C&amp;P</oddFooter>
  </headerFooter>
  <colBreaks count="1" manualBreakCount="1">
    <brk id="12"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125" workbookViewId="0" topLeftCell="A1">
      <selection activeCell="A1" sqref="A1"/>
    </sheetView>
  </sheetViews>
  <sheetFormatPr defaultColWidth="10.8515625" defaultRowHeight="15"/>
  <cols>
    <col min="1" max="1" width="1.421875" style="20" customWidth="1"/>
    <col min="2" max="2" width="38.421875" style="20" customWidth="1"/>
    <col min="3" max="7" width="10.8515625" style="20" customWidth="1"/>
    <col min="8" max="8" width="2.8515625" style="20" customWidth="1"/>
    <col min="9" max="11" width="10.8515625" style="20" customWidth="1"/>
    <col min="12" max="16384" width="10.8515625" style="20" customWidth="1"/>
  </cols>
  <sheetData>
    <row r="1" ht="13.5" customHeight="1"/>
    <row r="2" spans="2:9" ht="12.75" customHeight="1">
      <c r="B2" s="374" t="s">
        <v>57</v>
      </c>
      <c r="C2" s="374"/>
      <c r="D2" s="374"/>
      <c r="E2" s="374"/>
      <c r="F2" s="374"/>
      <c r="G2" s="374"/>
      <c r="I2" s="45" t="s">
        <v>151</v>
      </c>
    </row>
    <row r="3" spans="2:7" ht="12.75" customHeight="1">
      <c r="B3" s="374" t="s">
        <v>136</v>
      </c>
      <c r="C3" s="374"/>
      <c r="D3" s="374"/>
      <c r="E3" s="374"/>
      <c r="F3" s="374"/>
      <c r="G3" s="374"/>
    </row>
    <row r="4" spans="2:7" ht="12.75">
      <c r="B4" s="374" t="s">
        <v>256</v>
      </c>
      <c r="C4" s="374"/>
      <c r="D4" s="374"/>
      <c r="E4" s="374"/>
      <c r="F4" s="374"/>
      <c r="G4" s="374"/>
    </row>
    <row r="5" spans="2:7" ht="12.75">
      <c r="B5" s="2"/>
      <c r="C5" s="2"/>
      <c r="D5" s="2"/>
      <c r="E5" s="2"/>
      <c r="F5" s="2"/>
      <c r="G5" s="2"/>
    </row>
    <row r="6" spans="2:7" ht="12.75">
      <c r="B6" s="372" t="s">
        <v>46</v>
      </c>
      <c r="C6" s="371" t="s">
        <v>45</v>
      </c>
      <c r="D6" s="371"/>
      <c r="E6" s="371"/>
      <c r="F6" s="371" t="s">
        <v>44</v>
      </c>
      <c r="G6" s="371"/>
    </row>
    <row r="7" spans="2:7" ht="12.75">
      <c r="B7" s="373"/>
      <c r="C7" s="250">
        <v>2015</v>
      </c>
      <c r="D7" s="249">
        <f>+C7+1</f>
        <v>2016</v>
      </c>
      <c r="E7" s="249">
        <f>+D7+1</f>
        <v>2017</v>
      </c>
      <c r="F7" s="282" t="s">
        <v>43</v>
      </c>
      <c r="G7" s="282" t="s">
        <v>42</v>
      </c>
    </row>
    <row r="8" spans="2:7" ht="12.75">
      <c r="B8" s="97" t="s">
        <v>41</v>
      </c>
      <c r="C8" s="154">
        <v>212.69</v>
      </c>
      <c r="D8" s="154">
        <v>196.24</v>
      </c>
      <c r="E8" s="154">
        <v>120.48</v>
      </c>
      <c r="F8" s="155">
        <f>(E8/D19-1)*100</f>
        <v>-12.626006236855458</v>
      </c>
      <c r="G8" s="155">
        <f>(E8/D8-1)*100</f>
        <v>-38.60578883000407</v>
      </c>
    </row>
    <row r="9" spans="2:7" ht="12.75">
      <c r="B9" s="98" t="s">
        <v>40</v>
      </c>
      <c r="C9" s="155">
        <v>200.61</v>
      </c>
      <c r="D9" s="155">
        <v>180.84</v>
      </c>
      <c r="E9" s="155">
        <v>137.66</v>
      </c>
      <c r="F9" s="155">
        <f>(E9/E8-1)*100</f>
        <v>14.259628154050464</v>
      </c>
      <c r="G9" s="155">
        <f>(E9/D9-1)*100</f>
        <v>-23.877460738774616</v>
      </c>
    </row>
    <row r="10" spans="2:7" ht="12.75">
      <c r="B10" s="98" t="s">
        <v>39</v>
      </c>
      <c r="C10" s="155">
        <v>210.48</v>
      </c>
      <c r="D10" s="155">
        <v>181.1</v>
      </c>
      <c r="E10" s="155">
        <v>144.84</v>
      </c>
      <c r="F10" s="155">
        <f>(E10/E9-1)*100</f>
        <v>5.215748946680221</v>
      </c>
      <c r="G10" s="155">
        <f>(E10/D10-1)*100</f>
        <v>-20.022087244616227</v>
      </c>
    </row>
    <row r="11" spans="2:7" ht="12.75">
      <c r="B11" s="98" t="s">
        <v>38</v>
      </c>
      <c r="C11" s="155">
        <v>252.76</v>
      </c>
      <c r="D11" s="155">
        <v>174.37</v>
      </c>
      <c r="E11" s="156"/>
      <c r="F11" s="155"/>
      <c r="G11" s="155"/>
    </row>
    <row r="12" spans="2:7" ht="12.75">
      <c r="B12" s="98" t="s">
        <v>37</v>
      </c>
      <c r="C12" s="155">
        <v>235.08</v>
      </c>
      <c r="D12" s="155">
        <v>217.98</v>
      </c>
      <c r="E12" s="156"/>
      <c r="F12" s="155"/>
      <c r="G12" s="155"/>
    </row>
    <row r="13" spans="2:7" ht="12.75">
      <c r="B13" s="98" t="s">
        <v>36</v>
      </c>
      <c r="C13" s="155">
        <v>228.59</v>
      </c>
      <c r="D13" s="155">
        <v>243.56</v>
      </c>
      <c r="E13" s="155"/>
      <c r="F13" s="155"/>
      <c r="G13" s="155"/>
    </row>
    <row r="14" spans="2:7" ht="12.75">
      <c r="B14" s="98" t="s">
        <v>35</v>
      </c>
      <c r="C14" s="155">
        <v>268.59</v>
      </c>
      <c r="D14" s="155">
        <v>245.19</v>
      </c>
      <c r="E14" s="155"/>
      <c r="F14" s="155"/>
      <c r="G14" s="155"/>
    </row>
    <row r="15" spans="2:7" ht="12.75">
      <c r="B15" s="98" t="s">
        <v>34</v>
      </c>
      <c r="C15" s="155">
        <v>374.35</v>
      </c>
      <c r="D15" s="155">
        <v>266.75</v>
      </c>
      <c r="E15" s="155"/>
      <c r="F15" s="155"/>
      <c r="G15" s="155"/>
    </row>
    <row r="16" spans="2:11" ht="12.75">
      <c r="B16" s="98" t="s">
        <v>33</v>
      </c>
      <c r="C16" s="155">
        <v>344.46</v>
      </c>
      <c r="D16" s="155">
        <v>232.53</v>
      </c>
      <c r="E16" s="155"/>
      <c r="F16" s="155"/>
      <c r="G16" s="155"/>
      <c r="K16" s="20" t="s">
        <v>246</v>
      </c>
    </row>
    <row r="17" spans="2:25" ht="12.75">
      <c r="B17" s="98" t="s">
        <v>32</v>
      </c>
      <c r="C17" s="155">
        <v>386.05</v>
      </c>
      <c r="D17" s="155">
        <v>231.59</v>
      </c>
      <c r="E17" s="155"/>
      <c r="F17" s="155"/>
      <c r="G17" s="155"/>
      <c r="S17" s="153"/>
      <c r="T17" s="153"/>
      <c r="U17" s="153"/>
      <c r="V17" s="153"/>
      <c r="W17" s="153"/>
      <c r="X17" s="153"/>
      <c r="Y17" s="153"/>
    </row>
    <row r="18" spans="2:7" ht="12.75">
      <c r="B18" s="98" t="s">
        <v>31</v>
      </c>
      <c r="C18" s="155">
        <v>396.11</v>
      </c>
      <c r="D18" s="155">
        <v>210.93</v>
      </c>
      <c r="E18" s="155"/>
      <c r="F18" s="155"/>
      <c r="G18" s="155"/>
    </row>
    <row r="19" spans="2:19" ht="12.75">
      <c r="B19" s="2" t="s">
        <v>30</v>
      </c>
      <c r="C19" s="157">
        <v>277.5</v>
      </c>
      <c r="D19" s="157">
        <v>137.89</v>
      </c>
      <c r="E19" s="157"/>
      <c r="F19" s="155"/>
      <c r="G19" s="155"/>
      <c r="S19" s="153"/>
    </row>
    <row r="20" spans="2:7" ht="12.75">
      <c r="B20" s="4" t="s">
        <v>259</v>
      </c>
      <c r="C20" s="158">
        <v>282.27</v>
      </c>
      <c r="D20" s="158">
        <v>209.91</v>
      </c>
      <c r="E20" s="159">
        <v>134.33</v>
      </c>
      <c r="F20" s="158"/>
      <c r="G20" s="158">
        <f>(E20/D20-1)*100</f>
        <v>-36.005907293602014</v>
      </c>
    </row>
    <row r="21" spans="2:7" ht="12.75">
      <c r="B21" s="3" t="s">
        <v>260</v>
      </c>
      <c r="C21" s="160">
        <f>AVERAGE(C8:C10)</f>
        <v>207.92666666666665</v>
      </c>
      <c r="D21" s="160">
        <f>AVERAGE(D8:D10)</f>
        <v>186.06000000000003</v>
      </c>
      <c r="E21" s="160">
        <f>AVERAGE(E8:E19)</f>
        <v>134.32666666666668</v>
      </c>
      <c r="F21" s="160"/>
      <c r="G21" s="160">
        <f>(E21/D21-1)*100</f>
        <v>-27.804650829481538</v>
      </c>
    </row>
    <row r="22" spans="2:8" ht="74.25" customHeight="1">
      <c r="B22" s="370" t="s">
        <v>261</v>
      </c>
      <c r="C22" s="370"/>
      <c r="D22" s="370"/>
      <c r="E22" s="370"/>
      <c r="F22" s="370"/>
      <c r="G22" s="370"/>
      <c r="H22" s="255"/>
    </row>
    <row r="26" spans="13:14" ht="12.75">
      <c r="M26" s="161"/>
      <c r="N26" s="254"/>
    </row>
    <row r="27" spans="13:14" ht="12.75">
      <c r="M27" s="161"/>
      <c r="N27" s="254"/>
    </row>
    <row r="28" spans="13:14" ht="12.75">
      <c r="M28" s="161"/>
      <c r="N28" s="254"/>
    </row>
    <row r="29" spans="13:14" ht="12.75">
      <c r="M29" s="161"/>
      <c r="N29" s="254"/>
    </row>
    <row r="30" spans="13:14" ht="12.75">
      <c r="M30" s="161"/>
      <c r="N30" s="254"/>
    </row>
    <row r="31" spans="13:14" ht="12.75">
      <c r="M31" s="161"/>
      <c r="N31" s="254"/>
    </row>
    <row r="32" spans="13:14" ht="12.75">
      <c r="M32" s="161"/>
      <c r="N32" s="254"/>
    </row>
    <row r="33" spans="13:14" ht="12.75">
      <c r="M33" s="161"/>
      <c r="N33" s="254"/>
    </row>
    <row r="34" spans="13:14" ht="12.75">
      <c r="M34" s="161"/>
      <c r="N34" s="254"/>
    </row>
    <row r="35" spans="13:14" ht="12.75">
      <c r="M35" s="161"/>
      <c r="N35" s="254"/>
    </row>
    <row r="36" spans="13:14" ht="12.75">
      <c r="M36" s="161"/>
      <c r="N36" s="254"/>
    </row>
    <row r="37" spans="13:14" ht="12.75">
      <c r="M37" s="161"/>
      <c r="N37" s="254"/>
    </row>
    <row r="38" spans="13:14" ht="12.75">
      <c r="M38" s="161"/>
      <c r="N38" s="254"/>
    </row>
    <row r="39" spans="13:14" ht="12.75">
      <c r="M39" s="161"/>
      <c r="N39" s="254"/>
    </row>
    <row r="40" spans="13:14" ht="12.75">
      <c r="M40" s="161"/>
      <c r="N40" s="254"/>
    </row>
    <row r="41" spans="13:14" ht="12.75">
      <c r="M41" s="161"/>
      <c r="N41" s="254"/>
    </row>
    <row r="42" spans="13:14" ht="12.75">
      <c r="M42" s="161"/>
      <c r="N42" s="254"/>
    </row>
    <row r="43" spans="13:14" ht="12.75">
      <c r="M43" s="161"/>
      <c r="N43" s="254"/>
    </row>
    <row r="44" spans="13:14" ht="12.75">
      <c r="M44" s="161"/>
      <c r="N44" s="254"/>
    </row>
    <row r="45" spans="13:14" ht="12.75">
      <c r="M45" s="161"/>
      <c r="N45" s="254"/>
    </row>
    <row r="46" spans="13:14" ht="12.75">
      <c r="M46" s="161"/>
      <c r="N46" s="254"/>
    </row>
    <row r="47" spans="13:14" ht="12.75">
      <c r="M47" s="161"/>
      <c r="N47" s="254"/>
    </row>
    <row r="48" spans="13:14" ht="12.75">
      <c r="M48" s="161"/>
      <c r="N48" s="254"/>
    </row>
    <row r="60" ht="12.75">
      <c r="E60" s="157"/>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1"/>
  <sheetViews>
    <sheetView zoomScale="80" zoomScaleNormal="80" zoomScalePageLayoutView="0" workbookViewId="0" topLeftCell="A1">
      <selection activeCell="A1" sqref="A1"/>
    </sheetView>
  </sheetViews>
  <sheetFormatPr defaultColWidth="10.8515625" defaultRowHeight="15"/>
  <cols>
    <col min="1" max="1" width="1.421875" style="224" customWidth="1"/>
    <col min="2" max="11" width="11.00390625" style="224" customWidth="1"/>
    <col min="12" max="12" width="12.28125" style="224" customWidth="1"/>
    <col min="13" max="13" width="3.421875" style="224" customWidth="1"/>
    <col min="14" max="14" width="14.140625" style="224" customWidth="1"/>
    <col min="15" max="15" width="10.8515625" style="148" customWidth="1"/>
    <col min="16" max="26" width="10.8515625" style="285" hidden="1" customWidth="1"/>
    <col min="27" max="27" width="10.8515625" style="148" customWidth="1"/>
    <col min="28" max="16384" width="10.8515625" style="224" customWidth="1"/>
  </cols>
  <sheetData>
    <row r="1" ht="6.75" customHeight="1"/>
    <row r="2" spans="2:15" ht="12.75">
      <c r="B2" s="377" t="s">
        <v>58</v>
      </c>
      <c r="C2" s="377"/>
      <c r="D2" s="377"/>
      <c r="E2" s="377"/>
      <c r="F2" s="377"/>
      <c r="G2" s="377"/>
      <c r="H2" s="377"/>
      <c r="I2" s="377"/>
      <c r="J2" s="377"/>
      <c r="K2" s="377"/>
      <c r="L2" s="377"/>
      <c r="M2" s="137"/>
      <c r="N2" s="45" t="s">
        <v>151</v>
      </c>
      <c r="O2" s="150"/>
    </row>
    <row r="3" spans="2:15" ht="12.75">
      <c r="B3" s="377" t="s">
        <v>141</v>
      </c>
      <c r="C3" s="377"/>
      <c r="D3" s="377"/>
      <c r="E3" s="377"/>
      <c r="F3" s="377"/>
      <c r="G3" s="377"/>
      <c r="H3" s="377"/>
      <c r="I3" s="377"/>
      <c r="J3" s="377"/>
      <c r="K3" s="377"/>
      <c r="L3" s="377"/>
      <c r="M3" s="250"/>
      <c r="N3" s="249"/>
      <c r="O3" s="244"/>
    </row>
    <row r="4" spans="2:15" ht="12.75">
      <c r="B4" s="377" t="s">
        <v>134</v>
      </c>
      <c r="C4" s="377"/>
      <c r="D4" s="377"/>
      <c r="E4" s="377"/>
      <c r="F4" s="377"/>
      <c r="G4" s="377"/>
      <c r="H4" s="377"/>
      <c r="I4" s="377"/>
      <c r="J4" s="377"/>
      <c r="K4" s="377"/>
      <c r="L4" s="377"/>
      <c r="M4" s="250"/>
      <c r="N4" s="249"/>
      <c r="O4" s="244"/>
    </row>
    <row r="5" spans="2:25" ht="25.5">
      <c r="B5" s="57" t="s">
        <v>65</v>
      </c>
      <c r="C5" s="58" t="s">
        <v>61</v>
      </c>
      <c r="D5" s="58" t="s">
        <v>124</v>
      </c>
      <c r="E5" s="58" t="s">
        <v>62</v>
      </c>
      <c r="F5" s="58" t="s">
        <v>63</v>
      </c>
      <c r="G5" s="58" t="s">
        <v>64</v>
      </c>
      <c r="H5" s="58" t="s">
        <v>130</v>
      </c>
      <c r="I5" s="58" t="s">
        <v>156</v>
      </c>
      <c r="J5" s="58" t="s">
        <v>185</v>
      </c>
      <c r="K5" s="58" t="s">
        <v>162</v>
      </c>
      <c r="L5" s="88" t="s">
        <v>70</v>
      </c>
      <c r="M5" s="234"/>
      <c r="Q5" s="286" t="str">
        <f aca="true" t="shared" si="0" ref="Q5:Y5">+C5</f>
        <v>Asterix</v>
      </c>
      <c r="R5" s="286" t="str">
        <f t="shared" si="0"/>
        <v>Cardinal</v>
      </c>
      <c r="S5" s="286" t="str">
        <f t="shared" si="0"/>
        <v>Désirée</v>
      </c>
      <c r="T5" s="286" t="str">
        <f t="shared" si="0"/>
        <v>Karu</v>
      </c>
      <c r="U5" s="286" t="str">
        <f t="shared" si="0"/>
        <v>Pukará</v>
      </c>
      <c r="V5" s="286" t="str">
        <f t="shared" si="0"/>
        <v>Rodeo</v>
      </c>
      <c r="W5" s="286" t="str">
        <f t="shared" si="0"/>
        <v>Patagonia</v>
      </c>
      <c r="X5" s="286" t="str">
        <f t="shared" si="0"/>
        <v>Yagana</v>
      </c>
      <c r="Y5" s="286" t="str">
        <f t="shared" si="0"/>
        <v>Rosara</v>
      </c>
    </row>
    <row r="6" spans="2:26" ht="12.75">
      <c r="B6" s="95">
        <v>42786</v>
      </c>
      <c r="C6" s="146">
        <v>7237.525000000001</v>
      </c>
      <c r="D6" s="146">
        <v>8193.28</v>
      </c>
      <c r="E6" s="146">
        <v>7226.89</v>
      </c>
      <c r="F6" s="146">
        <v>6281.36</v>
      </c>
      <c r="G6" s="146">
        <v>5400.203333333334</v>
      </c>
      <c r="H6" s="146">
        <v>6271.27</v>
      </c>
      <c r="I6" s="146">
        <v>6342.2119999999995</v>
      </c>
      <c r="J6" s="146"/>
      <c r="K6" s="146">
        <v>6215.825</v>
      </c>
      <c r="L6" s="146">
        <v>6424.448125000001</v>
      </c>
      <c r="Q6" s="287">
        <f aca="true" t="shared" si="1" ref="Q6:Q35">+IF(C6="","",((C6-$L6)/$L6))</f>
        <v>0.12655980080779305</v>
      </c>
      <c r="R6" s="287">
        <f aca="true" t="shared" si="2" ref="R6:R35">+IF(D6="","",((D6-$L6)/$L6))</f>
        <v>0.27532822128593337</v>
      </c>
      <c r="S6" s="287">
        <f aca="true" t="shared" si="3" ref="S6:S35">+IF(E6="","",((E6-$L6)/$L6))</f>
        <v>0.12490440569943888</v>
      </c>
      <c r="T6" s="287">
        <f aca="true" t="shared" si="4" ref="T6:T35">+IF(F6="","",((F6-$L6)/$L6))</f>
        <v>-0.022272438381623808</v>
      </c>
      <c r="U6" s="287">
        <f aca="true" t="shared" si="5" ref="U6:U35">+IF(G6="","",((G6-$L6)/$L6))</f>
        <v>-0.15942922594097012</v>
      </c>
      <c r="V6" s="287">
        <f aca="true" t="shared" si="6" ref="V6:V35">+IF(H6="","",((H6-$L6)/$L6))</f>
        <v>-0.02384300130059815</v>
      </c>
      <c r="W6" s="287">
        <f aca="true" t="shared" si="7" ref="W6:W35">+IF(I6="","",((I6-$L6)/$L6))</f>
        <v>-0.012800496385049612</v>
      </c>
      <c r="X6" s="287">
        <f aca="true" t="shared" si="8" ref="X6:X35">+IF(J6="","",((J6-$L6)/$L6))</f>
      </c>
      <c r="Y6" s="287">
        <f aca="true" t="shared" si="9" ref="Y6:Y35">+IF(K6="","",((K6-$L6)/$L6))</f>
        <v>-0.03247331458528992</v>
      </c>
      <c r="Z6" s="288"/>
    </row>
    <row r="7" spans="2:26" ht="12.75">
      <c r="B7" s="96">
        <v>42787</v>
      </c>
      <c r="C7" s="92">
        <v>7238.7975</v>
      </c>
      <c r="D7" s="92">
        <v>10189.075</v>
      </c>
      <c r="E7" s="92"/>
      <c r="F7" s="92">
        <v>6281.3</v>
      </c>
      <c r="G7" s="92">
        <v>5235.625</v>
      </c>
      <c r="H7" s="92">
        <v>6335.4</v>
      </c>
      <c r="I7" s="92">
        <v>6360.495</v>
      </c>
      <c r="J7" s="92"/>
      <c r="K7" s="92">
        <v>7380.344999999999</v>
      </c>
      <c r="L7" s="92">
        <v>6963.608333333334</v>
      </c>
      <c r="Q7" s="287">
        <f t="shared" si="1"/>
        <v>0.039518185614976824</v>
      </c>
      <c r="R7" s="287">
        <f t="shared" si="2"/>
        <v>0.463188983680635</v>
      </c>
      <c r="S7" s="287">
        <f t="shared" si="3"/>
      </c>
      <c r="T7" s="287">
        <f t="shared" si="4"/>
        <v>-0.09798200884838201</v>
      </c>
      <c r="U7" s="287">
        <f t="shared" si="5"/>
        <v>-0.2481448195559534</v>
      </c>
      <c r="V7" s="287">
        <f t="shared" si="6"/>
        <v>-0.0902130480725391</v>
      </c>
      <c r="W7" s="287">
        <f t="shared" si="7"/>
        <v>-0.0866093129400108</v>
      </c>
      <c r="X7" s="287">
        <f t="shared" si="8"/>
      </c>
      <c r="Y7" s="287">
        <f t="shared" si="9"/>
        <v>0.05984493192585727</v>
      </c>
      <c r="Z7" s="288"/>
    </row>
    <row r="8" spans="2:26" ht="12.75">
      <c r="B8" s="96">
        <v>42788</v>
      </c>
      <c r="C8" s="92">
        <v>9355.663333333332</v>
      </c>
      <c r="D8" s="92">
        <v>10399.16</v>
      </c>
      <c r="E8" s="92">
        <v>7189.54</v>
      </c>
      <c r="F8" s="92"/>
      <c r="G8" s="92">
        <v>5264.67</v>
      </c>
      <c r="H8" s="92"/>
      <c r="I8" s="92">
        <v>7016.830000000001</v>
      </c>
      <c r="J8" s="92"/>
      <c r="K8" s="92">
        <v>6286.62</v>
      </c>
      <c r="L8" s="92">
        <v>7708.301538461538</v>
      </c>
      <c r="Q8" s="287">
        <f t="shared" si="1"/>
        <v>0.2137126819250746</v>
      </c>
      <c r="R8" s="287">
        <f t="shared" si="2"/>
        <v>0.3490857808444682</v>
      </c>
      <c r="S8" s="287">
        <f t="shared" si="3"/>
        <v>-0.06729907176997585</v>
      </c>
      <c r="T8" s="287">
        <f t="shared" si="4"/>
      </c>
      <c r="U8" s="287">
        <f t="shared" si="5"/>
        <v>-0.3170129666397626</v>
      </c>
      <c r="V8" s="287">
        <f t="shared" si="6"/>
      </c>
      <c r="W8" s="287">
        <f t="shared" si="7"/>
        <v>-0.08970478580934507</v>
      </c>
      <c r="X8" s="287">
        <f t="shared" si="8"/>
      </c>
      <c r="Y8" s="287">
        <f t="shared" si="9"/>
        <v>-0.1844351224933119</v>
      </c>
      <c r="Z8" s="288"/>
    </row>
    <row r="9" spans="2:26" ht="12.75">
      <c r="B9" s="96">
        <v>42789</v>
      </c>
      <c r="C9" s="92">
        <v>8319.33</v>
      </c>
      <c r="D9" s="92">
        <v>8319.33</v>
      </c>
      <c r="E9" s="92">
        <v>6890.76</v>
      </c>
      <c r="F9" s="92">
        <v>6346.93</v>
      </c>
      <c r="G9" s="92">
        <v>5865.0960000000005</v>
      </c>
      <c r="H9" s="92">
        <v>6319.06</v>
      </c>
      <c r="I9" s="92">
        <v>6798.5075</v>
      </c>
      <c r="J9" s="92"/>
      <c r="K9" s="92">
        <v>7226.06</v>
      </c>
      <c r="L9" s="92">
        <v>6729.005882352942</v>
      </c>
      <c r="Q9" s="287">
        <f t="shared" si="1"/>
        <v>0.23633864280275638</v>
      </c>
      <c r="R9" s="287">
        <f t="shared" si="2"/>
        <v>0.23633864280275638</v>
      </c>
      <c r="S9" s="287">
        <f t="shared" si="3"/>
        <v>0.024038337976678627</v>
      </c>
      <c r="T9" s="287">
        <f t="shared" si="4"/>
        <v>-0.05678043518359064</v>
      </c>
      <c r="U9" s="287">
        <f t="shared" si="5"/>
        <v>-0.12838596034201363</v>
      </c>
      <c r="V9" s="287">
        <f t="shared" si="6"/>
        <v>-0.060922205972213365</v>
      </c>
      <c r="W9" s="287">
        <f t="shared" si="7"/>
        <v>0.010328660557323713</v>
      </c>
      <c r="X9" s="287">
        <f t="shared" si="8"/>
      </c>
      <c r="Y9" s="287">
        <f t="shared" si="9"/>
        <v>0.07386739235146174</v>
      </c>
      <c r="Z9" s="288"/>
    </row>
    <row r="10" spans="2:26" ht="12.75">
      <c r="B10" s="96">
        <v>42790</v>
      </c>
      <c r="C10" s="92">
        <v>7626.05</v>
      </c>
      <c r="D10" s="92">
        <v>10462.185000000001</v>
      </c>
      <c r="E10" s="92">
        <v>7068.71</v>
      </c>
      <c r="F10" s="92">
        <v>6323.32</v>
      </c>
      <c r="G10" s="92">
        <v>5392.156666666667</v>
      </c>
      <c r="H10" s="92">
        <v>6326.05</v>
      </c>
      <c r="I10" s="92">
        <v>7036.415000000001</v>
      </c>
      <c r="J10" s="92"/>
      <c r="K10" s="92">
        <v>6725.08</v>
      </c>
      <c r="L10" s="92">
        <v>7096.648333333334</v>
      </c>
      <c r="Q10" s="287">
        <f t="shared" si="1"/>
        <v>0.07459883057471482</v>
      </c>
      <c r="R10" s="287">
        <f t="shared" si="2"/>
        <v>0.47424312275113906</v>
      </c>
      <c r="S10" s="287">
        <f t="shared" si="3"/>
        <v>-0.003936834970687018</v>
      </c>
      <c r="T10" s="287">
        <f t="shared" si="4"/>
        <v>-0.10897092500708686</v>
      </c>
      <c r="U10" s="287">
        <f t="shared" si="5"/>
        <v>-0.24018263081468752</v>
      </c>
      <c r="V10" s="287">
        <f t="shared" si="6"/>
        <v>-0.10858623636651021</v>
      </c>
      <c r="W10" s="287">
        <f t="shared" si="7"/>
        <v>-0.008487574768276794</v>
      </c>
      <c r="X10" s="287">
        <f t="shared" si="8"/>
      </c>
      <c r="Y10" s="287">
        <f t="shared" si="9"/>
        <v>-0.05235828462685101</v>
      </c>
      <c r="Z10" s="288"/>
    </row>
    <row r="11" spans="2:26" ht="12.75">
      <c r="B11" s="96">
        <v>42793</v>
      </c>
      <c r="C11" s="92">
        <v>8193.28</v>
      </c>
      <c r="D11" s="92">
        <v>10579.235</v>
      </c>
      <c r="E11" s="92">
        <v>7142.86</v>
      </c>
      <c r="F11" s="92">
        <v>6273.97</v>
      </c>
      <c r="G11" s="92">
        <v>5357.14</v>
      </c>
      <c r="H11" s="92">
        <v>6322.92</v>
      </c>
      <c r="I11" s="92">
        <v>6482.994000000001</v>
      </c>
      <c r="J11" s="92"/>
      <c r="K11" s="92">
        <v>7229.49</v>
      </c>
      <c r="L11" s="92">
        <v>7111.982</v>
      </c>
      <c r="Q11" s="287">
        <f t="shared" si="1"/>
        <v>0.15203891123458985</v>
      </c>
      <c r="R11" s="287">
        <f t="shared" si="2"/>
        <v>0.48752274682360003</v>
      </c>
      <c r="S11" s="287">
        <f t="shared" si="3"/>
        <v>0.004341687029016623</v>
      </c>
      <c r="T11" s="287">
        <f t="shared" si="4"/>
        <v>-0.11783100688387566</v>
      </c>
      <c r="U11" s="287">
        <f t="shared" si="5"/>
        <v>-0.24674443776713717</v>
      </c>
      <c r="V11" s="287">
        <f t="shared" si="6"/>
        <v>-0.11094825605576615</v>
      </c>
      <c r="W11" s="287">
        <f t="shared" si="7"/>
        <v>-0.08844060628949839</v>
      </c>
      <c r="X11" s="287">
        <f t="shared" si="8"/>
      </c>
      <c r="Y11" s="287">
        <f t="shared" si="9"/>
        <v>0.01652253900530117</v>
      </c>
      <c r="Z11" s="288"/>
    </row>
    <row r="12" spans="2:26" ht="12.75">
      <c r="B12" s="96">
        <v>42794</v>
      </c>
      <c r="C12" s="92">
        <v>9930.7625</v>
      </c>
      <c r="D12" s="92">
        <v>8193.28</v>
      </c>
      <c r="E12" s="92"/>
      <c r="F12" s="92"/>
      <c r="G12" s="92">
        <v>6859.536666666667</v>
      </c>
      <c r="H12" s="92">
        <v>7465.39</v>
      </c>
      <c r="I12" s="92">
        <v>6854.91888888889</v>
      </c>
      <c r="J12" s="92"/>
      <c r="K12" s="92">
        <v>7152.91</v>
      </c>
      <c r="L12" s="92">
        <v>7591.705238095238</v>
      </c>
      <c r="Q12" s="287">
        <f t="shared" si="1"/>
        <v>0.3081069652398192</v>
      </c>
      <c r="R12" s="287">
        <f t="shared" si="2"/>
        <v>0.07924105889755248</v>
      </c>
      <c r="S12" s="287">
        <f t="shared" si="3"/>
      </c>
      <c r="T12" s="287">
        <f t="shared" si="4"/>
      </c>
      <c r="U12" s="287">
        <f t="shared" si="5"/>
        <v>-0.09644322961257025</v>
      </c>
      <c r="V12" s="287">
        <f t="shared" si="6"/>
        <v>-0.016638585684463483</v>
      </c>
      <c r="W12" s="287">
        <f t="shared" si="7"/>
        <v>-0.09705149582325037</v>
      </c>
      <c r="X12" s="287">
        <f t="shared" si="8"/>
      </c>
      <c r="Y12" s="287">
        <f t="shared" si="9"/>
        <v>-0.05779929862046807</v>
      </c>
      <c r="Z12" s="288"/>
    </row>
    <row r="13" spans="2:26" ht="12.75">
      <c r="B13" s="96">
        <v>42795</v>
      </c>
      <c r="C13" s="92">
        <v>8518.57</v>
      </c>
      <c r="D13" s="92">
        <v>11029.415</v>
      </c>
      <c r="E13" s="92"/>
      <c r="F13" s="92">
        <v>5882.35</v>
      </c>
      <c r="G13" s="92">
        <v>6016.916666666667</v>
      </c>
      <c r="H13" s="92">
        <v>7847.59</v>
      </c>
      <c r="I13" s="92">
        <v>7174.613333333334</v>
      </c>
      <c r="J13" s="92"/>
      <c r="K13" s="92">
        <v>6499.686666666667</v>
      </c>
      <c r="L13" s="92">
        <v>7412.411111111112</v>
      </c>
      <c r="Q13" s="287">
        <f t="shared" si="1"/>
        <v>0.14923064469950525</v>
      </c>
      <c r="R13" s="287">
        <f t="shared" si="2"/>
        <v>0.4879659040318264</v>
      </c>
      <c r="S13" s="287">
        <f t="shared" si="3"/>
      </c>
      <c r="T13" s="287">
        <f t="shared" si="4"/>
        <v>-0.20641881409108156</v>
      </c>
      <c r="U13" s="287">
        <f t="shared" si="5"/>
        <v>-0.18826457727804877</v>
      </c>
      <c r="V13" s="287">
        <f t="shared" si="6"/>
        <v>0.058709491738330594</v>
      </c>
      <c r="W13" s="287">
        <f t="shared" si="7"/>
        <v>-0.032081029264731796</v>
      </c>
      <c r="X13" s="287">
        <f t="shared" si="8"/>
      </c>
      <c r="Y13" s="287">
        <f t="shared" si="9"/>
        <v>-0.1231346225624591</v>
      </c>
      <c r="Z13" s="288"/>
    </row>
    <row r="14" spans="2:26" ht="12.75">
      <c r="B14" s="96">
        <v>42796</v>
      </c>
      <c r="C14" s="92">
        <v>8611.880000000001</v>
      </c>
      <c r="D14" s="92">
        <v>10462.185000000001</v>
      </c>
      <c r="E14" s="92"/>
      <c r="F14" s="92"/>
      <c r="G14" s="92">
        <v>6162.466666666667</v>
      </c>
      <c r="H14" s="92">
        <v>7962.53</v>
      </c>
      <c r="I14" s="92">
        <v>7048.158</v>
      </c>
      <c r="J14" s="92"/>
      <c r="K14" s="92">
        <v>7124.59</v>
      </c>
      <c r="L14" s="92">
        <v>7640.245714285716</v>
      </c>
      <c r="Q14" s="287">
        <f t="shared" si="1"/>
        <v>0.12717317244097603</v>
      </c>
      <c r="R14" s="287">
        <f t="shared" si="2"/>
        <v>0.3693519019208806</v>
      </c>
      <c r="S14" s="287">
        <f t="shared" si="3"/>
      </c>
      <c r="T14" s="287">
        <f t="shared" si="4"/>
      </c>
      <c r="U14" s="287">
        <f t="shared" si="5"/>
        <v>-0.1934203562139239</v>
      </c>
      <c r="V14" s="287">
        <f t="shared" si="6"/>
        <v>0.04218245037743716</v>
      </c>
      <c r="W14" s="287">
        <f t="shared" si="7"/>
        <v>-0.07749589953352297</v>
      </c>
      <c r="X14" s="287">
        <f t="shared" si="8"/>
      </c>
      <c r="Y14" s="287">
        <f t="shared" si="9"/>
        <v>-0.06749203279176526</v>
      </c>
      <c r="Z14" s="288"/>
    </row>
    <row r="15" spans="2:26" ht="12.75">
      <c r="B15" s="96">
        <v>42797</v>
      </c>
      <c r="C15" s="92">
        <v>9205.974</v>
      </c>
      <c r="D15" s="92">
        <v>10462.185000000001</v>
      </c>
      <c r="E15" s="92"/>
      <c r="F15" s="92">
        <v>6302.52</v>
      </c>
      <c r="G15" s="92">
        <v>6097.22</v>
      </c>
      <c r="H15" s="92">
        <v>7965.83</v>
      </c>
      <c r="I15" s="92">
        <v>6921.545</v>
      </c>
      <c r="J15" s="92"/>
      <c r="K15" s="92">
        <v>7102.889999999999</v>
      </c>
      <c r="L15" s="92">
        <v>7616.939565217392</v>
      </c>
      <c r="Q15" s="287">
        <f t="shared" si="1"/>
        <v>0.20861849056002804</v>
      </c>
      <c r="R15" s="287">
        <f t="shared" si="2"/>
        <v>0.3735418156362128</v>
      </c>
      <c r="S15" s="287">
        <f t="shared" si="3"/>
      </c>
      <c r="T15" s="287">
        <f t="shared" si="4"/>
        <v>-0.17256531366215153</v>
      </c>
      <c r="U15" s="287">
        <f t="shared" si="5"/>
        <v>-0.1995183960966635</v>
      </c>
      <c r="V15" s="287">
        <f t="shared" si="6"/>
        <v>0.04580454286073238</v>
      </c>
      <c r="W15" s="287">
        <f t="shared" si="7"/>
        <v>-0.09129579659433003</v>
      </c>
      <c r="X15" s="287">
        <f t="shared" si="8"/>
      </c>
      <c r="Y15" s="287">
        <f t="shared" si="9"/>
        <v>-0.06748767806492646</v>
      </c>
      <c r="Z15" s="288"/>
    </row>
    <row r="16" spans="2:26" ht="12.75">
      <c r="B16" s="96">
        <v>42800</v>
      </c>
      <c r="C16" s="92">
        <v>8685.823333333334</v>
      </c>
      <c r="D16" s="92">
        <v>8193.28</v>
      </c>
      <c r="E16" s="92"/>
      <c r="F16" s="92"/>
      <c r="G16" s="92">
        <v>6741.785</v>
      </c>
      <c r="H16" s="92">
        <v>7691.48</v>
      </c>
      <c r="I16" s="92">
        <v>6256.944</v>
      </c>
      <c r="J16" s="92"/>
      <c r="K16" s="92">
        <v>6723.755</v>
      </c>
      <c r="L16" s="92">
        <v>7154.145000000001</v>
      </c>
      <c r="Q16" s="287">
        <f t="shared" si="1"/>
        <v>0.21409662976265256</v>
      </c>
      <c r="R16" s="287">
        <f t="shared" si="2"/>
        <v>0.1452493624325477</v>
      </c>
      <c r="S16" s="287">
        <f t="shared" si="3"/>
      </c>
      <c r="T16" s="287">
        <f t="shared" si="4"/>
      </c>
      <c r="U16" s="287">
        <f t="shared" si="5"/>
        <v>-0.057639312594307414</v>
      </c>
      <c r="V16" s="287">
        <f t="shared" si="6"/>
        <v>0.07510820650126579</v>
      </c>
      <c r="W16" s="287">
        <f t="shared" si="7"/>
        <v>-0.1254099546486688</v>
      </c>
      <c r="X16" s="287">
        <f t="shared" si="8"/>
      </c>
      <c r="Y16" s="287">
        <f t="shared" si="9"/>
        <v>-0.06015952989490724</v>
      </c>
      <c r="Z16" s="288"/>
    </row>
    <row r="17" spans="2:26" ht="12.75">
      <c r="B17" s="96">
        <v>42801</v>
      </c>
      <c r="C17" s="92">
        <v>8884.106666666667</v>
      </c>
      <c r="D17" s="92">
        <v>10049.02</v>
      </c>
      <c r="E17" s="92"/>
      <c r="F17" s="92">
        <v>6923.895</v>
      </c>
      <c r="G17" s="92">
        <v>6401.5025</v>
      </c>
      <c r="H17" s="92">
        <v>7117.13</v>
      </c>
      <c r="I17" s="92">
        <v>6985.732857142857</v>
      </c>
      <c r="J17" s="92"/>
      <c r="K17" s="92">
        <v>6421.34</v>
      </c>
      <c r="L17" s="92">
        <v>7384.004761904762</v>
      </c>
      <c r="Q17" s="287">
        <f t="shared" si="1"/>
        <v>0.20315559823324678</v>
      </c>
      <c r="R17" s="287">
        <f t="shared" si="2"/>
        <v>0.36091732386800046</v>
      </c>
      <c r="S17" s="287">
        <f t="shared" si="3"/>
      </c>
      <c r="T17" s="287">
        <f t="shared" si="4"/>
        <v>-0.06231168271701825</v>
      </c>
      <c r="U17" s="287">
        <f t="shared" si="5"/>
        <v>-0.13305818368016845</v>
      </c>
      <c r="V17" s="287">
        <f t="shared" si="6"/>
        <v>-0.03614227922517202</v>
      </c>
      <c r="W17" s="287">
        <f t="shared" si="7"/>
        <v>-0.05393711374844339</v>
      </c>
      <c r="X17" s="287">
        <f t="shared" si="8"/>
      </c>
      <c r="Y17" s="287">
        <f t="shared" si="9"/>
        <v>-0.13037163340837754</v>
      </c>
      <c r="Z17" s="288"/>
    </row>
    <row r="18" spans="2:26" ht="12.75">
      <c r="B18" s="96">
        <v>42802</v>
      </c>
      <c r="C18" s="92">
        <v>8502.315</v>
      </c>
      <c r="D18" s="92">
        <v>9978.994999999999</v>
      </c>
      <c r="E18" s="92"/>
      <c r="F18" s="92">
        <v>6722.69</v>
      </c>
      <c r="G18" s="92">
        <v>5735.44</v>
      </c>
      <c r="H18" s="92">
        <v>7128.76</v>
      </c>
      <c r="I18" s="92">
        <v>6192.512500000001</v>
      </c>
      <c r="J18" s="92"/>
      <c r="K18" s="92">
        <v>7344.115</v>
      </c>
      <c r="L18" s="92">
        <v>7165.2446666666665</v>
      </c>
      <c r="Q18" s="287">
        <f t="shared" si="1"/>
        <v>0.18660497938800333</v>
      </c>
      <c r="R18" s="287">
        <f t="shared" si="2"/>
        <v>0.39269424342523024</v>
      </c>
      <c r="S18" s="287">
        <f t="shared" si="3"/>
      </c>
      <c r="T18" s="287">
        <f t="shared" si="4"/>
        <v>-0.06176406909389559</v>
      </c>
      <c r="U18" s="287">
        <f t="shared" si="5"/>
        <v>-0.19954722178828602</v>
      </c>
      <c r="V18" s="287">
        <f t="shared" si="6"/>
        <v>-0.005091894047442103</v>
      </c>
      <c r="W18" s="287">
        <f t="shared" si="7"/>
        <v>-0.13575700648323977</v>
      </c>
      <c r="X18" s="287">
        <f t="shared" si="8"/>
      </c>
      <c r="Y18" s="287">
        <f t="shared" si="9"/>
        <v>0.024963604406344063</v>
      </c>
      <c r="Z18" s="288"/>
    </row>
    <row r="19" spans="2:26" ht="12.75">
      <c r="B19" s="96">
        <v>42803</v>
      </c>
      <c r="C19" s="92">
        <v>9267.866666666667</v>
      </c>
      <c r="D19" s="92">
        <v>8319.33</v>
      </c>
      <c r="E19" s="92"/>
      <c r="F19" s="92">
        <v>6673.66</v>
      </c>
      <c r="G19" s="92">
        <v>6291.9400000000005</v>
      </c>
      <c r="H19" s="92">
        <v>9426.3</v>
      </c>
      <c r="I19" s="92">
        <v>7037.265714285714</v>
      </c>
      <c r="J19" s="92"/>
      <c r="K19" s="92">
        <v>6722.69</v>
      </c>
      <c r="L19" s="92">
        <v>7555.996842105264</v>
      </c>
      <c r="Q19" s="287">
        <f t="shared" si="1"/>
        <v>0.22655777395540036</v>
      </c>
      <c r="R19" s="287">
        <f t="shared" si="2"/>
        <v>0.1010234882102009</v>
      </c>
      <c r="S19" s="287">
        <f t="shared" si="3"/>
      </c>
      <c r="T19" s="287">
        <f t="shared" si="4"/>
        <v>-0.11677305596377481</v>
      </c>
      <c r="U19" s="287">
        <f t="shared" si="5"/>
        <v>-0.16729187008938315</v>
      </c>
      <c r="V19" s="287">
        <f t="shared" si="6"/>
        <v>0.2475256669606586</v>
      </c>
      <c r="W19" s="287">
        <f t="shared" si="7"/>
        <v>-0.06865158081180718</v>
      </c>
      <c r="X19" s="287">
        <f t="shared" si="8"/>
      </c>
      <c r="Y19" s="287">
        <f t="shared" si="9"/>
        <v>-0.11028417024497944</v>
      </c>
      <c r="Z19" s="288"/>
    </row>
    <row r="20" spans="2:26" ht="12.75">
      <c r="B20" s="96">
        <v>42804</v>
      </c>
      <c r="C20" s="92">
        <v>8546.55</v>
      </c>
      <c r="D20" s="92">
        <v>10260.505000000001</v>
      </c>
      <c r="E20" s="92"/>
      <c r="F20" s="92">
        <v>6744.5599999999995</v>
      </c>
      <c r="G20" s="92">
        <v>5874.116666666668</v>
      </c>
      <c r="H20" s="92">
        <v>6695.02</v>
      </c>
      <c r="I20" s="92">
        <v>6216.356666666667</v>
      </c>
      <c r="J20" s="92"/>
      <c r="K20" s="92">
        <v>6479.11</v>
      </c>
      <c r="L20" s="92">
        <v>7011.638235294119</v>
      </c>
      <c r="Q20" s="287">
        <f t="shared" si="1"/>
        <v>0.21890914978751677</v>
      </c>
      <c r="R20" s="287">
        <f t="shared" si="2"/>
        <v>0.4633534497476253</v>
      </c>
      <c r="S20" s="287">
        <f t="shared" si="3"/>
      </c>
      <c r="T20" s="287">
        <f t="shared" si="4"/>
        <v>-0.038090703817225166</v>
      </c>
      <c r="U20" s="287">
        <f t="shared" si="5"/>
        <v>-0.16223335124473026</v>
      </c>
      <c r="V20" s="287">
        <f t="shared" si="6"/>
        <v>-0.045156099711530166</v>
      </c>
      <c r="W20" s="287">
        <f t="shared" si="7"/>
        <v>-0.11342307488487997</v>
      </c>
      <c r="X20" s="287">
        <f t="shared" si="8"/>
      </c>
      <c r="Y20" s="287">
        <f t="shared" si="9"/>
        <v>-0.07594918868083635</v>
      </c>
      <c r="Z20" s="288"/>
    </row>
    <row r="21" spans="2:26" ht="12.75">
      <c r="B21" s="96">
        <v>42807</v>
      </c>
      <c r="C21" s="92">
        <v>8193.28</v>
      </c>
      <c r="D21" s="92">
        <v>8193.28</v>
      </c>
      <c r="E21" s="92"/>
      <c r="F21" s="92">
        <v>6870.705</v>
      </c>
      <c r="G21" s="92">
        <v>6302.52</v>
      </c>
      <c r="H21" s="92">
        <v>7126.7</v>
      </c>
      <c r="I21" s="92">
        <v>6378.344</v>
      </c>
      <c r="J21" s="92"/>
      <c r="K21" s="92">
        <v>7234.945</v>
      </c>
      <c r="L21" s="92">
        <v>6916.83076923077</v>
      </c>
      <c r="Q21" s="287">
        <f t="shared" si="1"/>
        <v>0.1845424983429494</v>
      </c>
      <c r="R21" s="287">
        <f t="shared" si="2"/>
        <v>0.1845424983429494</v>
      </c>
      <c r="S21" s="287">
        <f t="shared" si="3"/>
      </c>
      <c r="T21" s="287">
        <f t="shared" si="4"/>
        <v>-0.006668627695209558</v>
      </c>
      <c r="U21" s="287">
        <f t="shared" si="5"/>
        <v>-0.08881390765891006</v>
      </c>
      <c r="V21" s="287">
        <f t="shared" si="6"/>
        <v>0.030341819508267337</v>
      </c>
      <c r="W21" s="287">
        <f t="shared" si="7"/>
        <v>-0.07785166172146434</v>
      </c>
      <c r="X21" s="287">
        <f t="shared" si="8"/>
      </c>
      <c r="Y21" s="287">
        <f t="shared" si="9"/>
        <v>0.04599132773124182</v>
      </c>
      <c r="Z21" s="288"/>
    </row>
    <row r="22" spans="2:26" ht="12.75">
      <c r="B22" s="96">
        <v>42808</v>
      </c>
      <c r="C22" s="92">
        <v>8627.1025</v>
      </c>
      <c r="D22" s="92">
        <v>9946.67</v>
      </c>
      <c r="E22" s="92"/>
      <c r="F22" s="92">
        <v>6923.504999999999</v>
      </c>
      <c r="G22" s="92">
        <v>6498.33</v>
      </c>
      <c r="H22" s="92">
        <v>7984.83</v>
      </c>
      <c r="I22" s="92">
        <v>6948.9800000000005</v>
      </c>
      <c r="J22" s="92"/>
      <c r="K22" s="92">
        <v>6462.5</v>
      </c>
      <c r="L22" s="92">
        <v>7571.006842105265</v>
      </c>
      <c r="Q22" s="287">
        <f t="shared" si="1"/>
        <v>0.13949210189870445</v>
      </c>
      <c r="R22" s="287">
        <f t="shared" si="2"/>
        <v>0.3137843099920032</v>
      </c>
      <c r="S22" s="287">
        <f t="shared" si="3"/>
      </c>
      <c r="T22" s="287">
        <f t="shared" si="4"/>
        <v>-0.08552387490977556</v>
      </c>
      <c r="U22" s="287">
        <f t="shared" si="5"/>
        <v>-0.14168219161283788</v>
      </c>
      <c r="V22" s="287">
        <f t="shared" si="6"/>
        <v>0.054658933286561885</v>
      </c>
      <c r="W22" s="287">
        <f t="shared" si="7"/>
        <v>-0.08215906484801137</v>
      </c>
      <c r="X22" s="287">
        <f t="shared" si="8"/>
      </c>
      <c r="Y22" s="287">
        <f t="shared" si="9"/>
        <v>-0.14641471936604708</v>
      </c>
      <c r="Z22" s="288"/>
    </row>
    <row r="23" spans="2:26" ht="12.75">
      <c r="B23" s="96">
        <v>42809</v>
      </c>
      <c r="C23" s="92">
        <v>9655.576666666666</v>
      </c>
      <c r="D23" s="92">
        <v>8193.28</v>
      </c>
      <c r="E23" s="92"/>
      <c r="F23" s="92">
        <v>6884.9625</v>
      </c>
      <c r="G23" s="92">
        <v>6272.81</v>
      </c>
      <c r="H23" s="92">
        <v>7164.85</v>
      </c>
      <c r="I23" s="92">
        <v>6865.545000000001</v>
      </c>
      <c r="J23" s="92"/>
      <c r="K23" s="92"/>
      <c r="L23" s="92">
        <v>7458.1743750000005</v>
      </c>
      <c r="Q23" s="287">
        <f t="shared" si="1"/>
        <v>0.2946300503555423</v>
      </c>
      <c r="R23" s="287">
        <f t="shared" si="2"/>
        <v>0.09856374871900205</v>
      </c>
      <c r="S23" s="287">
        <f t="shared" si="3"/>
      </c>
      <c r="T23" s="287">
        <f t="shared" si="4"/>
        <v>-0.07685686150238352</v>
      </c>
      <c r="U23" s="287">
        <f t="shared" si="5"/>
        <v>-0.1589349236689039</v>
      </c>
      <c r="V23" s="287">
        <f t="shared" si="6"/>
        <v>-0.03932924603951756</v>
      </c>
      <c r="W23" s="287">
        <f t="shared" si="7"/>
        <v>-0.07946038067794567</v>
      </c>
      <c r="X23" s="287">
        <f t="shared" si="8"/>
      </c>
      <c r="Y23" s="287">
        <f t="shared" si="9"/>
      </c>
      <c r="Z23" s="288"/>
    </row>
    <row r="24" spans="2:26" ht="12.75">
      <c r="B24" s="96">
        <v>42810</v>
      </c>
      <c r="C24" s="92">
        <v>9100.183333333334</v>
      </c>
      <c r="D24" s="92">
        <v>10366.84</v>
      </c>
      <c r="E24" s="92"/>
      <c r="F24" s="92">
        <v>6642.889999999999</v>
      </c>
      <c r="G24" s="92">
        <v>6281.05</v>
      </c>
      <c r="H24" s="92">
        <v>7458.4</v>
      </c>
      <c r="I24" s="92">
        <v>6981.058</v>
      </c>
      <c r="J24" s="92"/>
      <c r="K24" s="92">
        <v>6874.334999999999</v>
      </c>
      <c r="L24" s="92">
        <v>7668.018235294117</v>
      </c>
      <c r="Q24" s="287">
        <f t="shared" si="1"/>
        <v>0.18677121703327357</v>
      </c>
      <c r="R24" s="287">
        <f t="shared" si="2"/>
        <v>0.35195818292187014</v>
      </c>
      <c r="S24" s="287">
        <f t="shared" si="3"/>
      </c>
      <c r="T24" s="287">
        <f t="shared" si="4"/>
        <v>-0.13368881030768673</v>
      </c>
      <c r="U24" s="287">
        <f t="shared" si="5"/>
        <v>-0.18087701316491694</v>
      </c>
      <c r="V24" s="287">
        <f t="shared" si="6"/>
        <v>-0.02733668972372724</v>
      </c>
      <c r="W24" s="287">
        <f t="shared" si="7"/>
        <v>-0.08958771539329394</v>
      </c>
      <c r="X24" s="287">
        <f t="shared" si="8"/>
      </c>
      <c r="Y24" s="287">
        <f t="shared" si="9"/>
        <v>-0.1035056530826932</v>
      </c>
      <c r="Z24" s="288"/>
    </row>
    <row r="25" spans="2:26" ht="12.75">
      <c r="B25" s="96">
        <v>42811</v>
      </c>
      <c r="C25" s="92">
        <v>8595.297999999999</v>
      </c>
      <c r="D25" s="92">
        <v>9995.335</v>
      </c>
      <c r="E25" s="92"/>
      <c r="F25" s="92">
        <v>7249.209999999999</v>
      </c>
      <c r="G25" s="92">
        <v>6498.6</v>
      </c>
      <c r="H25" s="92">
        <v>7131.76</v>
      </c>
      <c r="I25" s="92">
        <v>6525.83</v>
      </c>
      <c r="J25" s="92"/>
      <c r="K25" s="92">
        <v>6298.0650000000005</v>
      </c>
      <c r="L25" s="92">
        <v>7491.344761904763</v>
      </c>
      <c r="Q25" s="287">
        <f t="shared" si="1"/>
        <v>0.14736382761464883</v>
      </c>
      <c r="R25" s="287">
        <f t="shared" si="2"/>
        <v>0.33425110146159753</v>
      </c>
      <c r="S25" s="287">
        <f t="shared" si="3"/>
      </c>
      <c r="T25" s="287">
        <f t="shared" si="4"/>
        <v>-0.03232193546024948</v>
      </c>
      <c r="U25" s="287">
        <f t="shared" si="5"/>
        <v>-0.13251889927067587</v>
      </c>
      <c r="V25" s="287">
        <f t="shared" si="6"/>
        <v>-0.048000028477308256</v>
      </c>
      <c r="W25" s="287">
        <f t="shared" si="7"/>
        <v>-0.12888403785854724</v>
      </c>
      <c r="X25" s="287">
        <f t="shared" si="8"/>
      </c>
      <c r="Y25" s="287">
        <f t="shared" si="9"/>
        <v>-0.1592877914220246</v>
      </c>
      <c r="Z25" s="288"/>
    </row>
    <row r="26" spans="2:26" ht="12.75">
      <c r="B26" s="96">
        <v>42814</v>
      </c>
      <c r="C26" s="92">
        <v>9348.91</v>
      </c>
      <c r="D26" s="92">
        <v>9768.91</v>
      </c>
      <c r="E26" s="92"/>
      <c r="F26" s="92">
        <v>6825.2525000000005</v>
      </c>
      <c r="G26" s="92"/>
      <c r="H26" s="92">
        <v>7130.34</v>
      </c>
      <c r="I26" s="92">
        <v>6385.088</v>
      </c>
      <c r="J26" s="92"/>
      <c r="K26" s="92">
        <v>6278.84</v>
      </c>
      <c r="L26" s="92">
        <v>7547.107222222222</v>
      </c>
      <c r="Q26" s="287">
        <f t="shared" si="1"/>
        <v>0.238740847946671</v>
      </c>
      <c r="R26" s="287">
        <f t="shared" si="2"/>
        <v>0.29439130945904</v>
      </c>
      <c r="S26" s="287">
        <f t="shared" si="3"/>
      </c>
      <c r="T26" s="287">
        <f t="shared" si="4"/>
        <v>-0.09564654389654657</v>
      </c>
      <c r="U26" s="287">
        <f t="shared" si="5"/>
      </c>
      <c r="V26" s="287">
        <f t="shared" si="6"/>
        <v>-0.05522211490451119</v>
      </c>
      <c r="W26" s="287">
        <f t="shared" si="7"/>
        <v>-0.1539688238164542</v>
      </c>
      <c r="X26" s="287">
        <f t="shared" si="8"/>
      </c>
      <c r="Y26" s="287">
        <f t="shared" si="9"/>
        <v>-0.1680468005658974</v>
      </c>
      <c r="Z26" s="288"/>
    </row>
    <row r="27" spans="2:26" ht="12.75">
      <c r="B27" s="96">
        <v>42815</v>
      </c>
      <c r="C27" s="92">
        <v>9031.4575</v>
      </c>
      <c r="D27" s="92">
        <v>8193.28</v>
      </c>
      <c r="E27" s="92"/>
      <c r="F27" s="92">
        <v>6668.3025</v>
      </c>
      <c r="G27" s="92">
        <v>6345.25</v>
      </c>
      <c r="H27" s="92">
        <v>6644.843333333334</v>
      </c>
      <c r="I27" s="92">
        <v>6901.916666666667</v>
      </c>
      <c r="J27" s="92"/>
      <c r="K27" s="92">
        <v>6722.69</v>
      </c>
      <c r="L27" s="92">
        <v>7270.3145</v>
      </c>
      <c r="Q27" s="287">
        <f t="shared" si="1"/>
        <v>0.24223752631333897</v>
      </c>
      <c r="R27" s="287">
        <f t="shared" si="2"/>
        <v>0.1269498726636929</v>
      </c>
      <c r="S27" s="287">
        <f t="shared" si="3"/>
      </c>
      <c r="T27" s="287">
        <f t="shared" si="4"/>
        <v>-0.08280412078459612</v>
      </c>
      <c r="U27" s="287">
        <f t="shared" si="5"/>
        <v>-0.12723858094446952</v>
      </c>
      <c r="V27" s="287">
        <f t="shared" si="6"/>
        <v>-0.08603082668111073</v>
      </c>
      <c r="W27" s="287">
        <f t="shared" si="7"/>
        <v>-0.05067151267436002</v>
      </c>
      <c r="X27" s="287">
        <f t="shared" si="8"/>
      </c>
      <c r="Y27" s="287">
        <f t="shared" si="9"/>
        <v>-0.0753233577447029</v>
      </c>
      <c r="Z27" s="288"/>
    </row>
    <row r="28" spans="2:26" ht="12.75">
      <c r="B28" s="96">
        <v>42816</v>
      </c>
      <c r="C28" s="92">
        <v>7662.75</v>
      </c>
      <c r="D28" s="92">
        <v>8193.28</v>
      </c>
      <c r="E28" s="92"/>
      <c r="F28" s="92">
        <v>6685.4079999999985</v>
      </c>
      <c r="G28" s="92">
        <v>5307.385</v>
      </c>
      <c r="H28" s="92">
        <v>6051.7</v>
      </c>
      <c r="I28" s="92">
        <v>6705.084</v>
      </c>
      <c r="J28" s="92"/>
      <c r="K28" s="92">
        <v>6722.69</v>
      </c>
      <c r="L28" s="92">
        <v>6661.783333333334</v>
      </c>
      <c r="Q28" s="287">
        <f t="shared" si="1"/>
        <v>0.15025506183279244</v>
      </c>
      <c r="R28" s="287">
        <f t="shared" si="2"/>
        <v>0.2298928965467205</v>
      </c>
      <c r="S28" s="287">
        <f t="shared" si="3"/>
      </c>
      <c r="T28" s="287">
        <f t="shared" si="4"/>
        <v>0.003546297663037892</v>
      </c>
      <c r="U28" s="287">
        <f t="shared" si="5"/>
        <v>-0.2033086736034145</v>
      </c>
      <c r="V28" s="287">
        <f t="shared" si="6"/>
        <v>-0.0915795820438472</v>
      </c>
      <c r="W28" s="287">
        <f t="shared" si="7"/>
        <v>0.006499861148291034</v>
      </c>
      <c r="X28" s="287">
        <f t="shared" si="8"/>
      </c>
      <c r="Y28" s="287">
        <f t="shared" si="9"/>
        <v>0.009142697025571106</v>
      </c>
      <c r="Z28" s="288"/>
    </row>
    <row r="29" spans="2:26" ht="12.75">
      <c r="B29" s="96">
        <v>42817</v>
      </c>
      <c r="C29" s="92">
        <v>7615.805</v>
      </c>
      <c r="D29" s="92">
        <v>8193.28</v>
      </c>
      <c r="E29" s="92">
        <v>6722.69</v>
      </c>
      <c r="F29" s="92">
        <v>6422.012499999999</v>
      </c>
      <c r="G29" s="92">
        <v>4932.835</v>
      </c>
      <c r="H29" s="92">
        <v>5976.89</v>
      </c>
      <c r="I29" s="92">
        <v>6607.134</v>
      </c>
      <c r="J29" s="92"/>
      <c r="K29" s="92">
        <v>6512.61</v>
      </c>
      <c r="L29" s="92">
        <v>6542.733529411765</v>
      </c>
      <c r="Q29" s="287">
        <f t="shared" si="1"/>
        <v>0.164009655255624</v>
      </c>
      <c r="R29" s="287">
        <f t="shared" si="2"/>
        <v>0.25227169395918086</v>
      </c>
      <c r="S29" s="287">
        <f t="shared" si="3"/>
        <v>0.027504783708410353</v>
      </c>
      <c r="T29" s="287">
        <f t="shared" si="4"/>
        <v>-0.01845116095116584</v>
      </c>
      <c r="U29" s="287">
        <f t="shared" si="5"/>
        <v>-0.24605900915492507</v>
      </c>
      <c r="V29" s="287">
        <f t="shared" si="6"/>
        <v>-0.08648426943694243</v>
      </c>
      <c r="W29" s="287">
        <f t="shared" si="7"/>
        <v>0.009843052647449838</v>
      </c>
      <c r="X29" s="287">
        <f t="shared" si="8"/>
      </c>
      <c r="Y29" s="287">
        <f t="shared" si="9"/>
        <v>-0.004604119864632995</v>
      </c>
      <c r="Z29" s="288"/>
    </row>
    <row r="30" spans="2:26" ht="12.75">
      <c r="B30" s="96">
        <v>42818</v>
      </c>
      <c r="C30" s="92">
        <v>9978.994999999999</v>
      </c>
      <c r="D30" s="92">
        <v>8193.28</v>
      </c>
      <c r="E30" s="92"/>
      <c r="F30" s="92">
        <v>6047.835</v>
      </c>
      <c r="G30" s="92">
        <v>4842.445</v>
      </c>
      <c r="H30" s="92">
        <v>7267.334999999999</v>
      </c>
      <c r="I30" s="92">
        <v>6754.046666666666</v>
      </c>
      <c r="J30" s="92"/>
      <c r="K30" s="92">
        <v>6722.69</v>
      </c>
      <c r="L30" s="92">
        <v>7013.785555555556</v>
      </c>
      <c r="Q30" s="287">
        <f t="shared" si="1"/>
        <v>0.4227687631675205</v>
      </c>
      <c r="R30" s="287">
        <f t="shared" si="2"/>
        <v>0.16816802211897933</v>
      </c>
      <c r="S30" s="287">
        <f t="shared" si="3"/>
      </c>
      <c r="T30" s="287">
        <f t="shared" si="4"/>
        <v>-0.13772171217730422</v>
      </c>
      <c r="U30" s="287">
        <f t="shared" si="5"/>
        <v>-0.3095818282946585</v>
      </c>
      <c r="V30" s="287">
        <f t="shared" si="6"/>
        <v>0.036150156350818106</v>
      </c>
      <c r="W30" s="287">
        <f t="shared" si="7"/>
        <v>-0.037032624797482316</v>
      </c>
      <c r="X30" s="287">
        <f t="shared" si="8"/>
      </c>
      <c r="Y30" s="287">
        <f t="shared" si="9"/>
        <v>-0.041503344128476005</v>
      </c>
      <c r="Z30" s="288"/>
    </row>
    <row r="31" spans="2:26" ht="12.75">
      <c r="B31" s="96">
        <v>42821</v>
      </c>
      <c r="C31" s="92">
        <v>8142.01</v>
      </c>
      <c r="D31" s="92">
        <v>8193.28</v>
      </c>
      <c r="E31" s="92">
        <v>6722.69</v>
      </c>
      <c r="F31" s="92">
        <v>6567.446666666667</v>
      </c>
      <c r="G31" s="92">
        <v>5994.4</v>
      </c>
      <c r="H31" s="92">
        <v>6019.895</v>
      </c>
      <c r="I31" s="92">
        <v>6592.906</v>
      </c>
      <c r="J31" s="92"/>
      <c r="K31" s="92">
        <v>6722.69</v>
      </c>
      <c r="L31" s="92">
        <v>6873.692380952381</v>
      </c>
      <c r="Q31" s="287">
        <f t="shared" si="1"/>
        <v>0.1845176578693339</v>
      </c>
      <c r="R31" s="287">
        <f t="shared" si="2"/>
        <v>0.19197653108601645</v>
      </c>
      <c r="S31" s="287">
        <f t="shared" si="3"/>
        <v>-0.021968161009186703</v>
      </c>
      <c r="T31" s="287">
        <f t="shared" si="4"/>
        <v>-0.04455330516890006</v>
      </c>
      <c r="U31" s="287">
        <f t="shared" si="5"/>
        <v>-0.1279214041333854</v>
      </c>
      <c r="V31" s="287">
        <f t="shared" si="6"/>
        <v>-0.12421233503529051</v>
      </c>
      <c r="W31" s="287">
        <f t="shared" si="7"/>
        <v>-0.04084942493651094</v>
      </c>
      <c r="X31" s="287">
        <f t="shared" si="8"/>
      </c>
      <c r="Y31" s="287">
        <f t="shared" si="9"/>
        <v>-0.021968161009186703</v>
      </c>
      <c r="Z31" s="288"/>
    </row>
    <row r="32" spans="2:26" ht="12.75">
      <c r="B32" s="96">
        <v>42822</v>
      </c>
      <c r="C32" s="92">
        <v>9218.530000000002</v>
      </c>
      <c r="D32" s="92">
        <v>9996.26</v>
      </c>
      <c r="E32" s="92"/>
      <c r="F32" s="92">
        <v>5716.6225</v>
      </c>
      <c r="G32" s="92">
        <v>5239.74</v>
      </c>
      <c r="H32" s="92">
        <v>7749.655000000001</v>
      </c>
      <c r="I32" s="92">
        <v>6406.238333333332</v>
      </c>
      <c r="J32" s="92"/>
      <c r="K32" s="92">
        <v>6722.69</v>
      </c>
      <c r="L32" s="92">
        <v>7373.84904761905</v>
      </c>
      <c r="Q32" s="287">
        <f t="shared" si="1"/>
        <v>0.2501652719588264</v>
      </c>
      <c r="R32" s="287">
        <f t="shared" si="2"/>
        <v>0.3556366472171957</v>
      </c>
      <c r="S32" s="287">
        <f t="shared" si="3"/>
      </c>
      <c r="T32" s="287">
        <f t="shared" si="4"/>
        <v>-0.22474375823494153</v>
      </c>
      <c r="U32" s="287">
        <f t="shared" si="5"/>
        <v>-0.2894158849519892</v>
      </c>
      <c r="V32" s="287">
        <f t="shared" si="6"/>
        <v>0.05096469292415134</v>
      </c>
      <c r="W32" s="287">
        <f t="shared" si="7"/>
        <v>-0.13122193145493682</v>
      </c>
      <c r="X32" s="287">
        <f t="shared" si="8"/>
      </c>
      <c r="Y32" s="287">
        <f t="shared" si="9"/>
        <v>-0.08830653345545551</v>
      </c>
      <c r="Z32" s="288"/>
    </row>
    <row r="33" spans="2:26" ht="12.75">
      <c r="B33" s="96">
        <v>42823</v>
      </c>
      <c r="C33" s="92">
        <v>8663.835000000001</v>
      </c>
      <c r="D33" s="92">
        <v>8193.28</v>
      </c>
      <c r="E33" s="92">
        <v>5546.22</v>
      </c>
      <c r="F33" s="92">
        <v>5910.966666666667</v>
      </c>
      <c r="G33" s="92">
        <v>5388.04</v>
      </c>
      <c r="H33" s="92"/>
      <c r="I33" s="92">
        <v>6668.068333333334</v>
      </c>
      <c r="J33" s="92"/>
      <c r="K33" s="92">
        <v>6490.87</v>
      </c>
      <c r="L33" s="92">
        <v>6942.062352941176</v>
      </c>
      <c r="Q33" s="287">
        <f t="shared" si="1"/>
        <v>0.2480203374043959</v>
      </c>
      <c r="R33" s="287">
        <f t="shared" si="2"/>
        <v>0.1802371663413129</v>
      </c>
      <c r="S33" s="287">
        <f t="shared" si="3"/>
        <v>-0.20107027018416115</v>
      </c>
      <c r="T33" s="287">
        <f t="shared" si="4"/>
        <v>-0.14852872732231506</v>
      </c>
      <c r="U33" s="287">
        <f t="shared" si="5"/>
        <v>-0.2238560061741272</v>
      </c>
      <c r="V33" s="287">
        <f t="shared" si="6"/>
      </c>
      <c r="W33" s="287">
        <f t="shared" si="7"/>
        <v>-0.03946867741569017</v>
      </c>
      <c r="X33" s="287">
        <f t="shared" si="8"/>
      </c>
      <c r="Y33" s="287">
        <f t="shared" si="9"/>
        <v>-0.0649939931395196</v>
      </c>
      <c r="Z33" s="288"/>
    </row>
    <row r="34" spans="2:26" ht="14.25" customHeight="1">
      <c r="B34" s="96">
        <v>42824</v>
      </c>
      <c r="C34" s="92">
        <v>7178.633333333334</v>
      </c>
      <c r="D34" s="92">
        <v>8193.28</v>
      </c>
      <c r="E34" s="92"/>
      <c r="F34" s="92">
        <v>5397.24</v>
      </c>
      <c r="G34" s="92">
        <v>5204.545</v>
      </c>
      <c r="H34" s="92">
        <v>6871.25</v>
      </c>
      <c r="I34" s="92">
        <v>6389.5233333333335</v>
      </c>
      <c r="J34" s="92"/>
      <c r="K34" s="92">
        <v>6302.52</v>
      </c>
      <c r="L34" s="92">
        <v>6494.854375000002</v>
      </c>
      <c r="Q34" s="287">
        <f t="shared" si="1"/>
        <v>0.10528010619688948</v>
      </c>
      <c r="R34" s="287">
        <f t="shared" si="2"/>
        <v>0.26150326503663884</v>
      </c>
      <c r="S34" s="287">
        <f t="shared" si="3"/>
      </c>
      <c r="T34" s="287">
        <f t="shared" si="4"/>
        <v>-0.16899753429806524</v>
      </c>
      <c r="U34" s="287">
        <f t="shared" si="5"/>
        <v>-0.1986664058191453</v>
      </c>
      <c r="V34" s="287">
        <f t="shared" si="6"/>
        <v>0.05795289674989798</v>
      </c>
      <c r="W34" s="287">
        <f t="shared" si="7"/>
        <v>-0.016217614065699226</v>
      </c>
      <c r="X34" s="287">
        <f t="shared" si="8"/>
      </c>
      <c r="Y34" s="287">
        <f t="shared" si="9"/>
        <v>-0.029613346796555577</v>
      </c>
      <c r="Z34" s="288"/>
    </row>
    <row r="35" spans="2:26" ht="12.75">
      <c r="B35" s="90">
        <v>42825</v>
      </c>
      <c r="C35" s="147">
        <v>8084.0325</v>
      </c>
      <c r="D35" s="147">
        <v>9362.744999999999</v>
      </c>
      <c r="E35" s="147"/>
      <c r="F35" s="147">
        <v>6136.185</v>
      </c>
      <c r="G35" s="147">
        <v>5007.345</v>
      </c>
      <c r="H35" s="147">
        <v>6412.48</v>
      </c>
      <c r="I35" s="147">
        <v>6217.763333333332</v>
      </c>
      <c r="J35" s="147"/>
      <c r="K35" s="147">
        <v>6092.44</v>
      </c>
      <c r="L35" s="147">
        <v>6771.6275</v>
      </c>
      <c r="M35" s="234"/>
      <c r="Q35" s="287">
        <f t="shared" si="1"/>
        <v>0.19380939072623246</v>
      </c>
      <c r="R35" s="287">
        <f t="shared" si="2"/>
        <v>0.3826432419680497</v>
      </c>
      <c r="S35" s="287">
        <f t="shared" si="3"/>
      </c>
      <c r="T35" s="287">
        <f t="shared" si="4"/>
        <v>-0.09383896264228936</v>
      </c>
      <c r="U35" s="287">
        <f t="shared" si="5"/>
        <v>-0.26054039446204025</v>
      </c>
      <c r="V35" s="287">
        <f t="shared" si="6"/>
        <v>-0.053037102232808886</v>
      </c>
      <c r="W35" s="287">
        <f t="shared" si="7"/>
        <v>-0.0817918833643267</v>
      </c>
      <c r="X35" s="287">
        <f t="shared" si="8"/>
      </c>
      <c r="Y35" s="287">
        <f t="shared" si="9"/>
        <v>-0.10029900492902187</v>
      </c>
      <c r="Z35" s="288"/>
    </row>
    <row r="36" spans="2:15" ht="70.5" customHeight="1">
      <c r="B36" s="375" t="s">
        <v>270</v>
      </c>
      <c r="C36" s="375"/>
      <c r="D36" s="375"/>
      <c r="E36" s="375"/>
      <c r="F36" s="375"/>
      <c r="G36" s="375"/>
      <c r="H36" s="375"/>
      <c r="I36" s="375"/>
      <c r="J36" s="375"/>
      <c r="K36" s="375"/>
      <c r="L36" s="375"/>
      <c r="M36" s="376"/>
      <c r="N36" s="256"/>
      <c r="O36" s="257"/>
    </row>
    <row r="37" spans="16:26" ht="12.75">
      <c r="P37" s="289" t="s">
        <v>220</v>
      </c>
      <c r="Q37" s="290">
        <f>+AVERAGE(C13:C35)</f>
        <v>8666.06454347826</v>
      </c>
      <c r="R37" s="290">
        <f aca="true" t="shared" si="10" ref="R37:Z37">+AVERAGE(D13:D35)</f>
        <v>9214.399782608696</v>
      </c>
      <c r="S37" s="290">
        <f t="shared" si="10"/>
        <v>6330.533333333333</v>
      </c>
      <c r="T37" s="290">
        <f t="shared" si="10"/>
        <v>6485.629468253969</v>
      </c>
      <c r="U37" s="290">
        <f t="shared" si="10"/>
        <v>5883.485568181819</v>
      </c>
      <c r="V37" s="290">
        <f t="shared" si="10"/>
        <v>7219.344015151515</v>
      </c>
      <c r="W37" s="290">
        <f t="shared" si="10"/>
        <v>6659.158858178054</v>
      </c>
      <c r="X37" s="290" t="e">
        <f t="shared" si="10"/>
        <v>#DIV/0!</v>
      </c>
      <c r="Y37" s="290">
        <f t="shared" si="10"/>
        <v>6662.670530303031</v>
      </c>
      <c r="Z37" s="290">
        <f t="shared" si="10"/>
        <v>7197.296116398063</v>
      </c>
    </row>
    <row r="38" spans="17:26" ht="12.75">
      <c r="Q38" s="291">
        <f aca="true" t="shared" si="11" ref="Q38:Y38">+(Q37-$Z$37)/$Z$37</f>
        <v>0.20407225204112525</v>
      </c>
      <c r="R38" s="291">
        <f t="shared" si="11"/>
        <v>0.28025853509277415</v>
      </c>
      <c r="S38" s="291">
        <f t="shared" si="11"/>
        <v>-0.12042894568280002</v>
      </c>
      <c r="T38" s="291">
        <f t="shared" si="11"/>
        <v>-0.09887972325088272</v>
      </c>
      <c r="U38" s="291">
        <f t="shared" si="11"/>
        <v>-0.18254223905320563</v>
      </c>
      <c r="V38" s="291">
        <f t="shared" si="11"/>
        <v>0.00306335857200864</v>
      </c>
      <c r="W38" s="291">
        <f t="shared" si="11"/>
        <v>-0.07476936470543925</v>
      </c>
      <c r="X38" s="291" t="e">
        <f t="shared" si="11"/>
        <v>#DIV/0!</v>
      </c>
      <c r="Y38" s="291">
        <f t="shared" si="11"/>
        <v>-0.07428144923438117</v>
      </c>
      <c r="Z38" s="288"/>
    </row>
    <row r="40" spans="16:26" ht="12.75">
      <c r="P40" s="289"/>
      <c r="Q40" s="288"/>
      <c r="R40" s="288"/>
      <c r="S40" s="288"/>
      <c r="T40" s="288"/>
      <c r="U40" s="288"/>
      <c r="V40" s="288"/>
      <c r="W40" s="288"/>
      <c r="X40" s="288"/>
      <c r="Y40" s="288"/>
      <c r="Z40" s="288"/>
    </row>
    <row r="41" spans="16:26" ht="12.75">
      <c r="P41" s="289"/>
      <c r="Q41" s="288"/>
      <c r="R41" s="288"/>
      <c r="S41" s="288"/>
      <c r="T41" s="288"/>
      <c r="U41" s="288"/>
      <c r="V41" s="288"/>
      <c r="W41" s="288"/>
      <c r="X41" s="288"/>
      <c r="Y41" s="288"/>
      <c r="Z41" s="288"/>
    </row>
    <row r="55" ht="12.75"/>
    <row r="56" ht="12.75"/>
    <row r="57" ht="12.75"/>
    <row r="59" spans="3:12" ht="12.75">
      <c r="C59" s="41"/>
      <c r="D59" s="41"/>
      <c r="E59" s="41"/>
      <c r="F59" s="41"/>
      <c r="G59" s="41"/>
      <c r="H59" s="41"/>
      <c r="I59" s="41"/>
      <c r="J59" s="41"/>
      <c r="K59" s="41"/>
      <c r="L59" s="41"/>
    </row>
    <row r="60" ht="12.75">
      <c r="B60" s="258"/>
    </row>
    <row r="70" ht="12.75">
      <c r="G70" s="210"/>
    </row>
    <row r="71" ht="12.75">
      <c r="G71" s="210"/>
    </row>
  </sheetData>
  <sheetProtection/>
  <mergeCells count="4">
    <mergeCell ref="B36:M36"/>
    <mergeCell ref="B2:L2"/>
    <mergeCell ref="B3:L3"/>
    <mergeCell ref="B4:L4"/>
  </mergeCells>
  <conditionalFormatting sqref="Q37:Y37">
    <cfRule type="colorScale" priority="2"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F91"/>
  <sheetViews>
    <sheetView zoomScale="80" zoomScaleNormal="80" zoomScalePageLayoutView="0" workbookViewId="0" topLeftCell="A1">
      <selection activeCell="A1" sqref="A1"/>
    </sheetView>
  </sheetViews>
  <sheetFormatPr defaultColWidth="10.8515625" defaultRowHeight="15"/>
  <cols>
    <col min="1" max="1" width="1.8515625" style="35" customWidth="1"/>
    <col min="2" max="2" width="12.28125" style="35" customWidth="1"/>
    <col min="3" max="3" width="10.421875" style="56" customWidth="1"/>
    <col min="4" max="4" width="12.421875" style="56" customWidth="1"/>
    <col min="5" max="5" width="10.00390625" style="56" customWidth="1"/>
    <col min="6" max="6" width="12.8515625" style="35" customWidth="1"/>
    <col min="7" max="7" width="13.00390625" style="35" customWidth="1"/>
    <col min="8" max="8" width="12.421875" style="35" customWidth="1"/>
    <col min="9" max="9" width="14.28125" style="35" customWidth="1"/>
    <col min="10" max="10" width="15.00390625" style="35" customWidth="1"/>
    <col min="11" max="11" width="12.421875" style="35" customWidth="1"/>
    <col min="12" max="12" width="14.140625" style="35" customWidth="1"/>
    <col min="13" max="13" width="12.28125" style="35" customWidth="1"/>
    <col min="14" max="14" width="1.8515625" style="35" customWidth="1"/>
    <col min="15" max="15" width="10.8515625" style="35" customWidth="1"/>
    <col min="16" max="16" width="10.8515625" style="148" customWidth="1"/>
    <col min="17" max="17" width="13.00390625" style="285" hidden="1" customWidth="1"/>
    <col min="18" max="18" width="8.421875" style="285" hidden="1" customWidth="1"/>
    <col min="19" max="19" width="10.28125" style="285" hidden="1" customWidth="1"/>
    <col min="20" max="20" width="9.28125" style="285" hidden="1" customWidth="1"/>
    <col min="21" max="21" width="11.421875" style="285" hidden="1" customWidth="1"/>
    <col min="22" max="22" width="10.28125" style="285" hidden="1" customWidth="1"/>
    <col min="23" max="24" width="7.421875" style="285" hidden="1" customWidth="1"/>
    <col min="25" max="25" width="12.421875" style="285" hidden="1" customWidth="1"/>
    <col min="26" max="26" width="9.421875" style="285" hidden="1" customWidth="1"/>
    <col min="27" max="28" width="10.8515625" style="285" hidden="1" customWidth="1"/>
    <col min="29" max="29" width="10.8515625" style="148" customWidth="1"/>
    <col min="30" max="16384" width="10.8515625" style="35" customWidth="1"/>
  </cols>
  <sheetData>
    <row r="1" ht="4.5" customHeight="1"/>
    <row r="2" spans="2:17" ht="12.75">
      <c r="B2" s="374" t="s">
        <v>112</v>
      </c>
      <c r="C2" s="374"/>
      <c r="D2" s="374"/>
      <c r="E2" s="374"/>
      <c r="F2" s="374"/>
      <c r="G2" s="374"/>
      <c r="H2" s="374"/>
      <c r="I2" s="374"/>
      <c r="J2" s="374"/>
      <c r="K2" s="374"/>
      <c r="L2" s="374"/>
      <c r="M2" s="374"/>
      <c r="N2" s="101"/>
      <c r="O2" s="45" t="s">
        <v>151</v>
      </c>
      <c r="P2" s="150"/>
      <c r="Q2" s="292"/>
    </row>
    <row r="3" spans="2:14" ht="12.75">
      <c r="B3" s="374" t="s">
        <v>140</v>
      </c>
      <c r="C3" s="374"/>
      <c r="D3" s="374"/>
      <c r="E3" s="374"/>
      <c r="F3" s="374"/>
      <c r="G3" s="374"/>
      <c r="H3" s="374"/>
      <c r="I3" s="374"/>
      <c r="J3" s="374"/>
      <c r="K3" s="374"/>
      <c r="L3" s="374"/>
      <c r="M3" s="374"/>
      <c r="N3" s="101"/>
    </row>
    <row r="4" spans="2:14" ht="12.75">
      <c r="B4" s="374" t="s">
        <v>134</v>
      </c>
      <c r="C4" s="374"/>
      <c r="D4" s="374"/>
      <c r="E4" s="374"/>
      <c r="F4" s="374"/>
      <c r="G4" s="374"/>
      <c r="H4" s="374"/>
      <c r="I4" s="374"/>
      <c r="J4" s="374"/>
      <c r="K4" s="374"/>
      <c r="L4" s="374"/>
      <c r="M4" s="374"/>
      <c r="N4" s="101"/>
    </row>
    <row r="5" spans="2:27" ht="39" customHeight="1">
      <c r="B5" s="31" t="s">
        <v>65</v>
      </c>
      <c r="C5" s="32" t="s">
        <v>170</v>
      </c>
      <c r="D5" s="32" t="s">
        <v>180</v>
      </c>
      <c r="E5" s="32" t="s">
        <v>171</v>
      </c>
      <c r="F5" s="32" t="s">
        <v>172</v>
      </c>
      <c r="G5" s="32" t="s">
        <v>173</v>
      </c>
      <c r="H5" s="32" t="s">
        <v>174</v>
      </c>
      <c r="I5" s="32" t="s">
        <v>175</v>
      </c>
      <c r="J5" s="32" t="s">
        <v>161</v>
      </c>
      <c r="K5" s="32" t="s">
        <v>176</v>
      </c>
      <c r="L5" s="32" t="s">
        <v>177</v>
      </c>
      <c r="M5" s="32" t="s">
        <v>70</v>
      </c>
      <c r="N5" s="116"/>
      <c r="R5" s="293" t="s">
        <v>163</v>
      </c>
      <c r="S5" s="293" t="s">
        <v>233</v>
      </c>
      <c r="T5" s="293" t="s">
        <v>234</v>
      </c>
      <c r="U5" s="293" t="s">
        <v>172</v>
      </c>
      <c r="V5" s="293" t="s">
        <v>235</v>
      </c>
      <c r="W5" s="293" t="s">
        <v>236</v>
      </c>
      <c r="X5" s="293" t="s">
        <v>237</v>
      </c>
      <c r="Y5" s="293" t="s">
        <v>238</v>
      </c>
      <c r="Z5" s="293" t="s">
        <v>240</v>
      </c>
      <c r="AA5" s="293" t="s">
        <v>239</v>
      </c>
    </row>
    <row r="6" spans="2:27" ht="12.75">
      <c r="B6" s="93">
        <v>42786</v>
      </c>
      <c r="C6" s="94"/>
      <c r="D6" s="94">
        <v>8193.28</v>
      </c>
      <c r="E6" s="94">
        <v>6932.34</v>
      </c>
      <c r="F6" s="94">
        <v>6011.558333333334</v>
      </c>
      <c r="G6" s="94"/>
      <c r="H6" s="94">
        <v>5168.0650000000005</v>
      </c>
      <c r="I6" s="94"/>
      <c r="J6" s="94"/>
      <c r="K6" s="94">
        <v>7184.875</v>
      </c>
      <c r="L6" s="94">
        <v>5882.35</v>
      </c>
      <c r="M6" s="94">
        <v>6424.448125000001</v>
      </c>
      <c r="N6" s="117"/>
      <c r="R6" s="277">
        <f aca="true" t="shared" si="0" ref="R6:AA6">+IF(C6=0,"",(C6-$M6)/$M6)</f>
      </c>
      <c r="S6" s="277">
        <f t="shared" si="0"/>
        <v>0.27532822128593337</v>
      </c>
      <c r="T6" s="277">
        <f t="shared" si="0"/>
        <v>0.07905610958606647</v>
      </c>
      <c r="U6" s="277">
        <f t="shared" si="0"/>
        <v>-0.06426852293506011</v>
      </c>
      <c r="V6" s="277">
        <f t="shared" si="0"/>
      </c>
      <c r="W6" s="277">
        <f t="shared" si="0"/>
        <v>-0.1955628095292621</v>
      </c>
      <c r="X6" s="277">
        <f t="shared" si="0"/>
      </c>
      <c r="Y6" s="277">
        <f t="shared" si="0"/>
      </c>
      <c r="Z6" s="277">
        <f t="shared" si="0"/>
        <v>0.11836454434753477</v>
      </c>
      <c r="AA6" s="277">
        <f t="shared" si="0"/>
        <v>-0.08438049688509243</v>
      </c>
    </row>
    <row r="7" spans="2:27" ht="12.75">
      <c r="B7" s="93">
        <v>42787</v>
      </c>
      <c r="C7" s="94">
        <v>12184.87</v>
      </c>
      <c r="D7" s="94">
        <v>8193.28</v>
      </c>
      <c r="E7" s="94">
        <v>6922.77</v>
      </c>
      <c r="F7" s="94">
        <v>6500.633333333332</v>
      </c>
      <c r="G7" s="94">
        <v>8038</v>
      </c>
      <c r="H7" s="94">
        <v>5042.02</v>
      </c>
      <c r="I7" s="94">
        <v>4411.76</v>
      </c>
      <c r="J7" s="94">
        <v>6512.61</v>
      </c>
      <c r="K7" s="94">
        <v>7104.66</v>
      </c>
      <c r="L7" s="94">
        <v>6302.52</v>
      </c>
      <c r="M7" s="94">
        <v>6963.608333333334</v>
      </c>
      <c r="N7" s="117"/>
      <c r="O7" s="224"/>
      <c r="R7" s="277">
        <f aca="true" t="shared" si="1" ref="R7:R35">+IF(C7=0,"",(C7-$M7)/$M7)</f>
        <v>0.7497925524721978</v>
      </c>
      <c r="S7" s="277">
        <f aca="true" t="shared" si="2" ref="S7:S35">+IF(D7=0,"",(D7-$M7)/$M7)</f>
        <v>0.17658541488907217</v>
      </c>
      <c r="T7" s="277">
        <f aca="true" t="shared" si="3" ref="T7:T35">+IF(E7=0,"",(E7-$M7)/$M7)</f>
        <v>-0.005864536225831168</v>
      </c>
      <c r="U7" s="277">
        <f aca="true" t="shared" si="4" ref="U7:U35">+IF(F7=0,"",(F7-$M7)/$M7)</f>
        <v>-0.06648492819216109</v>
      </c>
      <c r="V7" s="277">
        <f aca="true" t="shared" si="5" ref="V7:V35">+IF(G7=0,"",(G7-$M7)/$M7)</f>
        <v>0.15428663061415712</v>
      </c>
      <c r="W7" s="277">
        <f aca="true" t="shared" si="6" ref="W7:W35">+IF(H7=0,"",(H7-$M7)/$M7)</f>
        <v>-0.27594721606255374</v>
      </c>
      <c r="X7" s="277">
        <f aca="true" t="shared" si="7" ref="X7:X35">+IF(I7=0,"",(I7-$M7)/$M7)</f>
        <v>-0.3664548910825685</v>
      </c>
      <c r="Y7" s="277">
        <f aca="true" t="shared" si="8" ref="Y7:Y35">+IF(J7=0,"",(J7-$M7)/$M7)</f>
        <v>-0.06476503441103938</v>
      </c>
      <c r="Z7" s="277">
        <f aca="true" t="shared" si="9" ref="Z7:Z35">+IF(K7=0,"",(K7-$M7)/$M7)</f>
        <v>0.02025554280407781</v>
      </c>
      <c r="AA7" s="277">
        <f aca="true" t="shared" si="10" ref="AA7:AA35">+IF(L7=0,"",(L7-$M7)/$M7)</f>
        <v>-0.09493473809674818</v>
      </c>
    </row>
    <row r="8" spans="2:27" ht="12.75">
      <c r="B8" s="93">
        <v>42788</v>
      </c>
      <c r="C8" s="94">
        <v>12675.07</v>
      </c>
      <c r="D8" s="94">
        <v>8193.28</v>
      </c>
      <c r="E8" s="94">
        <v>7574.865</v>
      </c>
      <c r="F8" s="94">
        <v>6196.8525</v>
      </c>
      <c r="G8" s="94"/>
      <c r="H8" s="94">
        <v>5042.02</v>
      </c>
      <c r="I8" s="94"/>
      <c r="J8" s="94"/>
      <c r="K8" s="94">
        <v>7189.54</v>
      </c>
      <c r="L8" s="94">
        <v>6302.52</v>
      </c>
      <c r="M8" s="94">
        <v>7708.301538461538</v>
      </c>
      <c r="N8" s="117"/>
      <c r="O8" s="224"/>
      <c r="R8" s="277">
        <f t="shared" si="1"/>
        <v>0.644340187881357</v>
      </c>
      <c r="S8" s="277">
        <f t="shared" si="2"/>
        <v>0.0629163842538595</v>
      </c>
      <c r="T8" s="277">
        <f t="shared" si="3"/>
        <v>-0.017310757473062013</v>
      </c>
      <c r="U8" s="277">
        <f t="shared" si="4"/>
        <v>-0.1960806840417404</v>
      </c>
      <c r="V8" s="277">
        <f t="shared" si="5"/>
      </c>
      <c r="W8" s="277">
        <f t="shared" si="6"/>
        <v>-0.3458974101049098</v>
      </c>
      <c r="X8" s="277">
        <f t="shared" si="7"/>
      </c>
      <c r="Y8" s="277">
        <f t="shared" si="8"/>
      </c>
      <c r="Z8" s="277">
        <f t="shared" si="9"/>
        <v>-0.06729907176997585</v>
      </c>
      <c r="AA8" s="277">
        <f t="shared" si="10"/>
        <v>-0.18237241128246143</v>
      </c>
    </row>
    <row r="9" spans="2:27" ht="12.75">
      <c r="B9" s="93">
        <v>42789</v>
      </c>
      <c r="C9" s="94"/>
      <c r="D9" s="94">
        <v>8319.33</v>
      </c>
      <c r="E9" s="94">
        <v>7254.84</v>
      </c>
      <c r="F9" s="94">
        <v>6046.6900000000005</v>
      </c>
      <c r="G9" s="94">
        <v>8804.575</v>
      </c>
      <c r="H9" s="94">
        <v>5252.1</v>
      </c>
      <c r="I9" s="94">
        <v>4621.85</v>
      </c>
      <c r="J9" s="94"/>
      <c r="K9" s="94">
        <v>6986.795</v>
      </c>
      <c r="L9" s="94">
        <v>6302.52</v>
      </c>
      <c r="M9" s="94">
        <v>6729.0058823529425</v>
      </c>
      <c r="N9" s="117"/>
      <c r="O9" s="224"/>
      <c r="R9" s="277">
        <f t="shared" si="1"/>
      </c>
      <c r="S9" s="277">
        <f t="shared" si="2"/>
        <v>0.2363386428027562</v>
      </c>
      <c r="T9" s="277">
        <f t="shared" si="3"/>
        <v>0.07814439856949394</v>
      </c>
      <c r="U9" s="277">
        <f t="shared" si="4"/>
        <v>-0.10139921026705292</v>
      </c>
      <c r="V9" s="277">
        <f t="shared" si="5"/>
        <v>0.30845107790592247</v>
      </c>
      <c r="W9" s="277">
        <f t="shared" si="6"/>
        <v>-0.21948351779958766</v>
      </c>
      <c r="X9" s="277">
        <f t="shared" si="7"/>
        <v>-0.31314519844291316</v>
      </c>
      <c r="Y9" s="277">
        <f t="shared" si="8"/>
      </c>
      <c r="Z9" s="277">
        <f t="shared" si="9"/>
        <v>0.03831013409025524</v>
      </c>
      <c r="AA9" s="277">
        <f t="shared" si="10"/>
        <v>-0.0633802213595052</v>
      </c>
    </row>
    <row r="10" spans="2:27" ht="12.75">
      <c r="B10" s="93">
        <v>42790</v>
      </c>
      <c r="C10" s="94">
        <v>12605.04</v>
      </c>
      <c r="D10" s="94">
        <v>8319.33</v>
      </c>
      <c r="E10" s="94">
        <v>8203.28</v>
      </c>
      <c r="F10" s="94">
        <v>6558.764</v>
      </c>
      <c r="G10" s="94"/>
      <c r="H10" s="94">
        <v>5462.185</v>
      </c>
      <c r="I10" s="94">
        <v>4831.93</v>
      </c>
      <c r="J10" s="94">
        <v>6932.77</v>
      </c>
      <c r="K10" s="94">
        <v>7068.71</v>
      </c>
      <c r="L10" s="94">
        <v>6302.52</v>
      </c>
      <c r="M10" s="94">
        <v>7096.648333333336</v>
      </c>
      <c r="N10" s="117"/>
      <c r="O10" s="224"/>
      <c r="R10" s="277">
        <f t="shared" si="1"/>
        <v>0.7761962278437068</v>
      </c>
      <c r="S10" s="277">
        <f t="shared" si="2"/>
        <v>0.17229001765857024</v>
      </c>
      <c r="T10" s="277">
        <f t="shared" si="3"/>
        <v>0.15593722764431717</v>
      </c>
      <c r="U10" s="277">
        <f t="shared" si="4"/>
        <v>-0.07579413662177181</v>
      </c>
      <c r="V10" s="277">
        <f t="shared" si="5"/>
      </c>
      <c r="W10" s="277">
        <f t="shared" si="6"/>
        <v>-0.23031482702280376</v>
      </c>
      <c r="X10" s="277">
        <f t="shared" si="7"/>
        <v>-0.31912506114975897</v>
      </c>
      <c r="Y10" s="277">
        <f t="shared" si="8"/>
        <v>-0.02309235650914116</v>
      </c>
      <c r="Z10" s="277">
        <f t="shared" si="9"/>
        <v>-0.003936834970687273</v>
      </c>
      <c r="AA10" s="277">
        <f t="shared" si="10"/>
        <v>-0.11190188607814659</v>
      </c>
    </row>
    <row r="11" spans="2:27" ht="12.75">
      <c r="B11" s="91">
        <v>42793</v>
      </c>
      <c r="C11" s="92">
        <v>12965.19</v>
      </c>
      <c r="D11" s="92">
        <v>8193.28</v>
      </c>
      <c r="E11" s="92">
        <v>7252.905</v>
      </c>
      <c r="F11" s="92">
        <v>6724.45</v>
      </c>
      <c r="G11" s="92"/>
      <c r="H11" s="92">
        <v>5042.02</v>
      </c>
      <c r="I11" s="92">
        <v>4831.93</v>
      </c>
      <c r="J11" s="92"/>
      <c r="K11" s="92">
        <v>7142.86</v>
      </c>
      <c r="L11" s="92">
        <v>5882.35</v>
      </c>
      <c r="M11" s="92">
        <v>7111.982000000001</v>
      </c>
      <c r="N11" s="117"/>
      <c r="O11" s="224"/>
      <c r="R11" s="277">
        <f t="shared" si="1"/>
        <v>0.82300658241261</v>
      </c>
      <c r="S11" s="277">
        <f t="shared" si="2"/>
        <v>0.15203891123458968</v>
      </c>
      <c r="T11" s="277">
        <f t="shared" si="3"/>
        <v>0.019814870172618387</v>
      </c>
      <c r="U11" s="277">
        <f t="shared" si="4"/>
        <v>-0.05449001417607652</v>
      </c>
      <c r="V11" s="277">
        <f t="shared" si="5"/>
      </c>
      <c r="W11" s="277">
        <f t="shared" si="6"/>
        <v>-0.2910527613821295</v>
      </c>
      <c r="X11" s="277">
        <f t="shared" si="7"/>
        <v>-0.32059304986992376</v>
      </c>
      <c r="Y11" s="277">
        <f t="shared" si="8"/>
      </c>
      <c r="Z11" s="277">
        <f t="shared" si="9"/>
        <v>0.004341687029016494</v>
      </c>
      <c r="AA11" s="277">
        <f t="shared" si="10"/>
        <v>-0.17289582566435072</v>
      </c>
    </row>
    <row r="12" spans="2:27" ht="12.75">
      <c r="B12" s="91">
        <v>42794</v>
      </c>
      <c r="C12" s="92">
        <v>12992.89</v>
      </c>
      <c r="D12" s="92">
        <v>8193.28</v>
      </c>
      <c r="E12" s="92">
        <v>7168.07</v>
      </c>
      <c r="F12" s="92">
        <v>7843.954999999999</v>
      </c>
      <c r="G12" s="92">
        <v>8830.76</v>
      </c>
      <c r="H12" s="92">
        <v>5282.11</v>
      </c>
      <c r="I12" s="92">
        <v>4831.93</v>
      </c>
      <c r="J12" s="92">
        <v>6948.07</v>
      </c>
      <c r="K12" s="92">
        <v>7184.875</v>
      </c>
      <c r="L12" s="92">
        <v>6302.52</v>
      </c>
      <c r="M12" s="92">
        <v>7591.705238095238</v>
      </c>
      <c r="N12" s="117"/>
      <c r="O12" s="224"/>
      <c r="R12" s="277">
        <f t="shared" si="1"/>
        <v>0.7114587029540573</v>
      </c>
      <c r="S12" s="277">
        <f t="shared" si="2"/>
        <v>0.07924105889755248</v>
      </c>
      <c r="T12" s="277">
        <f t="shared" si="3"/>
        <v>-0.05580238231187289</v>
      </c>
      <c r="U12" s="277">
        <f t="shared" si="4"/>
        <v>0.033227022650849175</v>
      </c>
      <c r="V12" s="277">
        <f t="shared" si="5"/>
        <v>0.16321165311940394</v>
      </c>
      <c r="W12" s="277">
        <f t="shared" si="6"/>
        <v>-0.30422614757296834</v>
      </c>
      <c r="X12" s="277">
        <f t="shared" si="7"/>
        <v>-0.36352507790300703</v>
      </c>
      <c r="Y12" s="277">
        <f t="shared" si="8"/>
        <v>-0.08478137887460009</v>
      </c>
      <c r="Z12" s="277">
        <f t="shared" si="9"/>
        <v>-0.05358878214261544</v>
      </c>
      <c r="AA12" s="277">
        <f t="shared" si="10"/>
        <v>-0.16981497537945703</v>
      </c>
    </row>
    <row r="13" spans="2:27" ht="12.75">
      <c r="B13" s="91">
        <v>42795</v>
      </c>
      <c r="C13" s="92">
        <v>13865.55</v>
      </c>
      <c r="D13" s="92">
        <v>8193.28</v>
      </c>
      <c r="E13" s="92">
        <v>7225.8150000000005</v>
      </c>
      <c r="F13" s="92">
        <v>7606.943333333334</v>
      </c>
      <c r="G13" s="92">
        <v>7993.97</v>
      </c>
      <c r="H13" s="92">
        <v>5602.240000000001</v>
      </c>
      <c r="I13" s="92">
        <v>4831.93</v>
      </c>
      <c r="J13" s="92"/>
      <c r="K13" s="92"/>
      <c r="L13" s="92">
        <v>6722.69</v>
      </c>
      <c r="M13" s="92">
        <v>7412.411111111112</v>
      </c>
      <c r="N13" s="117"/>
      <c r="O13" s="224"/>
      <c r="R13" s="277">
        <f t="shared" si="1"/>
        <v>0.8705856693803331</v>
      </c>
      <c r="S13" s="277">
        <f t="shared" si="2"/>
        <v>0.10534613868331931</v>
      </c>
      <c r="T13" s="277">
        <f t="shared" si="3"/>
        <v>-0.0251734703207984</v>
      </c>
      <c r="U13" s="277">
        <f t="shared" si="4"/>
        <v>0.026244122095524333</v>
      </c>
      <c r="V13" s="277">
        <f t="shared" si="5"/>
        <v>0.0784574519911798</v>
      </c>
      <c r="W13" s="277">
        <f t="shared" si="6"/>
        <v>-0.2442081374031842</v>
      </c>
      <c r="X13" s="277">
        <f t="shared" si="7"/>
        <v>-0.3481297883279845</v>
      </c>
      <c r="Y13" s="277">
        <f t="shared" si="8"/>
      </c>
      <c r="Z13" s="277">
        <f t="shared" si="9"/>
      </c>
      <c r="AA13" s="277">
        <f t="shared" si="10"/>
        <v>-0.09304949506608308</v>
      </c>
    </row>
    <row r="14" spans="2:27" ht="12.75">
      <c r="B14" s="91">
        <v>42796</v>
      </c>
      <c r="C14" s="92">
        <v>12605.04</v>
      </c>
      <c r="D14" s="92">
        <v>8319.33</v>
      </c>
      <c r="E14" s="92">
        <v>7004.4400000000005</v>
      </c>
      <c r="F14" s="92">
        <v>8259.6475</v>
      </c>
      <c r="G14" s="92"/>
      <c r="H14" s="92">
        <v>5462.185</v>
      </c>
      <c r="I14" s="92"/>
      <c r="J14" s="92"/>
      <c r="K14" s="92">
        <v>7142.86</v>
      </c>
      <c r="L14" s="92">
        <v>6302.52</v>
      </c>
      <c r="M14" s="92">
        <v>7640.2457142857165</v>
      </c>
      <c r="N14" s="117"/>
      <c r="O14" s="224"/>
      <c r="R14" s="277">
        <f t="shared" si="1"/>
        <v>0.649821284730558</v>
      </c>
      <c r="S14" s="277">
        <f t="shared" si="2"/>
        <v>0.08888251911120253</v>
      </c>
      <c r="T14" s="277">
        <f t="shared" si="3"/>
        <v>-0.08321796681183796</v>
      </c>
      <c r="U14" s="277">
        <f t="shared" si="4"/>
        <v>0.0810709247944901</v>
      </c>
      <c r="V14" s="277">
        <f t="shared" si="5"/>
      </c>
      <c r="W14" s="277">
        <f t="shared" si="6"/>
        <v>-0.285077312397582</v>
      </c>
      <c r="X14" s="277">
        <f t="shared" si="7"/>
      </c>
      <c r="Y14" s="277">
        <f t="shared" si="8"/>
      </c>
      <c r="Z14" s="277">
        <f t="shared" si="9"/>
        <v>-0.06510074844264577</v>
      </c>
      <c r="AA14" s="277">
        <f t="shared" si="10"/>
        <v>-0.17508935763472097</v>
      </c>
    </row>
    <row r="15" spans="2:27" ht="12.75">
      <c r="B15" s="91">
        <v>42797</v>
      </c>
      <c r="C15" s="92">
        <v>12643.240000000002</v>
      </c>
      <c r="D15" s="92">
        <v>8319.33</v>
      </c>
      <c r="E15" s="92">
        <v>6936.334999999999</v>
      </c>
      <c r="F15" s="92">
        <v>7689.773333333334</v>
      </c>
      <c r="G15" s="92">
        <v>8863.635</v>
      </c>
      <c r="H15" s="92">
        <v>5602.240000000001</v>
      </c>
      <c r="I15" s="92">
        <v>4831.93</v>
      </c>
      <c r="J15" s="92">
        <v>7046.33</v>
      </c>
      <c r="K15" s="92">
        <v>7189.54</v>
      </c>
      <c r="L15" s="92">
        <v>6302.52</v>
      </c>
      <c r="M15" s="92">
        <v>7616.93956521739</v>
      </c>
      <c r="N15" s="117"/>
      <c r="O15" s="224"/>
      <c r="R15" s="277">
        <f t="shared" si="1"/>
        <v>0.6598845102743256</v>
      </c>
      <c r="S15" s="277">
        <f t="shared" si="2"/>
        <v>0.09221425859672863</v>
      </c>
      <c r="T15" s="277">
        <f t="shared" si="3"/>
        <v>-0.08935407185391868</v>
      </c>
      <c r="U15" s="277">
        <f t="shared" si="4"/>
        <v>0.009562077720629246</v>
      </c>
      <c r="V15" s="277">
        <f t="shared" si="5"/>
        <v>0.16367406149257394</v>
      </c>
      <c r="W15" s="277">
        <f t="shared" si="6"/>
        <v>-0.26450250103302336</v>
      </c>
      <c r="X15" s="277">
        <f t="shared" si="7"/>
        <v>-0.3656336697136318</v>
      </c>
      <c r="Y15" s="277">
        <f t="shared" si="8"/>
        <v>-0.07491323258268552</v>
      </c>
      <c r="Z15" s="277">
        <f t="shared" si="9"/>
        <v>-0.05611171804081286</v>
      </c>
      <c r="AA15" s="277">
        <f t="shared" si="10"/>
        <v>-0.17256531366215133</v>
      </c>
    </row>
    <row r="16" spans="2:32" ht="12.75">
      <c r="B16" s="91">
        <v>42800</v>
      </c>
      <c r="C16" s="92"/>
      <c r="D16" s="92">
        <v>8193.28</v>
      </c>
      <c r="E16" s="92">
        <v>6524.965</v>
      </c>
      <c r="F16" s="92">
        <v>8127.332</v>
      </c>
      <c r="G16" s="92"/>
      <c r="H16" s="92">
        <v>5508.87</v>
      </c>
      <c r="I16" s="92">
        <v>4789.92</v>
      </c>
      <c r="J16" s="92"/>
      <c r="K16" s="92">
        <v>7181.05</v>
      </c>
      <c r="L16" s="92">
        <v>6302.52</v>
      </c>
      <c r="M16" s="92">
        <v>7154.145000000001</v>
      </c>
      <c r="N16" s="117"/>
      <c r="O16" s="224"/>
      <c r="R16" s="277">
        <f t="shared" si="1"/>
      </c>
      <c r="S16" s="277">
        <f t="shared" si="2"/>
        <v>0.1452493624325477</v>
      </c>
      <c r="T16" s="277">
        <f t="shared" si="3"/>
        <v>-0.08794621859076117</v>
      </c>
      <c r="U16" s="277">
        <f t="shared" si="4"/>
        <v>0.136031209879028</v>
      </c>
      <c r="V16" s="277">
        <f t="shared" si="5"/>
      </c>
      <c r="W16" s="277">
        <f t="shared" si="6"/>
        <v>-0.22997507039625295</v>
      </c>
      <c r="X16" s="277">
        <f t="shared" si="7"/>
        <v>-0.330469259429324</v>
      </c>
      <c r="Y16" s="277">
        <f t="shared" si="8"/>
      </c>
      <c r="Z16" s="277">
        <f t="shared" si="9"/>
        <v>0.0037607568759088377</v>
      </c>
      <c r="AA16" s="277">
        <f t="shared" si="10"/>
        <v>-0.11903938206452354</v>
      </c>
      <c r="AE16" s="224"/>
      <c r="AF16" s="224"/>
    </row>
    <row r="17" spans="2:32" ht="12.75">
      <c r="B17" s="91">
        <v>42801</v>
      </c>
      <c r="C17" s="92">
        <v>11904.76</v>
      </c>
      <c r="D17" s="92">
        <v>8193.28</v>
      </c>
      <c r="E17" s="92">
        <v>6718.125</v>
      </c>
      <c r="F17" s="92">
        <v>7456.041428571429</v>
      </c>
      <c r="G17" s="92">
        <v>8828.425</v>
      </c>
      <c r="H17" s="92">
        <v>6302.52</v>
      </c>
      <c r="I17" s="92">
        <v>4831.93</v>
      </c>
      <c r="J17" s="92">
        <v>6302.52</v>
      </c>
      <c r="K17" s="92">
        <v>7142.86</v>
      </c>
      <c r="L17" s="92">
        <v>6302.52</v>
      </c>
      <c r="M17" s="92">
        <v>7384.004761904761</v>
      </c>
      <c r="N17" s="117"/>
      <c r="O17" s="224"/>
      <c r="R17" s="277">
        <f t="shared" si="1"/>
        <v>0.6122362300493798</v>
      </c>
      <c r="S17" s="277">
        <f t="shared" si="2"/>
        <v>0.10959841768662144</v>
      </c>
      <c r="T17" s="277">
        <f t="shared" si="3"/>
        <v>-0.09017867449654679</v>
      </c>
      <c r="U17" s="277">
        <f t="shared" si="4"/>
        <v>0.009755771967850865</v>
      </c>
      <c r="V17" s="277">
        <f t="shared" si="5"/>
        <v>0.19561474899735018</v>
      </c>
      <c r="W17" s="277">
        <f t="shared" si="6"/>
        <v>-0.14646317232679887</v>
      </c>
      <c r="X17" s="277">
        <f t="shared" si="7"/>
        <v>-0.3456220363062758</v>
      </c>
      <c r="Y17" s="277">
        <f t="shared" si="8"/>
        <v>-0.14646317232679887</v>
      </c>
      <c r="Z17" s="277">
        <f t="shared" si="9"/>
        <v>-0.0326577202589122</v>
      </c>
      <c r="AA17" s="277">
        <f t="shared" si="10"/>
        <v>-0.14646317232679887</v>
      </c>
      <c r="AE17" s="224"/>
      <c r="AF17" s="224"/>
    </row>
    <row r="18" spans="2:32" ht="12.75">
      <c r="B18" s="91">
        <v>42802</v>
      </c>
      <c r="C18" s="92">
        <v>11764.71</v>
      </c>
      <c r="D18" s="92">
        <v>8193.28</v>
      </c>
      <c r="E18" s="92">
        <v>6512.605</v>
      </c>
      <c r="F18" s="92">
        <v>7428.505999999999</v>
      </c>
      <c r="G18" s="92"/>
      <c r="H18" s="92">
        <v>5672.27</v>
      </c>
      <c r="I18" s="92">
        <v>5210.08</v>
      </c>
      <c r="J18" s="92"/>
      <c r="K18" s="92"/>
      <c r="L18" s="92">
        <v>6302.52</v>
      </c>
      <c r="M18" s="92">
        <v>7165.244666666668</v>
      </c>
      <c r="N18" s="117"/>
      <c r="O18" s="224"/>
      <c r="R18" s="277">
        <f t="shared" si="1"/>
        <v>0.6419132279921211</v>
      </c>
      <c r="S18" s="277">
        <f t="shared" si="2"/>
        <v>0.1434752588583389</v>
      </c>
      <c r="T18" s="277">
        <f t="shared" si="3"/>
        <v>-0.09108407277462616</v>
      </c>
      <c r="U18" s="277">
        <f t="shared" si="4"/>
        <v>0.03674142971810095</v>
      </c>
      <c r="V18" s="277">
        <f t="shared" si="5"/>
      </c>
      <c r="W18" s="277">
        <f t="shared" si="6"/>
        <v>-0.20836338968466964</v>
      </c>
      <c r="X18" s="277">
        <f t="shared" si="7"/>
        <v>-0.272867816470003</v>
      </c>
      <c r="Y18" s="277">
        <f t="shared" si="8"/>
      </c>
      <c r="Z18" s="277">
        <f t="shared" si="9"/>
      </c>
      <c r="AA18" s="277">
        <f t="shared" si="10"/>
        <v>-0.12040407645535635</v>
      </c>
      <c r="AE18" s="224"/>
      <c r="AF18" s="224"/>
    </row>
    <row r="19" spans="2:32" ht="12.75">
      <c r="B19" s="91">
        <v>42803</v>
      </c>
      <c r="C19" s="92"/>
      <c r="D19" s="92">
        <v>8319.33</v>
      </c>
      <c r="E19" s="92">
        <v>6617.65</v>
      </c>
      <c r="F19" s="92">
        <v>7695.831666666666</v>
      </c>
      <c r="G19" s="92">
        <v>10004.000000000002</v>
      </c>
      <c r="H19" s="92">
        <v>6302.52</v>
      </c>
      <c r="I19" s="92">
        <v>5210.08</v>
      </c>
      <c r="J19" s="92"/>
      <c r="K19" s="92">
        <v>7082.83</v>
      </c>
      <c r="L19" s="92">
        <v>6302.52</v>
      </c>
      <c r="M19" s="92">
        <v>7555.996842105264</v>
      </c>
      <c r="N19" s="117"/>
      <c r="O19" s="224"/>
      <c r="R19" s="277">
        <f t="shared" si="1"/>
      </c>
      <c r="S19" s="277">
        <f t="shared" si="2"/>
        <v>0.1010234882102009</v>
      </c>
      <c r="T19" s="277">
        <f t="shared" si="3"/>
        <v>-0.12418571125869082</v>
      </c>
      <c r="U19" s="277">
        <f t="shared" si="4"/>
        <v>0.018506469428650724</v>
      </c>
      <c r="V19" s="277">
        <f t="shared" si="5"/>
        <v>0.323981495631842</v>
      </c>
      <c r="W19" s="277">
        <f t="shared" si="6"/>
        <v>-0.16589165775193965</v>
      </c>
      <c r="X19" s="277">
        <f t="shared" si="7"/>
        <v>-0.31047086057961354</v>
      </c>
      <c r="Y19" s="277">
        <f t="shared" si="8"/>
      </c>
      <c r="Z19" s="277">
        <f t="shared" si="9"/>
        <v>-0.06262136578307902</v>
      </c>
      <c r="AA19" s="277">
        <f t="shared" si="10"/>
        <v>-0.16589165775193965</v>
      </c>
      <c r="AE19" s="224"/>
      <c r="AF19" s="224"/>
    </row>
    <row r="20" spans="2:32" ht="12.75">
      <c r="B20" s="91">
        <v>42804</v>
      </c>
      <c r="C20" s="92">
        <v>12201.68</v>
      </c>
      <c r="D20" s="92">
        <v>8319.33</v>
      </c>
      <c r="E20" s="92">
        <v>6502.86</v>
      </c>
      <c r="F20" s="92">
        <v>7181.044</v>
      </c>
      <c r="G20" s="92"/>
      <c r="H20" s="92">
        <v>5462.185</v>
      </c>
      <c r="I20" s="92">
        <v>5252.1</v>
      </c>
      <c r="J20" s="92">
        <v>5462.18</v>
      </c>
      <c r="K20" s="92">
        <v>7202.88</v>
      </c>
      <c r="L20" s="92">
        <v>6302.52</v>
      </c>
      <c r="M20" s="92">
        <v>7011.63823529412</v>
      </c>
      <c r="N20" s="117"/>
      <c r="O20" s="224"/>
      <c r="R20" s="277">
        <f t="shared" si="1"/>
        <v>0.7402038711268696</v>
      </c>
      <c r="S20" s="277">
        <f t="shared" si="2"/>
        <v>0.1865030283683804</v>
      </c>
      <c r="T20" s="277">
        <f t="shared" si="3"/>
        <v>-0.072561963156215</v>
      </c>
      <c r="U20" s="277">
        <f t="shared" si="4"/>
        <v>0.0241606539044115</v>
      </c>
      <c r="V20" s="277">
        <f t="shared" si="5"/>
      </c>
      <c r="W20" s="277">
        <f t="shared" si="6"/>
        <v>-0.22098305464402274</v>
      </c>
      <c r="X20" s="277">
        <f t="shared" si="7"/>
        <v>-0.2509453819846585</v>
      </c>
      <c r="Y20" s="277">
        <f t="shared" si="8"/>
        <v>-0.2209837677441332</v>
      </c>
      <c r="Z20" s="277">
        <f t="shared" si="9"/>
        <v>0.027274904706754026</v>
      </c>
      <c r="AA20" s="277">
        <f t="shared" si="10"/>
        <v>-0.10113445838159017</v>
      </c>
      <c r="AE20" s="224"/>
      <c r="AF20" s="224"/>
    </row>
    <row r="21" spans="2:27" ht="12.75">
      <c r="B21" s="91">
        <v>42807</v>
      </c>
      <c r="C21" s="92"/>
      <c r="D21" s="92">
        <v>8193.28</v>
      </c>
      <c r="E21" s="92">
        <v>6400.79</v>
      </c>
      <c r="F21" s="92">
        <v>7753.740000000001</v>
      </c>
      <c r="G21" s="92"/>
      <c r="H21" s="92">
        <v>6302.52</v>
      </c>
      <c r="I21" s="92">
        <v>5240.64</v>
      </c>
      <c r="J21" s="92"/>
      <c r="K21" s="92">
        <v>7018.72</v>
      </c>
      <c r="L21" s="92">
        <v>6302.52</v>
      </c>
      <c r="M21" s="92">
        <v>6916.830769230771</v>
      </c>
      <c r="N21" s="117"/>
      <c r="O21" s="224"/>
      <c r="R21" s="277">
        <f t="shared" si="1"/>
      </c>
      <c r="S21" s="277">
        <f t="shared" si="2"/>
        <v>0.18454249834294925</v>
      </c>
      <c r="T21" s="277">
        <f t="shared" si="3"/>
        <v>-0.0746065338950255</v>
      </c>
      <c r="U21" s="277">
        <f t="shared" si="4"/>
        <v>0.12099605421780525</v>
      </c>
      <c r="V21" s="277">
        <f t="shared" si="5"/>
      </c>
      <c r="W21" s="277">
        <f t="shared" si="6"/>
        <v>-0.08881390765891017</v>
      </c>
      <c r="X21" s="277">
        <f t="shared" si="7"/>
        <v>-0.2423350845429433</v>
      </c>
      <c r="Y21" s="277">
        <f t="shared" si="8"/>
      </c>
      <c r="Z21" s="277">
        <f t="shared" si="9"/>
        <v>0.014730623629318705</v>
      </c>
      <c r="AA21" s="277">
        <f t="shared" si="10"/>
        <v>-0.08881390765891017</v>
      </c>
    </row>
    <row r="22" spans="2:27" ht="12.75">
      <c r="B22" s="91">
        <v>42808</v>
      </c>
      <c r="C22" s="92">
        <v>11700.06</v>
      </c>
      <c r="D22" s="92">
        <v>8193.28</v>
      </c>
      <c r="E22" s="92">
        <v>6394.17</v>
      </c>
      <c r="F22" s="92">
        <v>7807.164285714286</v>
      </c>
      <c r="G22" s="92">
        <v>10542.4</v>
      </c>
      <c r="H22" s="92">
        <v>6092.4349999999995</v>
      </c>
      <c r="I22" s="92">
        <v>5225.84</v>
      </c>
      <c r="J22" s="92">
        <v>6925.53</v>
      </c>
      <c r="K22" s="92"/>
      <c r="L22" s="92">
        <v>6722.69</v>
      </c>
      <c r="M22" s="92">
        <v>7571.006842105262</v>
      </c>
      <c r="N22" s="117"/>
      <c r="O22" s="224"/>
      <c r="R22" s="277">
        <f t="shared" si="1"/>
        <v>0.5453770210497625</v>
      </c>
      <c r="S22" s="277">
        <f t="shared" si="2"/>
        <v>0.08219159893424477</v>
      </c>
      <c r="T22" s="277">
        <f t="shared" si="3"/>
        <v>-0.15543993905281164</v>
      </c>
      <c r="U22" s="277">
        <f t="shared" si="4"/>
        <v>0.031192343176294903</v>
      </c>
      <c r="V22" s="277">
        <f t="shared" si="5"/>
        <v>0.39247001354822253</v>
      </c>
      <c r="W22" s="277">
        <f t="shared" si="6"/>
        <v>-0.19529395137808614</v>
      </c>
      <c r="X22" s="277">
        <f t="shared" si="7"/>
        <v>-0.30975627033684516</v>
      </c>
      <c r="Y22" s="277">
        <f t="shared" si="8"/>
        <v>-0.08525640718160746</v>
      </c>
      <c r="Z22" s="277">
        <f t="shared" si="9"/>
      </c>
      <c r="AA22" s="277">
        <f t="shared" si="10"/>
        <v>-0.1120480881601438</v>
      </c>
    </row>
    <row r="23" spans="2:27" ht="12.75">
      <c r="B23" s="91">
        <v>42809</v>
      </c>
      <c r="C23" s="92">
        <v>11764.71</v>
      </c>
      <c r="D23" s="92">
        <v>8193.28</v>
      </c>
      <c r="E23" s="92">
        <v>6324.64</v>
      </c>
      <c r="F23" s="92">
        <v>7429.93</v>
      </c>
      <c r="G23" s="92">
        <v>9033.61</v>
      </c>
      <c r="H23" s="92">
        <v>6092.4349999999995</v>
      </c>
      <c r="I23" s="92">
        <v>5268.26</v>
      </c>
      <c r="J23" s="92"/>
      <c r="K23" s="92">
        <v>6932.77</v>
      </c>
      <c r="L23" s="92">
        <v>7142.86</v>
      </c>
      <c r="M23" s="92">
        <v>7458.1743750000005</v>
      </c>
      <c r="N23" s="117"/>
      <c r="O23" s="224"/>
      <c r="R23" s="277">
        <f t="shared" si="1"/>
        <v>0.5774249043352514</v>
      </c>
      <c r="S23" s="277">
        <f t="shared" si="2"/>
        <v>0.09856374871900205</v>
      </c>
      <c r="T23" s="277">
        <f t="shared" si="3"/>
        <v>-0.15198550181390738</v>
      </c>
      <c r="U23" s="277">
        <f t="shared" si="4"/>
        <v>-0.00378703601979006</v>
      </c>
      <c r="V23" s="277">
        <f t="shared" si="5"/>
        <v>0.21123609422178466</v>
      </c>
      <c r="W23" s="277">
        <f t="shared" si="6"/>
        <v>-0.18311979665935352</v>
      </c>
      <c r="X23" s="277">
        <f t="shared" si="7"/>
        <v>-0.29362606247725337</v>
      </c>
      <c r="Y23" s="277">
        <f t="shared" si="8"/>
      </c>
      <c r="Z23" s="277">
        <f t="shared" si="9"/>
        <v>-0.07044678075122104</v>
      </c>
      <c r="AA23" s="277">
        <f t="shared" si="10"/>
        <v>-0.04227768876750094</v>
      </c>
    </row>
    <row r="24" spans="2:27" ht="12.75">
      <c r="B24" s="91">
        <v>42810</v>
      </c>
      <c r="C24" s="92">
        <v>12540.4</v>
      </c>
      <c r="D24" s="92">
        <v>8193.28</v>
      </c>
      <c r="E24" s="92">
        <v>6662.82</v>
      </c>
      <c r="F24" s="92">
        <v>7334.195</v>
      </c>
      <c r="G24" s="92">
        <v>9663.865000000002</v>
      </c>
      <c r="H24" s="92">
        <v>6302.52</v>
      </c>
      <c r="I24" s="92">
        <v>5233</v>
      </c>
      <c r="J24" s="92"/>
      <c r="K24" s="92">
        <v>6932.77</v>
      </c>
      <c r="L24" s="92"/>
      <c r="M24" s="92">
        <v>7668.018235294119</v>
      </c>
      <c r="N24" s="117"/>
      <c r="O24" s="224"/>
      <c r="R24" s="277">
        <f t="shared" si="1"/>
        <v>0.6354160377813698</v>
      </c>
      <c r="S24" s="277">
        <f t="shared" si="2"/>
        <v>0.06850032806236984</v>
      </c>
      <c r="T24" s="277">
        <f t="shared" si="3"/>
        <v>-0.13108970329092645</v>
      </c>
      <c r="U24" s="277">
        <f t="shared" si="4"/>
        <v>-0.04353448636280078</v>
      </c>
      <c r="V24" s="277">
        <f t="shared" si="5"/>
        <v>0.26028195336305543</v>
      </c>
      <c r="W24" s="277">
        <f t="shared" si="6"/>
        <v>-0.17807707198830663</v>
      </c>
      <c r="X24" s="277">
        <f t="shared" si="7"/>
        <v>-0.31755509188623104</v>
      </c>
      <c r="Y24" s="277">
        <f t="shared" si="8"/>
      </c>
      <c r="Z24" s="277">
        <f t="shared" si="9"/>
        <v>-0.09588504001072151</v>
      </c>
      <c r="AA24" s="277">
        <f t="shared" si="10"/>
      </c>
    </row>
    <row r="25" spans="2:27" ht="12.75">
      <c r="B25" s="91">
        <v>42811</v>
      </c>
      <c r="C25" s="92">
        <v>11718.025</v>
      </c>
      <c r="D25" s="92">
        <v>8319.33</v>
      </c>
      <c r="E25" s="92">
        <v>6414.66</v>
      </c>
      <c r="F25" s="92">
        <v>7406</v>
      </c>
      <c r="G25" s="92"/>
      <c r="H25" s="92">
        <v>7282.91</v>
      </c>
      <c r="I25" s="92">
        <v>5239.74</v>
      </c>
      <c r="J25" s="92">
        <v>6430.860000000001</v>
      </c>
      <c r="K25" s="92">
        <v>7142.86</v>
      </c>
      <c r="L25" s="92">
        <v>6722.69</v>
      </c>
      <c r="M25" s="92">
        <v>7491.344761904763</v>
      </c>
      <c r="N25" s="117"/>
      <c r="O25" s="224"/>
      <c r="R25" s="277">
        <f t="shared" si="1"/>
        <v>0.564208479576176</v>
      </c>
      <c r="S25" s="277">
        <f t="shared" si="2"/>
        <v>0.11052558177614989</v>
      </c>
      <c r="T25" s="277">
        <f t="shared" si="3"/>
        <v>-0.1437238301165842</v>
      </c>
      <c r="U25" s="277">
        <f t="shared" si="4"/>
        <v>-0.01139244883492226</v>
      </c>
      <c r="V25" s="277">
        <f t="shared" si="5"/>
      </c>
      <c r="W25" s="277">
        <f t="shared" si="6"/>
        <v>-0.027823410686516854</v>
      </c>
      <c r="X25" s="277">
        <f t="shared" si="7"/>
        <v>-0.3005608249876176</v>
      </c>
      <c r="Y25" s="277">
        <f t="shared" si="8"/>
        <v>-0.14156133452802425</v>
      </c>
      <c r="Z25" s="277">
        <f t="shared" si="9"/>
        <v>-0.0465183185369988</v>
      </c>
      <c r="AA25" s="277">
        <f t="shared" si="10"/>
        <v>-0.10260571183608479</v>
      </c>
    </row>
    <row r="26" spans="2:27" ht="12.75">
      <c r="B26" s="91">
        <v>42814</v>
      </c>
      <c r="C26" s="92">
        <v>11764.71</v>
      </c>
      <c r="D26" s="92">
        <v>7773.11</v>
      </c>
      <c r="E26" s="92">
        <v>6401.46</v>
      </c>
      <c r="F26" s="92">
        <v>7584.830000000001</v>
      </c>
      <c r="G26" s="92"/>
      <c r="H26" s="92">
        <v>6092.4349999999995</v>
      </c>
      <c r="I26" s="92">
        <v>5267.11</v>
      </c>
      <c r="J26" s="92"/>
      <c r="K26" s="92">
        <v>7563.03</v>
      </c>
      <c r="L26" s="92">
        <v>6722.69</v>
      </c>
      <c r="M26" s="92">
        <v>7547.107222222222</v>
      </c>
      <c r="N26" s="117"/>
      <c r="O26" s="224"/>
      <c r="R26" s="277">
        <f t="shared" si="1"/>
        <v>0.558837002521864</v>
      </c>
      <c r="S26" s="277">
        <f t="shared" si="2"/>
        <v>0.02994561639621597</v>
      </c>
      <c r="T26" s="277">
        <f t="shared" si="3"/>
        <v>-0.15179951582626247</v>
      </c>
      <c r="U26" s="277">
        <f t="shared" si="4"/>
        <v>0.004998309506814128</v>
      </c>
      <c r="V26" s="277">
        <f t="shared" si="5"/>
      </c>
      <c r="W26" s="277">
        <f t="shared" si="6"/>
        <v>-0.19274566789497644</v>
      </c>
      <c r="X26" s="277">
        <f t="shared" si="7"/>
        <v>-0.3021021372942525</v>
      </c>
      <c r="Y26" s="277">
        <f t="shared" si="8"/>
      </c>
      <c r="Z26" s="277">
        <f t="shared" si="9"/>
        <v>0.002109785552124354</v>
      </c>
      <c r="AA26" s="277">
        <f t="shared" si="10"/>
        <v>-0.10923618784621895</v>
      </c>
    </row>
    <row r="27" spans="2:27" ht="12.75">
      <c r="B27" s="91">
        <v>42815</v>
      </c>
      <c r="C27" s="92"/>
      <c r="D27" s="92">
        <v>8193.28</v>
      </c>
      <c r="E27" s="92">
        <v>6609.865</v>
      </c>
      <c r="F27" s="92">
        <v>7457.915</v>
      </c>
      <c r="G27" s="92">
        <v>9243.695</v>
      </c>
      <c r="H27" s="92">
        <v>7002.8</v>
      </c>
      <c r="I27" s="92">
        <v>5271.2</v>
      </c>
      <c r="J27" s="92">
        <v>5942.38</v>
      </c>
      <c r="K27" s="92">
        <v>6897.76</v>
      </c>
      <c r="L27" s="92">
        <v>6722.69</v>
      </c>
      <c r="M27" s="92">
        <v>7270.3145</v>
      </c>
      <c r="N27" s="117"/>
      <c r="O27" s="224"/>
      <c r="R27" s="277">
        <f t="shared" si="1"/>
      </c>
      <c r="S27" s="277">
        <f t="shared" si="2"/>
        <v>0.1269498726636929</v>
      </c>
      <c r="T27" s="277">
        <f t="shared" si="3"/>
        <v>-0.09084194363256233</v>
      </c>
      <c r="U27" s="277">
        <f t="shared" si="4"/>
        <v>0.025803629265281378</v>
      </c>
      <c r="V27" s="277">
        <f t="shared" si="5"/>
        <v>0.271429867304915</v>
      </c>
      <c r="W27" s="277">
        <f t="shared" si="6"/>
        <v>-0.03679545087079798</v>
      </c>
      <c r="X27" s="277">
        <f t="shared" si="7"/>
        <v>-0.27496946658910015</v>
      </c>
      <c r="Y27" s="277">
        <f t="shared" si="8"/>
        <v>-0.1826515895564078</v>
      </c>
      <c r="Z27" s="277">
        <f t="shared" si="9"/>
        <v>-0.05124324401647276</v>
      </c>
      <c r="AA27" s="277">
        <f t="shared" si="10"/>
        <v>-0.0753233577447029</v>
      </c>
    </row>
    <row r="28" spans="2:27" ht="12.75">
      <c r="B28" s="91">
        <v>42816</v>
      </c>
      <c r="C28" s="92"/>
      <c r="D28" s="92">
        <v>7773.110000000001</v>
      </c>
      <c r="E28" s="92">
        <v>6628.514999999999</v>
      </c>
      <c r="F28" s="92">
        <v>6129.332</v>
      </c>
      <c r="G28" s="92"/>
      <c r="H28" s="92">
        <v>6722.69</v>
      </c>
      <c r="I28" s="92">
        <v>5441.175</v>
      </c>
      <c r="J28" s="92"/>
      <c r="K28" s="92">
        <v>7142.86</v>
      </c>
      <c r="L28" s="92">
        <v>6722.69</v>
      </c>
      <c r="M28" s="92">
        <v>6661.783333333335</v>
      </c>
      <c r="N28" s="117"/>
      <c r="O28" s="224"/>
      <c r="R28" s="277">
        <f t="shared" si="1"/>
      </c>
      <c r="S28" s="277">
        <f t="shared" si="2"/>
        <v>0.1668211965264555</v>
      </c>
      <c r="T28" s="277">
        <f t="shared" si="3"/>
        <v>-0.004993908037637856</v>
      </c>
      <c r="U28" s="277">
        <f t="shared" si="4"/>
        <v>-0.07992624597517695</v>
      </c>
      <c r="V28" s="277">
        <f t="shared" si="5"/>
      </c>
      <c r="W28" s="277">
        <f t="shared" si="6"/>
        <v>0.009142697025570969</v>
      </c>
      <c r="X28" s="277">
        <f t="shared" si="7"/>
        <v>-0.18322546265139228</v>
      </c>
      <c r="Y28" s="277">
        <f t="shared" si="8"/>
      </c>
      <c r="Z28" s="277">
        <f t="shared" si="9"/>
        <v>0.07221439704583581</v>
      </c>
      <c r="AA28" s="277">
        <f t="shared" si="10"/>
        <v>0.009142697025570969</v>
      </c>
    </row>
    <row r="29" spans="2:27" ht="12.75">
      <c r="B29" s="91">
        <v>42817</v>
      </c>
      <c r="C29" s="92"/>
      <c r="D29" s="92">
        <v>7913.166666666667</v>
      </c>
      <c r="E29" s="92">
        <v>6509.424999999999</v>
      </c>
      <c r="F29" s="92">
        <v>5865.678</v>
      </c>
      <c r="G29" s="92"/>
      <c r="H29" s="92">
        <v>6362.545</v>
      </c>
      <c r="I29" s="92">
        <v>5233</v>
      </c>
      <c r="J29" s="92"/>
      <c r="K29" s="92">
        <v>6868.129999999999</v>
      </c>
      <c r="L29" s="92">
        <v>6722.69</v>
      </c>
      <c r="M29" s="92">
        <v>6542.733529411765</v>
      </c>
      <c r="N29" s="117"/>
      <c r="O29" s="224"/>
      <c r="R29" s="277">
        <f t="shared" si="1"/>
      </c>
      <c r="S29" s="277">
        <f t="shared" si="2"/>
        <v>0.20945880358635258</v>
      </c>
      <c r="T29" s="277">
        <f t="shared" si="3"/>
        <v>-0.005090919454694666</v>
      </c>
      <c r="U29" s="277">
        <f t="shared" si="4"/>
        <v>-0.10348205782310634</v>
      </c>
      <c r="V29" s="277">
        <f t="shared" si="5"/>
      </c>
      <c r="W29" s="277">
        <f t="shared" si="6"/>
        <v>-0.02754025188428617</v>
      </c>
      <c r="X29" s="277">
        <f t="shared" si="7"/>
        <v>-0.200181395669574</v>
      </c>
      <c r="Y29" s="277">
        <f t="shared" si="8"/>
      </c>
      <c r="Z29" s="277">
        <f t="shared" si="9"/>
        <v>0.04973402464359416</v>
      </c>
      <c r="AA29" s="277">
        <f t="shared" si="10"/>
        <v>0.027504783708410353</v>
      </c>
    </row>
    <row r="30" spans="2:27" ht="12.75">
      <c r="B30" s="91">
        <v>42818</v>
      </c>
      <c r="C30" s="92">
        <v>11764.71</v>
      </c>
      <c r="D30" s="92">
        <v>7913.166666666667</v>
      </c>
      <c r="E30" s="92">
        <v>6627.195</v>
      </c>
      <c r="F30" s="92">
        <v>5880.817499999999</v>
      </c>
      <c r="G30" s="92">
        <v>9123.65</v>
      </c>
      <c r="H30" s="92">
        <v>6495.099999999999</v>
      </c>
      <c r="I30" s="92">
        <v>4605.69</v>
      </c>
      <c r="J30" s="92">
        <v>6932.77</v>
      </c>
      <c r="K30" s="92">
        <v>7096.17</v>
      </c>
      <c r="L30" s="92">
        <v>6722.69</v>
      </c>
      <c r="M30" s="92">
        <v>7013.785555555555</v>
      </c>
      <c r="N30" s="117"/>
      <c r="O30" s="224"/>
      <c r="R30" s="277">
        <f t="shared" si="1"/>
        <v>0.6773695042160621</v>
      </c>
      <c r="S30" s="277">
        <f t="shared" si="2"/>
        <v>0.12823048323721847</v>
      </c>
      <c r="T30" s="277">
        <f t="shared" si="3"/>
        <v>-0.0551186734315452</v>
      </c>
      <c r="U30" s="277">
        <f t="shared" si="4"/>
        <v>-0.16153445904232736</v>
      </c>
      <c r="V30" s="277">
        <f t="shared" si="5"/>
        <v>0.3008167882710985</v>
      </c>
      <c r="W30" s="277">
        <f t="shared" si="6"/>
        <v>-0.0739522974358276</v>
      </c>
      <c r="X30" s="277">
        <f t="shared" si="7"/>
        <v>-0.34333749392268276</v>
      </c>
      <c r="Y30" s="277">
        <f t="shared" si="8"/>
        <v>-0.011550902848944833</v>
      </c>
      <c r="Z30" s="277">
        <f t="shared" si="9"/>
        <v>0.01174607404117009</v>
      </c>
      <c r="AA30" s="277">
        <f t="shared" si="10"/>
        <v>-0.04150334412847589</v>
      </c>
    </row>
    <row r="31" spans="2:28" ht="12.75">
      <c r="B31" s="91">
        <v>42821</v>
      </c>
      <c r="C31" s="92"/>
      <c r="D31" s="92">
        <v>8193.28</v>
      </c>
      <c r="E31" s="92">
        <v>6659.906666666666</v>
      </c>
      <c r="F31" s="92">
        <v>7640.048</v>
      </c>
      <c r="G31" s="92"/>
      <c r="H31" s="92">
        <v>6722.69</v>
      </c>
      <c r="I31" s="92">
        <v>5478.74</v>
      </c>
      <c r="J31" s="92"/>
      <c r="K31" s="92">
        <v>6302.5225</v>
      </c>
      <c r="L31" s="92">
        <v>6722.69</v>
      </c>
      <c r="M31" s="92">
        <v>6873.692380952381</v>
      </c>
      <c r="N31" s="117"/>
      <c r="O31" s="224"/>
      <c r="R31" s="277">
        <f t="shared" si="1"/>
      </c>
      <c r="S31" s="277">
        <f t="shared" si="2"/>
        <v>0.19197653108601645</v>
      </c>
      <c r="T31" s="277">
        <f t="shared" si="3"/>
        <v>-0.031102019473279747</v>
      </c>
      <c r="U31" s="277">
        <f t="shared" si="4"/>
        <v>0.11149111373841206</v>
      </c>
      <c r="V31" s="277">
        <f t="shared" si="5"/>
      </c>
      <c r="W31" s="277">
        <f t="shared" si="6"/>
        <v>-0.021968161009186703</v>
      </c>
      <c r="X31" s="277">
        <f t="shared" si="7"/>
        <v>-0.20294076365970637</v>
      </c>
      <c r="Y31" s="277">
        <f t="shared" si="8"/>
      </c>
      <c r="Z31" s="277">
        <f t="shared" si="9"/>
        <v>-0.08309506001972744</v>
      </c>
      <c r="AA31" s="277">
        <f t="shared" si="10"/>
        <v>-0.021968161009186703</v>
      </c>
      <c r="AB31" s="294"/>
    </row>
    <row r="32" spans="2:27" ht="12.75">
      <c r="B32" s="91">
        <v>42822</v>
      </c>
      <c r="C32" s="92">
        <v>11667.380000000001</v>
      </c>
      <c r="D32" s="92">
        <v>8193.28</v>
      </c>
      <c r="E32" s="92">
        <v>6621.27</v>
      </c>
      <c r="F32" s="92">
        <v>7625.326000000001</v>
      </c>
      <c r="G32" s="92">
        <v>9156.77</v>
      </c>
      <c r="H32" s="92">
        <v>5042.02</v>
      </c>
      <c r="I32" s="92">
        <v>5252.924999999999</v>
      </c>
      <c r="J32" s="92">
        <v>8393.395</v>
      </c>
      <c r="K32" s="92">
        <v>5042.02</v>
      </c>
      <c r="L32" s="92">
        <v>6092.435</v>
      </c>
      <c r="M32" s="92">
        <v>7373.849047619048</v>
      </c>
      <c r="N32" s="117"/>
      <c r="O32" s="224"/>
      <c r="R32" s="277">
        <f t="shared" si="1"/>
        <v>0.5822645574453815</v>
      </c>
      <c r="S32" s="277">
        <f t="shared" si="2"/>
        <v>0.11112662424863981</v>
      </c>
      <c r="T32" s="277">
        <f t="shared" si="3"/>
        <v>-0.10206054433159965</v>
      </c>
      <c r="U32" s="277">
        <f t="shared" si="4"/>
        <v>0.03410389211346176</v>
      </c>
      <c r="V32" s="277">
        <f t="shared" si="5"/>
        <v>0.24178972757201234</v>
      </c>
      <c r="W32" s="277">
        <f t="shared" si="6"/>
        <v>-0.3162295610556301</v>
      </c>
      <c r="X32" s="277">
        <f t="shared" si="7"/>
        <v>-0.2876278092923365</v>
      </c>
      <c r="Y32" s="277">
        <f t="shared" si="8"/>
        <v>0.1382650968031621</v>
      </c>
      <c r="Z32" s="277">
        <f t="shared" si="9"/>
        <v>-0.3162295610556301</v>
      </c>
      <c r="AA32" s="277">
        <f t="shared" si="10"/>
        <v>-0.17377817735946266</v>
      </c>
    </row>
    <row r="33" spans="2:27" ht="12.75">
      <c r="B33" s="91">
        <v>42823</v>
      </c>
      <c r="C33" s="92">
        <v>9663.87</v>
      </c>
      <c r="D33" s="92">
        <v>8193.28</v>
      </c>
      <c r="E33" s="92">
        <v>6511.285</v>
      </c>
      <c r="F33" s="92">
        <v>7713.235000000001</v>
      </c>
      <c r="G33" s="92"/>
      <c r="H33" s="92">
        <v>5882.35</v>
      </c>
      <c r="I33" s="92">
        <v>6265.45</v>
      </c>
      <c r="J33" s="92"/>
      <c r="K33" s="92">
        <v>5594.24</v>
      </c>
      <c r="L33" s="92">
        <v>6302.52</v>
      </c>
      <c r="M33" s="92">
        <v>6942.062352941177</v>
      </c>
      <c r="N33" s="117"/>
      <c r="O33" s="224"/>
      <c r="R33" s="277">
        <f t="shared" si="1"/>
        <v>0.39207479113258936</v>
      </c>
      <c r="S33" s="277">
        <f t="shared" si="2"/>
        <v>0.18023716634131273</v>
      </c>
      <c r="T33" s="277">
        <f t="shared" si="3"/>
        <v>-0.06205322439356476</v>
      </c>
      <c r="U33" s="277">
        <f t="shared" si="4"/>
        <v>0.1110869663583614</v>
      </c>
      <c r="V33" s="277">
        <f t="shared" si="5"/>
      </c>
      <c r="W33" s="277">
        <f t="shared" si="6"/>
        <v>-0.15265094132901344</v>
      </c>
      <c r="X33" s="277">
        <f t="shared" si="7"/>
        <v>-0.0974656115922833</v>
      </c>
      <c r="Y33" s="277">
        <f t="shared" si="8"/>
      </c>
      <c r="Z33" s="277">
        <f t="shared" si="9"/>
        <v>-0.1941530174199802</v>
      </c>
      <c r="AA33" s="277">
        <f t="shared" si="10"/>
        <v>-0.09212569988948867</v>
      </c>
    </row>
    <row r="34" spans="2:27" ht="12.75">
      <c r="B34" s="91">
        <v>42824</v>
      </c>
      <c r="C34" s="92"/>
      <c r="D34" s="92">
        <v>7955.183333333334</v>
      </c>
      <c r="E34" s="92">
        <v>6190.475</v>
      </c>
      <c r="F34" s="92">
        <v>5740.051666666667</v>
      </c>
      <c r="G34" s="92">
        <v>9095.4</v>
      </c>
      <c r="H34" s="92">
        <v>5882.35</v>
      </c>
      <c r="I34" s="92">
        <v>6395.465</v>
      </c>
      <c r="J34" s="92"/>
      <c r="K34" s="92">
        <v>5462.18</v>
      </c>
      <c r="L34" s="92"/>
      <c r="M34" s="92">
        <v>6494.854375000001</v>
      </c>
      <c r="N34" s="117"/>
      <c r="O34" s="224"/>
      <c r="R34" s="277">
        <f t="shared" si="1"/>
      </c>
      <c r="S34" s="277">
        <f t="shared" si="2"/>
        <v>0.22484398787360546</v>
      </c>
      <c r="T34" s="277">
        <f t="shared" si="3"/>
        <v>-0.04686469586933585</v>
      </c>
      <c r="U34" s="277">
        <f t="shared" si="4"/>
        <v>-0.11621549379747771</v>
      </c>
      <c r="V34" s="277">
        <f t="shared" si="5"/>
        <v>0.40040091353087476</v>
      </c>
      <c r="W34" s="277">
        <f t="shared" si="6"/>
        <v>-0.0943060982795323</v>
      </c>
      <c r="X34" s="277">
        <f t="shared" si="7"/>
        <v>-0.015302787293056227</v>
      </c>
      <c r="Y34" s="277">
        <f t="shared" si="8"/>
      </c>
      <c r="Z34" s="277">
        <f t="shared" si="9"/>
        <v>-0.15899884976250916</v>
      </c>
      <c r="AA34" s="277">
        <f t="shared" si="10"/>
      </c>
    </row>
    <row r="35" spans="2:28" ht="12.75">
      <c r="B35" s="55">
        <v>42825</v>
      </c>
      <c r="C35" s="33">
        <v>10518.205</v>
      </c>
      <c r="D35" s="33">
        <v>7955.183333333334</v>
      </c>
      <c r="E35" s="33">
        <v>6099.44</v>
      </c>
      <c r="F35" s="33">
        <v>6099.584000000001</v>
      </c>
      <c r="G35" s="33"/>
      <c r="H35" s="33">
        <v>5695.610000000001</v>
      </c>
      <c r="I35" s="33">
        <v>5434.17</v>
      </c>
      <c r="J35" s="33">
        <v>6512.605</v>
      </c>
      <c r="K35" s="33">
        <v>5378.15</v>
      </c>
      <c r="L35" s="33">
        <v>6302.52</v>
      </c>
      <c r="M35" s="33">
        <v>6771.6275000000005</v>
      </c>
      <c r="N35" s="117"/>
      <c r="O35" s="224"/>
      <c r="R35" s="277">
        <f t="shared" si="1"/>
        <v>0.553275781929824</v>
      </c>
      <c r="S35" s="277">
        <f t="shared" si="2"/>
        <v>0.17478159177145136</v>
      </c>
      <c r="T35" s="277">
        <f t="shared" si="3"/>
        <v>-0.09926528002315556</v>
      </c>
      <c r="U35" s="277">
        <f t="shared" si="4"/>
        <v>-0.09924401482509186</v>
      </c>
      <c r="V35" s="277">
        <f t="shared" si="5"/>
      </c>
      <c r="W35" s="277">
        <f t="shared" si="6"/>
        <v>-0.15890086984258953</v>
      </c>
      <c r="X35" s="277">
        <f t="shared" si="7"/>
        <v>-0.19750901832683507</v>
      </c>
      <c r="Y35" s="277">
        <f t="shared" si="8"/>
        <v>-0.038251144204255315</v>
      </c>
      <c r="Z35" s="277">
        <f t="shared" si="9"/>
        <v>-0.20578177107349757</v>
      </c>
      <c r="AA35" s="277">
        <f t="shared" si="10"/>
        <v>-0.06927544375410491</v>
      </c>
      <c r="AB35" s="294"/>
    </row>
    <row r="36" spans="2:27" ht="12.75">
      <c r="B36" s="99" t="s">
        <v>187</v>
      </c>
      <c r="F36" s="56"/>
      <c r="G36" s="56"/>
      <c r="H36" s="56"/>
      <c r="I36" s="56"/>
      <c r="J36" s="56"/>
      <c r="K36" s="56"/>
      <c r="L36" s="56"/>
      <c r="R36" s="288"/>
      <c r="S36" s="288"/>
      <c r="T36" s="288"/>
      <c r="U36" s="288"/>
      <c r="V36" s="288"/>
      <c r="W36" s="288"/>
      <c r="X36" s="288"/>
      <c r="Y36" s="288"/>
      <c r="Z36" s="288"/>
      <c r="AA36" s="288"/>
    </row>
    <row r="37" spans="17:28" ht="12.75">
      <c r="Q37" s="289" t="s">
        <v>188</v>
      </c>
      <c r="R37" s="295">
        <f>+AVERAGE(C13:C35)</f>
        <v>11872.469999999998</v>
      </c>
      <c r="S37" s="295">
        <f aca="true" t="shared" si="11" ref="S37:AB37">+AVERAGE(D13:D35)</f>
        <v>8139.083913043478</v>
      </c>
      <c r="T37" s="295">
        <f t="shared" si="11"/>
        <v>6569.509202898552</v>
      </c>
      <c r="U37" s="295">
        <f t="shared" si="11"/>
        <v>7257.08546583851</v>
      </c>
      <c r="V37" s="295">
        <f t="shared" si="11"/>
        <v>9231.765454545455</v>
      </c>
      <c r="W37" s="295">
        <f t="shared" si="11"/>
        <v>6082.106086956522</v>
      </c>
      <c r="X37" s="295">
        <f t="shared" si="11"/>
        <v>5264.107954545455</v>
      </c>
      <c r="Y37" s="295">
        <f t="shared" si="11"/>
        <v>6660.952222222221</v>
      </c>
      <c r="Z37" s="295">
        <f t="shared" si="11"/>
        <v>6715.810125000001</v>
      </c>
      <c r="AA37" s="295">
        <f t="shared" si="11"/>
        <v>6512.6050000000005</v>
      </c>
      <c r="AB37" s="295">
        <f t="shared" si="11"/>
        <v>7197.296116398062</v>
      </c>
    </row>
    <row r="38" spans="18:28" ht="12.75">
      <c r="R38" s="296">
        <f aca="true" t="shared" si="12" ref="R38:AA38">+(R37-$AB$37)/$AB$37</f>
        <v>0.6495736465462616</v>
      </c>
      <c r="S38" s="296">
        <f t="shared" si="12"/>
        <v>0.13085300110129977</v>
      </c>
      <c r="T38" s="296">
        <f t="shared" si="12"/>
        <v>-0.08722538344214888</v>
      </c>
      <c r="U38" s="296">
        <f t="shared" si="12"/>
        <v>0.008307195990481209</v>
      </c>
      <c r="V38" s="296">
        <f t="shared" si="12"/>
        <v>0.2826713400761894</v>
      </c>
      <c r="W38" s="296">
        <f t="shared" si="12"/>
        <v>-0.1549456922997417</v>
      </c>
      <c r="X38" s="296">
        <f t="shared" si="12"/>
        <v>-0.2685992254018978</v>
      </c>
      <c r="Y38" s="296">
        <f t="shared" si="12"/>
        <v>-0.07452019279210337</v>
      </c>
      <c r="Z38" s="296">
        <f t="shared" si="12"/>
        <v>-0.06689817726146634</v>
      </c>
      <c r="AA38" s="296">
        <f t="shared" si="12"/>
        <v>-0.0951317140944202</v>
      </c>
      <c r="AB38" s="288"/>
    </row>
    <row r="40" spans="18:27" ht="12.75">
      <c r="R40" s="297"/>
      <c r="S40" s="297"/>
      <c r="T40" s="297"/>
      <c r="U40" s="297"/>
      <c r="V40" s="297"/>
      <c r="W40" s="297"/>
      <c r="X40" s="297"/>
      <c r="Y40" s="297"/>
      <c r="Z40" s="297"/>
      <c r="AA40" s="297"/>
    </row>
    <row r="41" spans="18:27" ht="12.75">
      <c r="R41" s="277"/>
      <c r="S41" s="277"/>
      <c r="T41" s="277"/>
      <c r="U41" s="277"/>
      <c r="V41" s="277"/>
      <c r="W41" s="277"/>
      <c r="X41" s="277"/>
      <c r="Y41" s="277"/>
      <c r="Z41" s="277"/>
      <c r="AA41" s="277"/>
    </row>
    <row r="42" spans="18:27" ht="12.75">
      <c r="R42" s="298"/>
      <c r="S42" s="298"/>
      <c r="T42" s="298"/>
      <c r="U42" s="298"/>
      <c r="V42" s="298"/>
      <c r="W42" s="298"/>
      <c r="X42" s="298"/>
      <c r="Y42" s="298"/>
      <c r="Z42" s="298"/>
      <c r="AA42" s="298"/>
    </row>
    <row r="58" ht="12.75">
      <c r="B58" s="54"/>
    </row>
    <row r="59" ht="12.75"/>
    <row r="62" spans="3:14" ht="12.75">
      <c r="C62" s="338"/>
      <c r="D62" s="338"/>
      <c r="E62" s="338"/>
      <c r="F62" s="338"/>
      <c r="G62" s="338"/>
      <c r="H62" s="338"/>
      <c r="I62" s="338"/>
      <c r="J62" s="338"/>
      <c r="K62" s="338"/>
      <c r="L62" s="338"/>
      <c r="M62" s="338"/>
      <c r="N62" s="338"/>
    </row>
    <row r="63" spans="3:14" ht="12.75">
      <c r="C63" s="338"/>
      <c r="D63" s="338"/>
      <c r="E63" s="338"/>
      <c r="F63" s="338"/>
      <c r="G63" s="338"/>
      <c r="H63" s="338"/>
      <c r="I63" s="338"/>
      <c r="J63" s="338"/>
      <c r="K63" s="338"/>
      <c r="L63" s="338"/>
      <c r="M63" s="338"/>
      <c r="N63" s="338"/>
    </row>
    <row r="64" spans="3:14" ht="12.75">
      <c r="C64" s="338"/>
      <c r="D64" s="338"/>
      <c r="E64" s="338"/>
      <c r="F64" s="338"/>
      <c r="G64" s="338"/>
      <c r="H64" s="338"/>
      <c r="I64" s="338"/>
      <c r="J64" s="338"/>
      <c r="K64" s="338"/>
      <c r="L64" s="338"/>
      <c r="M64" s="338"/>
      <c r="N64" s="338"/>
    </row>
    <row r="65" spans="3:14" ht="12.75">
      <c r="C65" s="338"/>
      <c r="D65" s="338"/>
      <c r="E65" s="338"/>
      <c r="F65" s="338"/>
      <c r="G65" s="338"/>
      <c r="H65" s="338"/>
      <c r="I65" s="338"/>
      <c r="J65" s="338"/>
      <c r="K65" s="338"/>
      <c r="L65" s="338"/>
      <c r="M65" s="338"/>
      <c r="N65" s="338"/>
    </row>
    <row r="66" spans="3:14" ht="12.75">
      <c r="C66" s="338"/>
      <c r="D66" s="338"/>
      <c r="E66" s="338"/>
      <c r="F66" s="338"/>
      <c r="G66" s="338"/>
      <c r="H66" s="338"/>
      <c r="I66" s="338"/>
      <c r="J66" s="338"/>
      <c r="K66" s="338"/>
      <c r="L66" s="338"/>
      <c r="M66" s="338"/>
      <c r="N66" s="338"/>
    </row>
    <row r="67" spans="3:14" ht="12.75">
      <c r="C67" s="338"/>
      <c r="D67" s="338"/>
      <c r="E67" s="338"/>
      <c r="F67" s="338"/>
      <c r="G67" s="338"/>
      <c r="H67" s="338"/>
      <c r="I67" s="338"/>
      <c r="J67" s="338"/>
      <c r="K67" s="338"/>
      <c r="L67" s="338"/>
      <c r="M67" s="338"/>
      <c r="N67" s="338"/>
    </row>
    <row r="68" spans="3:14" ht="12.75">
      <c r="C68" s="338"/>
      <c r="D68" s="338"/>
      <c r="E68" s="338"/>
      <c r="F68" s="338"/>
      <c r="G68" s="338"/>
      <c r="H68" s="338"/>
      <c r="I68" s="338"/>
      <c r="J68" s="338"/>
      <c r="K68" s="338"/>
      <c r="L68" s="338"/>
      <c r="M68" s="338"/>
      <c r="N68" s="338"/>
    </row>
    <row r="69" spans="3:14" ht="12.75">
      <c r="C69" s="338"/>
      <c r="D69" s="338"/>
      <c r="E69" s="338"/>
      <c r="F69" s="338"/>
      <c r="G69" s="338"/>
      <c r="H69" s="338"/>
      <c r="I69" s="338"/>
      <c r="J69" s="338"/>
      <c r="K69" s="338"/>
      <c r="L69" s="338"/>
      <c r="M69" s="338"/>
      <c r="N69" s="338"/>
    </row>
    <row r="70" spans="3:14" ht="12.75">
      <c r="C70" s="338"/>
      <c r="D70" s="338"/>
      <c r="E70" s="338"/>
      <c r="F70" s="338"/>
      <c r="G70" s="338"/>
      <c r="H70" s="338"/>
      <c r="I70" s="338"/>
      <c r="J70" s="338"/>
      <c r="K70" s="338"/>
      <c r="L70" s="338"/>
      <c r="M70" s="338"/>
      <c r="N70" s="338"/>
    </row>
    <row r="71" spans="3:14" ht="12.75">
      <c r="C71" s="338"/>
      <c r="D71" s="338"/>
      <c r="E71" s="338"/>
      <c r="F71" s="338"/>
      <c r="G71" s="338"/>
      <c r="H71" s="338"/>
      <c r="I71" s="338"/>
      <c r="J71" s="338"/>
      <c r="K71" s="338"/>
      <c r="L71" s="338"/>
      <c r="M71" s="338"/>
      <c r="N71" s="338"/>
    </row>
    <row r="72" spans="3:14" ht="12.75">
      <c r="C72" s="338"/>
      <c r="D72" s="338"/>
      <c r="E72" s="338"/>
      <c r="F72" s="338"/>
      <c r="G72" s="338"/>
      <c r="H72" s="338"/>
      <c r="I72" s="338"/>
      <c r="J72" s="338"/>
      <c r="K72" s="338"/>
      <c r="L72" s="338"/>
      <c r="M72" s="338"/>
      <c r="N72" s="338"/>
    </row>
    <row r="73" spans="3:14" ht="12.75">
      <c r="C73" s="338"/>
      <c r="D73" s="338"/>
      <c r="E73" s="338"/>
      <c r="F73" s="338"/>
      <c r="G73" s="338"/>
      <c r="H73" s="338"/>
      <c r="I73" s="338"/>
      <c r="J73" s="338"/>
      <c r="K73" s="338"/>
      <c r="L73" s="338"/>
      <c r="M73" s="338"/>
      <c r="N73" s="338"/>
    </row>
    <row r="74" spans="3:14" ht="12.75">
      <c r="C74" s="338"/>
      <c r="D74" s="338"/>
      <c r="E74" s="338"/>
      <c r="F74" s="338"/>
      <c r="G74" s="338"/>
      <c r="H74" s="338"/>
      <c r="I74" s="338"/>
      <c r="J74" s="338"/>
      <c r="K74" s="338"/>
      <c r="L74" s="338"/>
      <c r="M74" s="338"/>
      <c r="N74" s="338"/>
    </row>
    <row r="75" spans="3:14" ht="12.75">
      <c r="C75" s="338"/>
      <c r="D75" s="338"/>
      <c r="E75" s="338"/>
      <c r="F75" s="338"/>
      <c r="G75" s="338"/>
      <c r="H75" s="338"/>
      <c r="I75" s="338"/>
      <c r="J75" s="338"/>
      <c r="K75" s="338"/>
      <c r="L75" s="338"/>
      <c r="M75" s="338"/>
      <c r="N75" s="338"/>
    </row>
    <row r="76" spans="3:14" ht="12.75">
      <c r="C76" s="338"/>
      <c r="D76" s="338"/>
      <c r="E76" s="338"/>
      <c r="F76" s="338"/>
      <c r="G76" s="338"/>
      <c r="H76" s="338"/>
      <c r="I76" s="338"/>
      <c r="J76" s="338"/>
      <c r="K76" s="338"/>
      <c r="L76" s="338"/>
      <c r="M76" s="338"/>
      <c r="N76" s="338"/>
    </row>
    <row r="77" spans="3:14" ht="12.75">
      <c r="C77" s="338"/>
      <c r="D77" s="338"/>
      <c r="E77" s="338"/>
      <c r="F77" s="338"/>
      <c r="G77" s="338"/>
      <c r="H77" s="338"/>
      <c r="I77" s="338"/>
      <c r="J77" s="338"/>
      <c r="K77" s="338"/>
      <c r="L77" s="338"/>
      <c r="M77" s="338"/>
      <c r="N77" s="338"/>
    </row>
    <row r="78" spans="3:14" ht="12.75">
      <c r="C78" s="338"/>
      <c r="D78" s="338"/>
      <c r="E78" s="338"/>
      <c r="F78" s="338"/>
      <c r="G78" s="338"/>
      <c r="H78" s="338"/>
      <c r="I78" s="338"/>
      <c r="J78" s="338"/>
      <c r="K78" s="338"/>
      <c r="L78" s="338"/>
      <c r="M78" s="338"/>
      <c r="N78" s="338"/>
    </row>
    <row r="79" spans="3:14" ht="12.75">
      <c r="C79" s="338"/>
      <c r="D79" s="338"/>
      <c r="E79" s="338"/>
      <c r="F79" s="338"/>
      <c r="G79" s="338"/>
      <c r="H79" s="338"/>
      <c r="I79" s="338"/>
      <c r="J79" s="338"/>
      <c r="K79" s="338"/>
      <c r="L79" s="338"/>
      <c r="M79" s="338"/>
      <c r="N79" s="338"/>
    </row>
    <row r="80" spans="3:14" ht="12.75">
      <c r="C80" s="338"/>
      <c r="D80" s="338"/>
      <c r="E80" s="338"/>
      <c r="F80" s="338"/>
      <c r="G80" s="338"/>
      <c r="H80" s="338"/>
      <c r="I80" s="338"/>
      <c r="J80" s="338"/>
      <c r="K80" s="338"/>
      <c r="L80" s="338"/>
      <c r="M80" s="338"/>
      <c r="N80" s="338"/>
    </row>
    <row r="81" spans="3:14" ht="12.75">
      <c r="C81" s="338"/>
      <c r="D81" s="338"/>
      <c r="E81" s="338"/>
      <c r="F81" s="338"/>
      <c r="G81" s="338"/>
      <c r="H81" s="338"/>
      <c r="I81" s="338"/>
      <c r="J81" s="338"/>
      <c r="K81" s="338"/>
      <c r="L81" s="338"/>
      <c r="M81" s="338"/>
      <c r="N81" s="338"/>
    </row>
    <row r="82" spans="3:14" ht="12.75">
      <c r="C82" s="338"/>
      <c r="D82" s="338"/>
      <c r="E82" s="338"/>
      <c r="F82" s="338"/>
      <c r="G82" s="338"/>
      <c r="H82" s="338"/>
      <c r="I82" s="338"/>
      <c r="J82" s="338"/>
      <c r="K82" s="338"/>
      <c r="L82" s="338"/>
      <c r="M82" s="338"/>
      <c r="N82" s="338"/>
    </row>
    <row r="83" spans="3:14" ht="12.75">
      <c r="C83" s="338"/>
      <c r="D83" s="338"/>
      <c r="E83" s="338"/>
      <c r="F83" s="338"/>
      <c r="G83" s="338"/>
      <c r="H83" s="338"/>
      <c r="I83" s="338"/>
      <c r="J83" s="338"/>
      <c r="K83" s="338"/>
      <c r="L83" s="338"/>
      <c r="M83" s="338"/>
      <c r="N83" s="338"/>
    </row>
    <row r="84" spans="3:14" ht="12.75">
      <c r="C84" s="338"/>
      <c r="D84" s="338"/>
      <c r="E84" s="338"/>
      <c r="F84" s="338"/>
      <c r="G84" s="338"/>
      <c r="H84" s="338"/>
      <c r="I84" s="338"/>
      <c r="J84" s="338"/>
      <c r="K84" s="338"/>
      <c r="L84" s="338"/>
      <c r="M84" s="338"/>
      <c r="N84" s="338"/>
    </row>
    <row r="85" spans="3:14" ht="12.75">
      <c r="C85" s="338"/>
      <c r="D85" s="338"/>
      <c r="E85" s="338"/>
      <c r="F85" s="338"/>
      <c r="G85" s="338"/>
      <c r="H85" s="338"/>
      <c r="I85" s="338"/>
      <c r="J85" s="338"/>
      <c r="K85" s="338"/>
      <c r="L85" s="338"/>
      <c r="M85" s="338"/>
      <c r="N85" s="338"/>
    </row>
    <row r="86" spans="3:14" ht="12.75">
      <c r="C86" s="338"/>
      <c r="D86" s="338"/>
      <c r="E86" s="338"/>
      <c r="F86" s="338"/>
      <c r="G86" s="338"/>
      <c r="H86" s="338"/>
      <c r="I86" s="338"/>
      <c r="J86" s="338"/>
      <c r="K86" s="338"/>
      <c r="L86" s="338"/>
      <c r="M86" s="338"/>
      <c r="N86" s="338"/>
    </row>
    <row r="87" spans="3:14" ht="12.75">
      <c r="C87" s="338"/>
      <c r="D87" s="338"/>
      <c r="E87" s="338"/>
      <c r="F87" s="338"/>
      <c r="G87" s="338"/>
      <c r="H87" s="338"/>
      <c r="I87" s="338"/>
      <c r="J87" s="338"/>
      <c r="K87" s="338"/>
      <c r="L87" s="338"/>
      <c r="M87" s="338"/>
      <c r="N87" s="338"/>
    </row>
    <row r="88" spans="3:14" ht="12.75">
      <c r="C88" s="338"/>
      <c r="D88" s="338"/>
      <c r="E88" s="338"/>
      <c r="F88" s="338"/>
      <c r="G88" s="338"/>
      <c r="H88" s="338"/>
      <c r="I88" s="338"/>
      <c r="J88" s="338"/>
      <c r="K88" s="338"/>
      <c r="L88" s="338"/>
      <c r="M88" s="338"/>
      <c r="N88" s="338"/>
    </row>
    <row r="89" spans="3:14" ht="12.75">
      <c r="C89" s="338"/>
      <c r="D89" s="338"/>
      <c r="E89" s="338"/>
      <c r="F89" s="338"/>
      <c r="G89" s="338"/>
      <c r="H89" s="338"/>
      <c r="I89" s="338"/>
      <c r="J89" s="338"/>
      <c r="K89" s="338"/>
      <c r="L89" s="338"/>
      <c r="M89" s="338"/>
      <c r="N89" s="338"/>
    </row>
    <row r="90" spans="3:14" ht="12.75">
      <c r="C90" s="338"/>
      <c r="D90" s="338"/>
      <c r="E90" s="338"/>
      <c r="F90" s="338"/>
      <c r="G90" s="338"/>
      <c r="H90" s="338"/>
      <c r="I90" s="338"/>
      <c r="J90" s="338"/>
      <c r="K90" s="338"/>
      <c r="L90" s="338"/>
      <c r="M90" s="338"/>
      <c r="N90" s="338"/>
    </row>
    <row r="91" spans="3:14" ht="12.75">
      <c r="C91" s="338"/>
      <c r="D91" s="338"/>
      <c r="E91" s="338"/>
      <c r="F91" s="338"/>
      <c r="G91" s="338"/>
      <c r="H91" s="338"/>
      <c r="I91" s="338"/>
      <c r="J91" s="338"/>
      <c r="K91" s="338"/>
      <c r="L91" s="338"/>
      <c r="M91" s="338"/>
      <c r="N91" s="338"/>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6"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J45"/>
  <sheetViews>
    <sheetView zoomScale="80" zoomScaleNormal="80" zoomScalePageLayoutView="80" workbookViewId="0" topLeftCell="A1">
      <selection activeCell="A1" sqref="A1"/>
    </sheetView>
  </sheetViews>
  <sheetFormatPr defaultColWidth="10.8515625" defaultRowHeight="15"/>
  <cols>
    <col min="1" max="1" width="1.7109375" style="20" customWidth="1"/>
    <col min="2" max="2" width="38.00390625" style="20" customWidth="1"/>
    <col min="3" max="10" width="10.8515625" style="20" customWidth="1"/>
    <col min="11" max="11" width="2.421875" style="20" customWidth="1"/>
    <col min="12" max="12" width="10.8515625" style="20" customWidth="1"/>
    <col min="13" max="13" width="8.28125" style="151" customWidth="1"/>
    <col min="14" max="14" width="7.7109375" style="143" hidden="1" customWidth="1"/>
    <col min="15" max="15" width="10.8515625" style="151" customWidth="1"/>
    <col min="16" max="16384" width="10.8515625" style="20" customWidth="1"/>
  </cols>
  <sheetData>
    <row r="1" ht="6.75" customHeight="1"/>
    <row r="2" spans="2:18" ht="12.75">
      <c r="B2" s="374" t="s">
        <v>59</v>
      </c>
      <c r="C2" s="374"/>
      <c r="D2" s="374"/>
      <c r="E2" s="374"/>
      <c r="F2" s="374"/>
      <c r="G2" s="374"/>
      <c r="H2" s="374"/>
      <c r="I2" s="374"/>
      <c r="J2" s="374"/>
      <c r="K2" s="101"/>
      <c r="L2" s="45" t="s">
        <v>151</v>
      </c>
      <c r="O2" s="213"/>
      <c r="P2" s="211"/>
      <c r="Q2" s="211"/>
      <c r="R2" s="211"/>
    </row>
    <row r="3" spans="2:18" ht="12.75">
      <c r="B3" s="374" t="s">
        <v>106</v>
      </c>
      <c r="C3" s="374"/>
      <c r="D3" s="374"/>
      <c r="E3" s="374"/>
      <c r="F3" s="374"/>
      <c r="G3" s="374"/>
      <c r="H3" s="374"/>
      <c r="I3" s="374"/>
      <c r="J3" s="374"/>
      <c r="K3" s="101"/>
      <c r="O3" s="213"/>
      <c r="P3" s="211"/>
      <c r="Q3" s="211"/>
      <c r="R3" s="211"/>
    </row>
    <row r="4" spans="2:18" ht="12.75">
      <c r="B4" s="374" t="s">
        <v>109</v>
      </c>
      <c r="C4" s="374"/>
      <c r="D4" s="374"/>
      <c r="E4" s="374"/>
      <c r="F4" s="374"/>
      <c r="G4" s="374"/>
      <c r="H4" s="374"/>
      <c r="I4" s="374"/>
      <c r="J4" s="374"/>
      <c r="K4" s="101"/>
      <c r="O4" s="213"/>
      <c r="P4" s="211"/>
      <c r="Q4" s="211"/>
      <c r="R4" s="211"/>
    </row>
    <row r="5" spans="2:16" ht="15" customHeight="1">
      <c r="B5" s="379" t="s">
        <v>46</v>
      </c>
      <c r="C5" s="382" t="s">
        <v>67</v>
      </c>
      <c r="D5" s="383"/>
      <c r="E5" s="383"/>
      <c r="F5" s="384"/>
      <c r="G5" s="382" t="s">
        <v>68</v>
      </c>
      <c r="H5" s="383"/>
      <c r="I5" s="383"/>
      <c r="J5" s="384"/>
      <c r="K5" s="101"/>
      <c r="O5" s="213"/>
      <c r="P5" s="211"/>
    </row>
    <row r="6" spans="2:36" ht="12.75" customHeight="1">
      <c r="B6" s="380"/>
      <c r="C6" s="382" t="s">
        <v>45</v>
      </c>
      <c r="D6" s="383"/>
      <c r="E6" s="383" t="s">
        <v>44</v>
      </c>
      <c r="F6" s="384"/>
      <c r="G6" s="382" t="s">
        <v>45</v>
      </c>
      <c r="H6" s="383"/>
      <c r="I6" s="383" t="s">
        <v>44</v>
      </c>
      <c r="J6" s="384"/>
      <c r="K6" s="101"/>
      <c r="O6" s="213"/>
      <c r="P6" s="211"/>
      <c r="Q6" s="211"/>
      <c r="R6" s="211"/>
      <c r="S6" s="211"/>
      <c r="T6" s="211"/>
      <c r="U6" s="211"/>
      <c r="V6" s="211"/>
      <c r="W6" s="211"/>
      <c r="X6" s="211"/>
      <c r="Y6" s="211"/>
      <c r="Z6" s="211"/>
      <c r="AA6" s="211"/>
      <c r="AB6" s="211"/>
      <c r="AC6" s="211"/>
      <c r="AD6" s="211"/>
      <c r="AE6" s="211"/>
      <c r="AF6" s="211"/>
      <c r="AG6" s="211"/>
      <c r="AH6" s="211"/>
      <c r="AI6" s="211"/>
      <c r="AJ6" s="211"/>
    </row>
    <row r="7" spans="2:36" ht="12.75">
      <c r="B7" s="381"/>
      <c r="C7" s="307">
        <v>2016</v>
      </c>
      <c r="D7" s="308">
        <f>+C7+1</f>
        <v>2017</v>
      </c>
      <c r="E7" s="308" t="s">
        <v>43</v>
      </c>
      <c r="F7" s="309" t="s">
        <v>42</v>
      </c>
      <c r="G7" s="310">
        <f>+C7</f>
        <v>2016</v>
      </c>
      <c r="H7" s="311">
        <f>+D7</f>
        <v>2017</v>
      </c>
      <c r="I7" s="311" t="s">
        <v>43</v>
      </c>
      <c r="J7" s="312" t="s">
        <v>42</v>
      </c>
      <c r="K7" s="141"/>
      <c r="L7" s="143"/>
      <c r="O7" s="213"/>
      <c r="P7" s="213"/>
      <c r="Q7" s="213"/>
      <c r="R7" s="213"/>
      <c r="S7" s="213"/>
      <c r="T7" s="213"/>
      <c r="U7" s="213"/>
      <c r="V7" s="213"/>
      <c r="W7" s="213"/>
      <c r="X7" s="213"/>
      <c r="Y7" s="213"/>
      <c r="Z7" s="213"/>
      <c r="AA7" s="213"/>
      <c r="AB7" s="213"/>
      <c r="AC7" s="213"/>
      <c r="AD7" s="213"/>
      <c r="AE7" s="213"/>
      <c r="AF7" s="213"/>
      <c r="AG7" s="213"/>
      <c r="AH7" s="213"/>
      <c r="AI7" s="213"/>
      <c r="AJ7" s="213"/>
    </row>
    <row r="8" spans="2:36" ht="12.75" customHeight="1">
      <c r="B8" s="333" t="s">
        <v>41</v>
      </c>
      <c r="C8" s="315">
        <v>1409</v>
      </c>
      <c r="D8" s="325">
        <v>1091</v>
      </c>
      <c r="E8" s="317">
        <f>+(D8/C19-1)*100</f>
        <v>0.8317929759704246</v>
      </c>
      <c r="F8" s="318">
        <f>(D8/C8-1)*100</f>
        <v>-22.569198012775015</v>
      </c>
      <c r="G8" s="325">
        <v>476</v>
      </c>
      <c r="H8" s="316">
        <v>394</v>
      </c>
      <c r="I8" s="317">
        <f>+(H8/G19-1)*100</f>
        <v>2.0725388601036343</v>
      </c>
      <c r="J8" s="318">
        <f>(H8/G8-1)*100</f>
        <v>-17.226890756302527</v>
      </c>
      <c r="K8" s="82"/>
      <c r="N8" s="306">
        <f>+D8/H8-1</f>
        <v>1.7690355329949239</v>
      </c>
      <c r="O8" s="213"/>
      <c r="P8" s="213"/>
      <c r="Q8" s="213"/>
      <c r="R8" s="213"/>
      <c r="S8" s="213"/>
      <c r="T8" s="213"/>
      <c r="U8" s="213"/>
      <c r="V8" s="213"/>
      <c r="W8" s="213"/>
      <c r="X8" s="213"/>
      <c r="Y8" s="213"/>
      <c r="Z8" s="213"/>
      <c r="AA8" s="213"/>
      <c r="AB8" s="213"/>
      <c r="AC8" s="213"/>
      <c r="AD8" s="213"/>
      <c r="AE8" s="213"/>
      <c r="AF8" s="213"/>
      <c r="AG8" s="213"/>
      <c r="AH8" s="213"/>
      <c r="AI8" s="213"/>
      <c r="AJ8" s="213"/>
    </row>
    <row r="9" spans="2:36" ht="12.75" customHeight="1">
      <c r="B9" s="334" t="s">
        <v>40</v>
      </c>
      <c r="C9" s="319">
        <v>1396</v>
      </c>
      <c r="D9" s="92">
        <v>1091</v>
      </c>
      <c r="E9" s="314">
        <f>+(D9/D8-1)*100</f>
        <v>0</v>
      </c>
      <c r="F9" s="320">
        <f>(D9/C9-1)*100</f>
        <v>-21.848137535816615</v>
      </c>
      <c r="G9" s="92">
        <v>439</v>
      </c>
      <c r="H9" s="313">
        <v>388</v>
      </c>
      <c r="I9" s="314">
        <f>+(H9/H8-1)*100</f>
        <v>-1.5228426395939132</v>
      </c>
      <c r="J9" s="320">
        <f>(H9/G9-1)*100</f>
        <v>-11.617312072892938</v>
      </c>
      <c r="K9" s="82"/>
      <c r="N9" s="306">
        <f>+D9/H9-1</f>
        <v>1.8118556701030926</v>
      </c>
      <c r="O9" s="213"/>
      <c r="P9" s="213"/>
      <c r="Q9" s="213"/>
      <c r="R9" s="213"/>
      <c r="S9" s="213"/>
      <c r="T9" s="213"/>
      <c r="U9" s="213"/>
      <c r="V9" s="213"/>
      <c r="W9" s="213"/>
      <c r="X9" s="213"/>
      <c r="Y9" s="213"/>
      <c r="Z9" s="213"/>
      <c r="AA9" s="213"/>
      <c r="AB9" s="213"/>
      <c r="AC9" s="213"/>
      <c r="AD9" s="213"/>
      <c r="AE9" s="213"/>
      <c r="AF9" s="213"/>
      <c r="AG9" s="213"/>
      <c r="AH9" s="213"/>
      <c r="AI9" s="213"/>
      <c r="AJ9" s="213"/>
    </row>
    <row r="10" spans="2:36" ht="12.75" customHeight="1">
      <c r="B10" s="334" t="s">
        <v>39</v>
      </c>
      <c r="C10" s="319">
        <v>1197</v>
      </c>
      <c r="D10" s="92">
        <v>1143</v>
      </c>
      <c r="E10" s="314">
        <f>+(D10/D9-1)*100</f>
        <v>4.766269477543528</v>
      </c>
      <c r="F10" s="320">
        <f>(D10/C10-1)*100</f>
        <v>-4.511278195488721</v>
      </c>
      <c r="G10" s="92">
        <v>435</v>
      </c>
      <c r="H10" s="313">
        <v>393</v>
      </c>
      <c r="I10" s="314">
        <f>+(H10/H9-1)*100</f>
        <v>1.2886597938144284</v>
      </c>
      <c r="J10" s="320">
        <f>(H10/G10-1)*100</f>
        <v>-9.6551724137931</v>
      </c>
      <c r="K10" s="82"/>
      <c r="N10" s="306">
        <f aca="true" t="shared" si="0" ref="N10:N19">+D10/H10-1</f>
        <v>1.9083969465648853</v>
      </c>
      <c r="O10" s="213"/>
      <c r="P10" s="213"/>
      <c r="Q10" s="213"/>
      <c r="R10" s="213"/>
      <c r="S10" s="213"/>
      <c r="T10" s="213"/>
      <c r="U10" s="213"/>
      <c r="V10" s="213"/>
      <c r="W10" s="213"/>
      <c r="X10" s="213"/>
      <c r="Y10" s="213"/>
      <c r="Z10" s="213"/>
      <c r="AA10" s="213"/>
      <c r="AB10" s="213"/>
      <c r="AC10" s="213"/>
      <c r="AD10" s="213"/>
      <c r="AE10" s="213"/>
      <c r="AF10" s="213"/>
      <c r="AG10" s="213"/>
      <c r="AH10" s="213"/>
      <c r="AI10" s="213"/>
      <c r="AJ10" s="213"/>
    </row>
    <row r="11" spans="2:36" ht="12.75">
      <c r="B11" s="334" t="s">
        <v>38</v>
      </c>
      <c r="C11" s="319">
        <v>1117</v>
      </c>
      <c r="D11" s="92"/>
      <c r="E11" s="314"/>
      <c r="F11" s="320"/>
      <c r="G11" s="92">
        <v>470</v>
      </c>
      <c r="H11" s="313"/>
      <c r="I11" s="314"/>
      <c r="J11" s="320"/>
      <c r="K11" s="82"/>
      <c r="N11" s="306" t="e">
        <f t="shared" si="0"/>
        <v>#DIV/0!</v>
      </c>
      <c r="O11" s="213"/>
      <c r="P11" s="213"/>
      <c r="Q11" s="213"/>
      <c r="R11" s="213"/>
      <c r="S11" s="213"/>
      <c r="T11" s="213"/>
      <c r="U11" s="213"/>
      <c r="V11" s="213"/>
      <c r="W11" s="213"/>
      <c r="X11" s="213"/>
      <c r="Y11" s="213"/>
      <c r="Z11" s="213"/>
      <c r="AA11" s="213"/>
      <c r="AB11" s="213"/>
      <c r="AC11" s="213"/>
      <c r="AD11" s="213"/>
      <c r="AE11" s="213"/>
      <c r="AF11" s="213"/>
      <c r="AG11" s="213"/>
      <c r="AH11" s="213"/>
      <c r="AI11" s="213"/>
      <c r="AJ11" s="213"/>
    </row>
    <row r="12" spans="2:36" ht="12.75" customHeight="1">
      <c r="B12" s="334" t="s">
        <v>37</v>
      </c>
      <c r="C12" s="319">
        <v>1090</v>
      </c>
      <c r="D12" s="92"/>
      <c r="E12" s="314"/>
      <c r="F12" s="320"/>
      <c r="G12" s="92">
        <v>462</v>
      </c>
      <c r="H12" s="313"/>
      <c r="I12" s="314"/>
      <c r="J12" s="320"/>
      <c r="K12" s="82"/>
      <c r="N12" s="306" t="e">
        <f t="shared" si="0"/>
        <v>#DIV/0!</v>
      </c>
      <c r="O12" s="213"/>
      <c r="P12" s="211"/>
      <c r="Q12" s="211"/>
      <c r="R12" s="211"/>
      <c r="S12" s="211"/>
      <c r="T12" s="211"/>
      <c r="U12" s="211"/>
      <c r="V12" s="211"/>
      <c r="W12" s="211"/>
      <c r="X12" s="211"/>
      <c r="Y12" s="211"/>
      <c r="Z12" s="211"/>
      <c r="AA12" s="211"/>
      <c r="AB12" s="211"/>
      <c r="AC12" s="211"/>
      <c r="AD12" s="211"/>
      <c r="AE12" s="211"/>
      <c r="AF12" s="211"/>
      <c r="AG12" s="211"/>
      <c r="AH12" s="211"/>
      <c r="AI12" s="211"/>
      <c r="AJ12" s="211"/>
    </row>
    <row r="13" spans="2:36" ht="12.75" customHeight="1">
      <c r="B13" s="334" t="s">
        <v>36</v>
      </c>
      <c r="C13" s="319">
        <v>1136</v>
      </c>
      <c r="D13" s="92"/>
      <c r="E13" s="314"/>
      <c r="F13" s="320"/>
      <c r="G13" s="92">
        <v>528</v>
      </c>
      <c r="H13" s="313"/>
      <c r="I13" s="314"/>
      <c r="J13" s="320"/>
      <c r="K13" s="82"/>
      <c r="M13" s="246"/>
      <c r="N13" s="306" t="e">
        <f t="shared" si="0"/>
        <v>#DIV/0!</v>
      </c>
      <c r="O13" s="213"/>
      <c r="P13" s="211"/>
      <c r="Q13" s="211"/>
      <c r="R13" s="211"/>
      <c r="S13" s="211"/>
      <c r="T13" s="211"/>
      <c r="U13" s="211"/>
      <c r="V13" s="211"/>
      <c r="W13" s="211"/>
      <c r="X13" s="211"/>
      <c r="Y13" s="211"/>
      <c r="Z13" s="211"/>
      <c r="AA13" s="211"/>
      <c r="AB13" s="211"/>
      <c r="AC13" s="211"/>
      <c r="AD13" s="211"/>
      <c r="AE13" s="211"/>
      <c r="AF13" s="211"/>
      <c r="AG13" s="211"/>
      <c r="AH13" s="211"/>
      <c r="AI13" s="211"/>
      <c r="AJ13" s="211"/>
    </row>
    <row r="14" spans="2:36" ht="12.75">
      <c r="B14" s="334" t="s">
        <v>35</v>
      </c>
      <c r="C14" s="319">
        <v>1067</v>
      </c>
      <c r="D14" s="92"/>
      <c r="E14" s="314"/>
      <c r="F14" s="320"/>
      <c r="G14" s="92">
        <v>522</v>
      </c>
      <c r="H14" s="313"/>
      <c r="I14" s="314"/>
      <c r="J14" s="320"/>
      <c r="K14" s="82"/>
      <c r="N14" s="306" t="e">
        <f t="shared" si="0"/>
        <v>#DIV/0!</v>
      </c>
      <c r="O14" s="213"/>
      <c r="P14" s="211"/>
      <c r="Q14" s="211"/>
      <c r="R14" s="211"/>
      <c r="S14" s="211"/>
      <c r="T14" s="211"/>
      <c r="U14" s="211"/>
      <c r="V14" s="211"/>
      <c r="W14" s="211"/>
      <c r="X14" s="211"/>
      <c r="Y14" s="211"/>
      <c r="Z14" s="211"/>
      <c r="AA14" s="211"/>
      <c r="AB14" s="211"/>
      <c r="AC14" s="211"/>
      <c r="AD14" s="211"/>
      <c r="AE14" s="211"/>
      <c r="AF14" s="211"/>
      <c r="AG14" s="211"/>
      <c r="AH14" s="211"/>
      <c r="AI14" s="211"/>
      <c r="AJ14" s="211"/>
    </row>
    <row r="15" spans="2:36" ht="13.5" customHeight="1">
      <c r="B15" s="334" t="s">
        <v>34</v>
      </c>
      <c r="C15" s="319">
        <v>1043</v>
      </c>
      <c r="D15" s="92"/>
      <c r="E15" s="314"/>
      <c r="F15" s="320"/>
      <c r="G15" s="92">
        <v>537</v>
      </c>
      <c r="H15" s="313"/>
      <c r="I15" s="314"/>
      <c r="J15" s="320"/>
      <c r="K15" s="82"/>
      <c r="N15" s="306" t="e">
        <f t="shared" si="0"/>
        <v>#DIV/0!</v>
      </c>
      <c r="O15" s="213"/>
      <c r="P15" s="211"/>
      <c r="Q15" s="211"/>
      <c r="R15" s="211"/>
      <c r="S15" s="211"/>
      <c r="T15" s="211"/>
      <c r="U15" s="211"/>
      <c r="V15" s="211"/>
      <c r="W15" s="211"/>
      <c r="X15" s="211"/>
      <c r="Y15" s="211"/>
      <c r="Z15" s="211"/>
      <c r="AA15" s="211"/>
      <c r="AB15" s="211"/>
      <c r="AC15" s="211"/>
      <c r="AD15" s="211"/>
      <c r="AE15" s="211"/>
      <c r="AF15" s="211"/>
      <c r="AG15" s="211"/>
      <c r="AH15" s="211"/>
      <c r="AI15" s="211"/>
      <c r="AJ15" s="211"/>
    </row>
    <row r="16" spans="2:36" ht="12.75">
      <c r="B16" s="334" t="s">
        <v>33</v>
      </c>
      <c r="C16" s="319">
        <v>1035</v>
      </c>
      <c r="D16" s="92"/>
      <c r="E16" s="314"/>
      <c r="F16" s="320"/>
      <c r="G16" s="92">
        <v>502</v>
      </c>
      <c r="H16" s="313"/>
      <c r="I16" s="314"/>
      <c r="J16" s="320"/>
      <c r="K16" s="82"/>
      <c r="N16" s="306" t="e">
        <f t="shared" si="0"/>
        <v>#DIV/0!</v>
      </c>
      <c r="O16" s="213"/>
      <c r="P16" s="211"/>
      <c r="Q16" s="211"/>
      <c r="R16" s="211"/>
      <c r="S16" s="211"/>
      <c r="T16" s="211"/>
      <c r="U16" s="211"/>
      <c r="V16" s="211"/>
      <c r="W16" s="211"/>
      <c r="X16" s="211"/>
      <c r="Y16" s="211"/>
      <c r="Z16" s="211"/>
      <c r="AA16" s="211"/>
      <c r="AB16" s="211"/>
      <c r="AC16" s="211"/>
      <c r="AD16" s="211"/>
      <c r="AE16" s="211"/>
      <c r="AF16" s="211"/>
      <c r="AG16" s="211"/>
      <c r="AH16" s="211"/>
      <c r="AI16" s="211"/>
      <c r="AJ16" s="211"/>
    </row>
    <row r="17" spans="2:16" ht="12.75" customHeight="1">
      <c r="B17" s="334" t="s">
        <v>32</v>
      </c>
      <c r="C17" s="319">
        <v>1042</v>
      </c>
      <c r="D17" s="92"/>
      <c r="E17" s="314"/>
      <c r="F17" s="320"/>
      <c r="G17" s="92">
        <v>524</v>
      </c>
      <c r="H17" s="313"/>
      <c r="I17" s="314"/>
      <c r="J17" s="320"/>
      <c r="K17" s="82"/>
      <c r="N17" s="306" t="e">
        <f t="shared" si="0"/>
        <v>#DIV/0!</v>
      </c>
      <c r="O17" s="213"/>
      <c r="P17" s="211"/>
    </row>
    <row r="18" spans="2:31" ht="12.75">
      <c r="B18" s="334" t="s">
        <v>31</v>
      </c>
      <c r="C18" s="319">
        <v>1130</v>
      </c>
      <c r="D18" s="92"/>
      <c r="E18" s="314"/>
      <c r="F18" s="320"/>
      <c r="G18" s="92">
        <v>477</v>
      </c>
      <c r="H18" s="313"/>
      <c r="I18" s="314"/>
      <c r="J18" s="320"/>
      <c r="K18" s="82"/>
      <c r="N18" s="306" t="e">
        <f t="shared" si="0"/>
        <v>#DIV/0!</v>
      </c>
      <c r="O18" s="213"/>
      <c r="P18" s="211"/>
      <c r="AE18" s="211"/>
    </row>
    <row r="19" spans="2:16" ht="12.75">
      <c r="B19" s="335" t="s">
        <v>30</v>
      </c>
      <c r="C19" s="321">
        <v>1082</v>
      </c>
      <c r="D19" s="326"/>
      <c r="E19" s="323"/>
      <c r="F19" s="324"/>
      <c r="G19" s="326">
        <v>386</v>
      </c>
      <c r="H19" s="322"/>
      <c r="I19" s="323"/>
      <c r="J19" s="324"/>
      <c r="K19" s="82"/>
      <c r="N19" s="306" t="e">
        <f t="shared" si="0"/>
        <v>#DIV/0!</v>
      </c>
      <c r="O19" s="213"/>
      <c r="P19" s="211"/>
    </row>
    <row r="20" spans="2:31" ht="12.75">
      <c r="B20" s="336" t="s">
        <v>69</v>
      </c>
      <c r="C20" s="327">
        <f>AVERAGE(C8:C19)</f>
        <v>1145.3333333333333</v>
      </c>
      <c r="D20" s="328">
        <f>AVERAGE(D8:D19)</f>
        <v>1108.3333333333333</v>
      </c>
      <c r="E20" s="328"/>
      <c r="F20" s="329"/>
      <c r="G20" s="327">
        <f>AVERAGE(G8:G19)</f>
        <v>479.8333333333333</v>
      </c>
      <c r="H20" s="328">
        <f>AVERAGE(H8:H19)</f>
        <v>391.6666666666667</v>
      </c>
      <c r="I20" s="328"/>
      <c r="J20" s="329"/>
      <c r="K20" s="82"/>
      <c r="O20" s="213"/>
      <c r="P20" s="211"/>
      <c r="AE20" s="211"/>
    </row>
    <row r="21" spans="2:31" ht="12.75" customHeight="1">
      <c r="B21" s="337" t="str">
        <f>+'precio mayorista'!B21</f>
        <v>Promedio a la fecha</v>
      </c>
      <c r="C21" s="330">
        <f>AVERAGE(C8:C10)</f>
        <v>1334</v>
      </c>
      <c r="D21" s="331">
        <f>AVERAGE(D8:D19)</f>
        <v>1108.3333333333333</v>
      </c>
      <c r="E21" s="331"/>
      <c r="F21" s="332">
        <f>(D21/C21-1)*100</f>
        <v>-16.91654172913544</v>
      </c>
      <c r="G21" s="330">
        <f>AVERAGE(G8:G10)</f>
        <v>450</v>
      </c>
      <c r="H21" s="331">
        <f>AVERAGE(H8:H19)</f>
        <v>391.6666666666667</v>
      </c>
      <c r="I21" s="331"/>
      <c r="J21" s="332">
        <f>(H21/G21-1)*100</f>
        <v>-12.962962962962955</v>
      </c>
      <c r="K21" s="82"/>
      <c r="O21" s="213"/>
      <c r="P21" s="211"/>
      <c r="AE21" s="211"/>
    </row>
    <row r="22" spans="2:16" ht="12.75">
      <c r="B22" s="378" t="s">
        <v>184</v>
      </c>
      <c r="C22" s="378"/>
      <c r="D22" s="378"/>
      <c r="E22" s="378"/>
      <c r="F22" s="378"/>
      <c r="G22" s="378"/>
      <c r="H22" s="378"/>
      <c r="I22" s="378"/>
      <c r="J22" s="378"/>
      <c r="K22" s="102"/>
      <c r="O22" s="213"/>
      <c r="P22" s="211"/>
    </row>
    <row r="23" spans="15:32" ht="12.75">
      <c r="O23" s="213"/>
      <c r="P23" s="211"/>
      <c r="T23" s="211"/>
      <c r="U23" s="211"/>
      <c r="V23" s="211"/>
      <c r="W23" s="211"/>
      <c r="X23" s="211"/>
      <c r="Y23" s="211"/>
      <c r="Z23" s="211"/>
      <c r="AA23" s="211"/>
      <c r="AB23" s="211"/>
      <c r="AC23" s="211"/>
      <c r="AD23" s="211"/>
      <c r="AE23" s="211"/>
      <c r="AF23" s="211"/>
    </row>
    <row r="24" spans="4:15" ht="12.75">
      <c r="D24" s="340" t="s">
        <v>67</v>
      </c>
      <c r="E24" s="340" t="s">
        <v>68</v>
      </c>
      <c r="F24" s="340" t="s">
        <v>271</v>
      </c>
      <c r="O24" s="213"/>
    </row>
    <row r="25" spans="3:32" ht="12.75">
      <c r="C25" s="131">
        <v>42186</v>
      </c>
      <c r="D25" s="130">
        <v>974</v>
      </c>
      <c r="E25" s="130">
        <v>525</v>
      </c>
      <c r="F25" s="130">
        <f>+'precio mayorista'!C14</f>
        <v>268.59</v>
      </c>
      <c r="O25" s="213"/>
      <c r="P25" s="211"/>
      <c r="Q25" s="211"/>
      <c r="R25" s="211"/>
      <c r="S25" s="211"/>
      <c r="T25" s="211"/>
      <c r="U25" s="211"/>
      <c r="V25" s="211"/>
      <c r="W25" s="211"/>
      <c r="X25" s="211"/>
      <c r="Y25" s="211"/>
      <c r="Z25" s="211"/>
      <c r="AA25" s="211"/>
      <c r="AB25" s="211"/>
      <c r="AC25" s="211"/>
      <c r="AD25" s="211"/>
      <c r="AE25" s="211"/>
      <c r="AF25" s="211"/>
    </row>
    <row r="26" spans="3:32" ht="12.75">
      <c r="C26" s="131">
        <v>42217</v>
      </c>
      <c r="D26" s="130">
        <v>1094</v>
      </c>
      <c r="E26" s="130">
        <v>651</v>
      </c>
      <c r="F26" s="130">
        <f>+'precio mayorista'!C15</f>
        <v>374.35</v>
      </c>
      <c r="O26" s="213"/>
      <c r="P26" s="211"/>
      <c r="Q26" s="211"/>
      <c r="R26" s="211"/>
      <c r="S26" s="211"/>
      <c r="T26" s="211"/>
      <c r="U26" s="211"/>
      <c r="V26" s="211"/>
      <c r="W26" s="211"/>
      <c r="X26" s="211"/>
      <c r="Y26" s="211"/>
      <c r="Z26" s="211"/>
      <c r="AA26" s="211"/>
      <c r="AB26" s="211"/>
      <c r="AC26" s="211"/>
      <c r="AD26" s="211"/>
      <c r="AE26" s="211"/>
      <c r="AF26" s="211"/>
    </row>
    <row r="27" spans="3:32" ht="12.75">
      <c r="C27" s="131">
        <v>42248</v>
      </c>
      <c r="D27" s="130">
        <v>1299</v>
      </c>
      <c r="E27" s="130">
        <v>624</v>
      </c>
      <c r="F27" s="130">
        <f>+'precio mayorista'!C16</f>
        <v>344.46</v>
      </c>
      <c r="O27" s="213"/>
      <c r="P27" s="211"/>
      <c r="Q27" s="211"/>
      <c r="R27" s="211"/>
      <c r="S27" s="211"/>
      <c r="T27" s="211"/>
      <c r="U27" s="211"/>
      <c r="V27" s="211"/>
      <c r="W27" s="211"/>
      <c r="X27" s="211"/>
      <c r="Y27" s="211"/>
      <c r="Z27" s="211"/>
      <c r="AA27" s="211"/>
      <c r="AB27" s="211"/>
      <c r="AC27" s="211"/>
      <c r="AD27" s="211"/>
      <c r="AE27" s="211"/>
      <c r="AF27" s="211"/>
    </row>
    <row r="28" spans="3:32" ht="12.75">
      <c r="C28" s="131">
        <v>42278</v>
      </c>
      <c r="D28" s="130">
        <v>1367</v>
      </c>
      <c r="E28" s="130">
        <v>693</v>
      </c>
      <c r="F28" s="130">
        <f>+'precio mayorista'!C17</f>
        <v>386.05</v>
      </c>
      <c r="O28" s="213"/>
      <c r="P28" s="211"/>
      <c r="Q28" s="211"/>
      <c r="R28" s="211"/>
      <c r="S28" s="211"/>
      <c r="T28" s="211"/>
      <c r="U28" s="211"/>
      <c r="V28" s="211"/>
      <c r="W28" s="211"/>
      <c r="X28" s="211"/>
      <c r="Y28" s="211"/>
      <c r="Z28" s="211"/>
      <c r="AA28" s="211"/>
      <c r="AB28" s="211"/>
      <c r="AC28" s="211"/>
      <c r="AD28" s="211"/>
      <c r="AE28" s="211"/>
      <c r="AF28" s="211"/>
    </row>
    <row r="29" spans="3:16" ht="12.75">
      <c r="C29" s="131">
        <v>42309</v>
      </c>
      <c r="D29" s="130">
        <v>1468</v>
      </c>
      <c r="E29" s="130">
        <v>666</v>
      </c>
      <c r="F29" s="130">
        <f>+'precio mayorista'!C18</f>
        <v>396.11</v>
      </c>
      <c r="O29" s="213"/>
      <c r="P29" s="211"/>
    </row>
    <row r="30" spans="3:16" ht="12.75">
      <c r="C30" s="131">
        <v>42339</v>
      </c>
      <c r="D30" s="130">
        <v>1490</v>
      </c>
      <c r="E30" s="130">
        <v>563</v>
      </c>
      <c r="F30" s="130">
        <f>+'precio mayorista'!C19</f>
        <v>277.5</v>
      </c>
      <c r="O30" s="213"/>
      <c r="P30" s="211"/>
    </row>
    <row r="31" spans="3:16" ht="12.75">
      <c r="C31" s="161">
        <v>42370</v>
      </c>
      <c r="D31" s="50">
        <f aca="true" t="shared" si="1" ref="D31:D42">+C8</f>
        <v>1409</v>
      </c>
      <c r="E31" s="50">
        <f aca="true" t="shared" si="2" ref="E31:E42">+G8</f>
        <v>476</v>
      </c>
      <c r="F31" s="130">
        <f>+'precio mayorista'!D8</f>
        <v>196.24</v>
      </c>
      <c r="O31" s="213"/>
      <c r="P31" s="211"/>
    </row>
    <row r="32" spans="3:16" ht="12.75">
      <c r="C32" s="161">
        <v>42401</v>
      </c>
      <c r="D32" s="50">
        <f t="shared" si="1"/>
        <v>1396</v>
      </c>
      <c r="E32" s="50">
        <f t="shared" si="2"/>
        <v>439</v>
      </c>
      <c r="F32" s="130">
        <f>+'precio mayorista'!D9</f>
        <v>180.84</v>
      </c>
      <c r="O32" s="213"/>
      <c r="P32" s="211"/>
    </row>
    <row r="33" spans="3:16" ht="12.75">
      <c r="C33" s="161">
        <v>42430</v>
      </c>
      <c r="D33" s="50">
        <f t="shared" si="1"/>
        <v>1197</v>
      </c>
      <c r="E33" s="50">
        <f t="shared" si="2"/>
        <v>435</v>
      </c>
      <c r="F33" s="130">
        <f>+'precio mayorista'!D10</f>
        <v>181.1</v>
      </c>
      <c r="O33" s="213"/>
      <c r="P33" s="211"/>
    </row>
    <row r="34" spans="3:16" ht="12.75">
      <c r="C34" s="161">
        <v>42461</v>
      </c>
      <c r="D34" s="50">
        <f t="shared" si="1"/>
        <v>1117</v>
      </c>
      <c r="E34" s="50">
        <f t="shared" si="2"/>
        <v>470</v>
      </c>
      <c r="F34" s="130">
        <f>+'precio mayorista'!D11</f>
        <v>174.37</v>
      </c>
      <c r="O34" s="213"/>
      <c r="P34" s="211"/>
    </row>
    <row r="35" spans="3:16" ht="12.75">
      <c r="C35" s="161">
        <v>42491</v>
      </c>
      <c r="D35" s="50">
        <f t="shared" si="1"/>
        <v>1090</v>
      </c>
      <c r="E35" s="50">
        <f t="shared" si="2"/>
        <v>462</v>
      </c>
      <c r="F35" s="130">
        <f>+'precio mayorista'!D12</f>
        <v>217.98</v>
      </c>
      <c r="O35" s="213"/>
      <c r="P35" s="211"/>
    </row>
    <row r="36" spans="3:16" ht="12.75">
      <c r="C36" s="161">
        <v>42522</v>
      </c>
      <c r="D36" s="50">
        <f t="shared" si="1"/>
        <v>1136</v>
      </c>
      <c r="E36" s="50">
        <f t="shared" si="2"/>
        <v>528</v>
      </c>
      <c r="F36" s="130">
        <f>+'precio mayorista'!D13</f>
        <v>243.56</v>
      </c>
      <c r="O36" s="213"/>
      <c r="P36" s="211"/>
    </row>
    <row r="37" spans="3:16" ht="12.75">
      <c r="C37" s="161">
        <v>42552</v>
      </c>
      <c r="D37" s="50">
        <f t="shared" si="1"/>
        <v>1067</v>
      </c>
      <c r="E37" s="50">
        <f t="shared" si="2"/>
        <v>522</v>
      </c>
      <c r="F37" s="130">
        <f>+'precio mayorista'!D14</f>
        <v>245.19</v>
      </c>
      <c r="O37" s="213"/>
      <c r="P37" s="211"/>
    </row>
    <row r="38" spans="3:31" ht="12.75">
      <c r="C38" s="161">
        <v>42583</v>
      </c>
      <c r="D38" s="50">
        <f t="shared" si="1"/>
        <v>1043</v>
      </c>
      <c r="E38" s="50">
        <f t="shared" si="2"/>
        <v>537</v>
      </c>
      <c r="F38" s="130">
        <f>+'precio mayorista'!D15</f>
        <v>266.75</v>
      </c>
      <c r="O38" s="213"/>
      <c r="P38" s="211"/>
      <c r="Q38" s="211"/>
      <c r="R38" s="211"/>
      <c r="S38" s="211"/>
      <c r="T38" s="211"/>
      <c r="U38" s="211"/>
      <c r="V38" s="211"/>
      <c r="W38" s="211"/>
      <c r="X38" s="211"/>
      <c r="Y38" s="211"/>
      <c r="Z38" s="211"/>
      <c r="AA38" s="211"/>
      <c r="AB38" s="211"/>
      <c r="AC38" s="211"/>
      <c r="AD38" s="211"/>
      <c r="AE38" s="211"/>
    </row>
    <row r="39" spans="3:6" ht="12.75">
      <c r="C39" s="161">
        <v>42614</v>
      </c>
      <c r="D39" s="50">
        <f t="shared" si="1"/>
        <v>1035</v>
      </c>
      <c r="E39" s="50">
        <f t="shared" si="2"/>
        <v>502</v>
      </c>
      <c r="F39" s="130">
        <f>+'precio mayorista'!D16</f>
        <v>232.53</v>
      </c>
    </row>
    <row r="40" spans="3:6" ht="12.75">
      <c r="C40" s="161">
        <v>42644</v>
      </c>
      <c r="D40" s="50">
        <f t="shared" si="1"/>
        <v>1042</v>
      </c>
      <c r="E40" s="50">
        <f t="shared" si="2"/>
        <v>524</v>
      </c>
      <c r="F40" s="130">
        <f>+'precio mayorista'!D17</f>
        <v>231.59</v>
      </c>
    </row>
    <row r="41" spans="3:6" ht="12.75">
      <c r="C41" s="161">
        <v>42675</v>
      </c>
      <c r="D41" s="50">
        <f t="shared" si="1"/>
        <v>1130</v>
      </c>
      <c r="E41" s="50">
        <f t="shared" si="2"/>
        <v>477</v>
      </c>
      <c r="F41" s="130">
        <f>+'precio mayorista'!D18</f>
        <v>210.93</v>
      </c>
    </row>
    <row r="42" spans="3:6" ht="12.75">
      <c r="C42" s="161">
        <v>42705</v>
      </c>
      <c r="D42" s="50">
        <f t="shared" si="1"/>
        <v>1082</v>
      </c>
      <c r="E42" s="50">
        <f t="shared" si="2"/>
        <v>386</v>
      </c>
      <c r="F42" s="130">
        <f>+'precio mayorista'!D19</f>
        <v>137.89</v>
      </c>
    </row>
    <row r="43" spans="3:6" ht="12.75">
      <c r="C43" s="161">
        <v>42736</v>
      </c>
      <c r="D43" s="50">
        <f>+D8</f>
        <v>1091</v>
      </c>
      <c r="E43" s="50">
        <f>+H8</f>
        <v>394</v>
      </c>
      <c r="F43" s="130">
        <f>+'precio mayorista'!E8</f>
        <v>120.48</v>
      </c>
    </row>
    <row r="44" spans="3:6" ht="12.75">
      <c r="C44" s="161">
        <v>42767</v>
      </c>
      <c r="D44" s="50">
        <f>+D9</f>
        <v>1091</v>
      </c>
      <c r="E44" s="50">
        <f>+H9</f>
        <v>388</v>
      </c>
      <c r="F44" s="130">
        <f>+'precio mayorista'!E9</f>
        <v>137.66</v>
      </c>
    </row>
    <row r="45" spans="2:6" ht="12.75">
      <c r="B45" s="48"/>
      <c r="C45" s="161">
        <v>42795</v>
      </c>
      <c r="D45" s="50">
        <f>+D10</f>
        <v>1143</v>
      </c>
      <c r="E45" s="50">
        <f>+H10</f>
        <v>393</v>
      </c>
      <c r="F45" s="130">
        <f>+'precio mayorista'!E10</f>
        <v>144.84</v>
      </c>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2" r:id="rId2"/>
  <headerFooter differentFirst="1">
    <oddFooter>&amp;C&amp;P</oddFooter>
  </headerFooter>
  <ignoredErrors>
    <ignoredError sqref="C20 E20:G20 D20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2017-04-17T18:14:40Z</cp:lastPrinted>
  <dcterms:created xsi:type="dcterms:W3CDTF">2011-10-13T14:46:36Z</dcterms:created>
  <dcterms:modified xsi:type="dcterms:W3CDTF">2019-02-04T18:06:02Z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