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1.xml" ContentType="application/vnd.openxmlformats-officedocument.drawing+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5.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7.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2.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3.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6.xml" ContentType="application/vnd.openxmlformats-officedocument.drawing+xml"/>
  <Override PartName="/xl/drawings/drawing47.xml" ContentType="application/vnd.openxmlformats-officedocument.drawing+xml"/>
  <Override PartName="/xl/charts/chart25.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6.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7.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8.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9.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3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1.xml" ContentType="application/vnd.openxmlformats-officedocument.drawingml.chart+xml"/>
  <Override PartName="/xl/drawings/drawing60.xml" ContentType="application/vnd.openxmlformats-officedocument.drawingml.chartshapes+xml"/>
  <Override PartName="/xl/charts/chart3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3.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67.xml" ContentType="application/vnd.openxmlformats-officedocument.drawing+xml"/>
  <Override PartName="/xl/charts/chart39.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40.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41.xml" ContentType="application/vnd.openxmlformats-officedocument.drawingml.chart+xml"/>
  <Override PartName="/xl/drawings/drawing72.xml" ContentType="application/vnd.openxmlformats-officedocument.drawing+xml"/>
  <Override PartName="/xl/charts/chart42.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charts/chart4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odepa.sharepoint.com/sites/PoliticasAgrarias/Documentos compartidos/General/Cereales/2015 EN ADELANTE/CEREALES/BOLETINES/Boletín Cereales/2024/8. Agosto/"/>
    </mc:Choice>
  </mc:AlternateContent>
  <xr:revisionPtr revIDLastSave="404" documentId="13_ncr:1_{9DDBB583-0057-4EDD-89C3-1DA37A77EC75}" xr6:coauthVersionLast="47" xr6:coauthVersionMax="47" xr10:uidLastSave="{6B32B139-80E0-4D98-B01B-456E8AB92D30}"/>
  <bookViews>
    <workbookView xWindow="-118" yWindow="-118" windowWidth="25370" windowHeight="13667" tabRatio="772"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 sheetId="91" r:id="rId18"/>
    <sheet name="19" sheetId="19" r:id="rId19"/>
    <sheet name="20" sheetId="12" r:id="rId20"/>
    <sheet name="21" sheetId="95" r:id="rId21"/>
    <sheet name="22" sheetId="31" r:id="rId22"/>
    <sheet name="23" sheetId="37" r:id="rId23"/>
    <sheet name="24" sheetId="84" r:id="rId24"/>
    <sheet name="25" sheetId="85" r:id="rId25"/>
    <sheet name="26A" sheetId="86" r:id="rId26"/>
    <sheet name="26B" sheetId="87" r:id="rId27"/>
    <sheet name="26C" sheetId="88" r:id="rId28"/>
    <sheet name="27" sheetId="34" r:id="rId29"/>
    <sheet name="Contenido Maíz" sheetId="39" r:id="rId30"/>
    <sheet name="28" sheetId="40" r:id="rId31"/>
    <sheet name="29" sheetId="41" r:id="rId32"/>
    <sheet name="30" sheetId="42" r:id="rId33"/>
    <sheet name="31" sheetId="43" r:id="rId34"/>
    <sheet name="32" sheetId="44" r:id="rId35"/>
    <sheet name="33" sheetId="45" r:id="rId36"/>
    <sheet name="34" sheetId="46" r:id="rId37"/>
    <sheet name="35" sheetId="47" r:id="rId38"/>
    <sheet name="36" sheetId="48" r:id="rId39"/>
    <sheet name="37" sheetId="49" r:id="rId40"/>
    <sheet name="38" sheetId="50" r:id="rId41"/>
    <sheet name="39" sheetId="51" r:id="rId42"/>
    <sheet name="40" sheetId="52" r:id="rId43"/>
    <sheet name="41" sheetId="77" r:id="rId44"/>
    <sheet name="42" sheetId="54" r:id="rId45"/>
    <sheet name="43" sheetId="94" r:id="rId46"/>
    <sheet name="Contenido Arroz" sheetId="56" r:id="rId47"/>
    <sheet name="44" sheetId="57" r:id="rId48"/>
    <sheet name="45" sheetId="58" r:id="rId49"/>
    <sheet name="46" sheetId="59" r:id="rId50"/>
    <sheet name="47" sheetId="60" r:id="rId51"/>
    <sheet name="48" sheetId="61" r:id="rId52"/>
    <sheet name="49" sheetId="62" r:id="rId53"/>
    <sheet name="50" sheetId="63" r:id="rId54"/>
    <sheet name="51" sheetId="64" r:id="rId55"/>
    <sheet name="52" sheetId="65" r:id="rId56"/>
    <sheet name="53" sheetId="66" r:id="rId57"/>
    <sheet name="54" sheetId="67" r:id="rId58"/>
    <sheet name="55" sheetId="68" r:id="rId59"/>
    <sheet name="56" sheetId="69" r:id="rId60"/>
    <sheet name="57A" sheetId="70" r:id="rId61"/>
    <sheet name="57B" sheetId="92" r:id="rId62"/>
    <sheet name="58" sheetId="73" r:id="rId63"/>
    <sheet name="59" sheetId="74" r:id="rId64"/>
    <sheet name="60" sheetId="75" r:id="rId65"/>
    <sheet name="61" sheetId="89" r:id="rId66"/>
  </sheets>
  <externalReferences>
    <externalReference r:id="rId67"/>
    <externalReference r:id="rId68"/>
    <externalReference r:id="rId69"/>
  </externalReferences>
  <definedNames>
    <definedName name="_xlnm._FilterDatabase" localSheetId="17" hidden="1">'18 '!$V$8:$X$8</definedName>
    <definedName name="_xlnm._FilterDatabase" localSheetId="65" hidden="1">'61'!$O$1:$R$1</definedName>
    <definedName name="_xlnm.Print_Area" localSheetId="9">'10'!$B$1:$G$25</definedName>
    <definedName name="_xlnm.Print_Area" localSheetId="10">'11'!$B$1:$J$39</definedName>
    <definedName name="_xlnm.Print_Area" localSheetId="11">'12'!$A$1:$H$39</definedName>
    <definedName name="_xlnm.Print_Area" localSheetId="12">'13'!$A$1:$U$41</definedName>
    <definedName name="_xlnm.Print_Area" localSheetId="13">'14'!$A$1:$U$41</definedName>
    <definedName name="_xlnm.Print_Area" localSheetId="14">'15'!$A$1:$S$28</definedName>
    <definedName name="_xlnm.Print_Area" localSheetId="15">'16'!$A$1:$S$36</definedName>
    <definedName name="_xlnm.Print_Area" localSheetId="16">'17'!$A$1:$S$23</definedName>
    <definedName name="_xlnm.Print_Area" localSheetId="17">'18 '!$B$1:$T$34</definedName>
    <definedName name="_xlnm.Print_Area" localSheetId="18">'19'!$A$1:$AA$21</definedName>
    <definedName name="_xlnm.Print_Area" localSheetId="19">'20'!$A$1:$H$73</definedName>
    <definedName name="_xlnm.Print_Area" localSheetId="20">'21'!$B$1:$K$32</definedName>
    <definedName name="_xlnm.Print_Area" localSheetId="21">'22'!$B$1:$P$46</definedName>
    <definedName name="_xlnm.Print_Area" localSheetId="22">'23'!$B$1:$K$37</definedName>
    <definedName name="_xlnm.Print_Area" localSheetId="23">'24'!$B$1:$S$38</definedName>
    <definedName name="_xlnm.Print_Area" localSheetId="24">'25'!$B$1:$S$37</definedName>
    <definedName name="_xlnm.Print_Area" localSheetId="25">'26A'!$B$1:$K$36</definedName>
    <definedName name="_xlnm.Print_Area" localSheetId="26">'26B'!$A$1:$J$36</definedName>
    <definedName name="_xlnm.Print_Area" localSheetId="27">'26C'!$A$1:$F$36</definedName>
    <definedName name="_xlnm.Print_Area" localSheetId="28">'27'!$A$1:$E$29</definedName>
    <definedName name="_xlnm.Print_Area" localSheetId="30">'28'!$B$1:$I$34</definedName>
    <definedName name="_xlnm.Print_Area" localSheetId="31">'29'!$B$1:$G$40</definedName>
    <definedName name="_xlnm.Print_Area" localSheetId="32">'30'!$B$2:$I$21</definedName>
    <definedName name="_xlnm.Print_Area" localSheetId="36">'34'!$A$1:$F$30</definedName>
    <definedName name="_xlnm.Print_Area" localSheetId="38">'36'!$A$1:$J$40</definedName>
    <definedName name="_xlnm.Print_Area" localSheetId="39">'37'!$B$1:$S$42</definedName>
    <definedName name="_xlnm.Print_Area" localSheetId="40">'38'!$A$1:$G$36</definedName>
    <definedName name="_xlnm.Print_Area" localSheetId="41">'39'!$B$1:$H$40</definedName>
    <definedName name="_xlnm.Print_Area" localSheetId="3">'4'!$A$1:$H$38</definedName>
    <definedName name="_xlnm.Print_Area" localSheetId="42">'40'!$A$1:$J$43</definedName>
    <definedName name="_xlnm.Print_Area" localSheetId="43">'41'!$A$1:$AA$20</definedName>
    <definedName name="_xlnm.Print_Area" localSheetId="44">'42'!$B$1:$G$68</definedName>
    <definedName name="_xlnm.Print_Area" localSheetId="45">'43'!$A$1:$E$25</definedName>
    <definedName name="_xlnm.Print_Area" localSheetId="47">'44'!$B$1:$G$35</definedName>
    <definedName name="_xlnm.Print_Area" localSheetId="48">'45'!$B$1:$G$39</definedName>
    <definedName name="_xlnm.Print_Area" localSheetId="49">'46'!$B$2:$O$21</definedName>
    <definedName name="_xlnm.Print_Area" localSheetId="52">'49'!$B$1:$F$20</definedName>
    <definedName name="_xlnm.Print_Area" localSheetId="4">'5'!$A$1:$G$40</definedName>
    <definedName name="_xlnm.Print_Area" localSheetId="55">'52'!$B$1:$X$39</definedName>
    <definedName name="_xlnm.Print_Area" localSheetId="57">'54'!$B$1:$G$35</definedName>
    <definedName name="_xlnm.Print_Area" localSheetId="59">'56'!$A$1:$G$19</definedName>
    <definedName name="_xlnm.Print_Area" localSheetId="60">'57A'!$B$1:$I$70</definedName>
    <definedName name="_xlnm.Print_Area" localSheetId="61">'57B'!$B$1:$I$70</definedName>
    <definedName name="_xlnm.Print_Area" localSheetId="62">'58'!$A$1:$F$32</definedName>
    <definedName name="_xlnm.Print_Area" localSheetId="5">'6'!$B$1:$N$20</definedName>
    <definedName name="_xlnm.Print_Area" localSheetId="65">'61'!$A$1:$G$22</definedName>
    <definedName name="_xlnm.Print_Area" localSheetId="6">'7'!$B$1:$H$39</definedName>
    <definedName name="_xlnm.Print_Area" localSheetId="7">'8'!$A$1:$G$40</definedName>
    <definedName name="_xlnm.Print_Area" localSheetId="8">'9'!$A$1:$F$31</definedName>
    <definedName name="_xlnm.Print_Area" localSheetId="46">'Contenido Arroz'!$A$2:$G$41</definedName>
    <definedName name="_xlnm.Print_Area" localSheetId="29">'Contenido Maíz'!$A$2:$G$40</definedName>
    <definedName name="_xlnm.Print_Area" localSheetId="2">'Contenido Trigo'!$A$2:$G$44</definedName>
    <definedName name="_xlnm.Print_Area" localSheetId="1">Introducción!$A$1:$E$11</definedName>
    <definedName name="_xlnm.Print_Area" localSheetId="0">Portada!$A$1:$E$86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'10'!$B$1:$G$26</definedName>
    <definedName name="Print_Area" localSheetId="10">'11'!$A$1:$K$39</definedName>
    <definedName name="Print_Area" localSheetId="11">'12'!$A$1:$F$38</definedName>
    <definedName name="Print_Area" localSheetId="12">'13'!$A$1:$T$41</definedName>
    <definedName name="Print_Area" localSheetId="13">'14'!$B$1:$T$38</definedName>
    <definedName name="Print_Area" localSheetId="15">'16'!$B$1:$S$34</definedName>
    <definedName name="Print_Area" localSheetId="16">'17'!$B$1:$R$21</definedName>
    <definedName name="Print_Area" localSheetId="17">'18 '!$B$1:$S$33</definedName>
    <definedName name="Print_Area" localSheetId="18">'19'!$B$1:$X$21</definedName>
    <definedName name="Print_Area" localSheetId="19">'20'!$B$1:$H$75</definedName>
    <definedName name="Print_Area" localSheetId="21">'22'!$B$1:$O$37</definedName>
    <definedName name="Print_Area" localSheetId="22">'23'!$B$1:$L$33</definedName>
    <definedName name="Print_Area" localSheetId="28">'27'!$A$1:$H$8</definedName>
    <definedName name="Print_Area" localSheetId="30">'28'!$C$1:$H$33</definedName>
    <definedName name="Print_Area" localSheetId="31">'29'!$B$1:$G$41</definedName>
    <definedName name="Print_Area" localSheetId="32">'30'!$B$2:$H$21</definedName>
    <definedName name="Print_Area" localSheetId="33">'31'!$A$1:$E$40</definedName>
    <definedName name="Print_Area" localSheetId="34">'32'!$A$1:$E$36</definedName>
    <definedName name="Print_Area" localSheetId="35">'33'!$A$1:$G$14</definedName>
    <definedName name="Print_Area" localSheetId="36">'34'!$B$1:$E$32</definedName>
    <definedName name="Print_Area" localSheetId="37">'35'!$B$1:$H$41</definedName>
    <definedName name="Print_Area" localSheetId="38">'36'!$A$1:$G$42</definedName>
    <definedName name="Print_Area" localSheetId="39">'37'!$B$1:$P$40</definedName>
    <definedName name="Print_Area" localSheetId="40">'38'!$A$1:$F$38</definedName>
    <definedName name="Print_Area" localSheetId="41">'39'!$B$1:$G$39</definedName>
    <definedName name="Print_Area" localSheetId="3">'4'!$B$1:$G$36</definedName>
    <definedName name="Print_Area" localSheetId="42">'40'!$A$1:$G$43</definedName>
    <definedName name="Print_Area" localSheetId="43">'41'!$B$1:$X$20</definedName>
    <definedName name="Print_Area" localSheetId="44">'42'!$B$1:$G$73</definedName>
    <definedName name="Print_Area" localSheetId="47">'44'!$B$1:$G$35</definedName>
    <definedName name="Print_Area" localSheetId="48">'45'!$B$1:$G$39</definedName>
    <definedName name="Print_Area" localSheetId="49">'46'!$B$1:$O$22</definedName>
    <definedName name="Print_Area" localSheetId="50">'47'!$B$1:$E$43</definedName>
    <definedName name="Print_Area" localSheetId="51">'48'!$A$1:$G$27</definedName>
    <definedName name="Print_Area" localSheetId="52">'49'!$B$1:$E$21</definedName>
    <definedName name="Print_Area" localSheetId="4">'5'!$A$1:$G$39</definedName>
    <definedName name="Print_Area" localSheetId="53">'50'!$B$1:$G$40</definedName>
    <definedName name="Print_Area" localSheetId="54">'51'!$B$1:$G$40</definedName>
    <definedName name="Print_Area" localSheetId="55">'52'!$B$1:$X$39</definedName>
    <definedName name="Print_Area" localSheetId="56">'53'!$B$1:$J$33</definedName>
    <definedName name="Print_Area" localSheetId="57">'54'!$A$1:$H$37</definedName>
    <definedName name="Print_Area" localSheetId="58">'55'!$B$1:$H$33</definedName>
    <definedName name="Print_Area" localSheetId="59">'56'!$B$1:$D$20</definedName>
    <definedName name="Print_Area" localSheetId="60">'57A'!$B$1:$I$69</definedName>
    <definedName name="Print_Area" localSheetId="61">'57B'!$B$1:$I$69</definedName>
    <definedName name="Print_Area" localSheetId="62">'58'!$A$1:$E$1</definedName>
    <definedName name="Print_Area" localSheetId="63">'59'!$B$1:$H$20</definedName>
    <definedName name="Print_Area" localSheetId="5">'6'!$B$1:$M$21</definedName>
    <definedName name="Print_Area" localSheetId="6">'7'!$A$1:$E$39</definedName>
    <definedName name="Print_Area" localSheetId="7">'8'!$A$1:$G$41</definedName>
    <definedName name="Print_Area" localSheetId="8">'9'!$A$1:$F$15</definedName>
    <definedName name="Print_Area" localSheetId="46">'Contenido Arroz'!$A$1:$G$41</definedName>
    <definedName name="Print_Area" localSheetId="29">'Contenido Maíz'!$A$2:$G$40</definedName>
    <definedName name="Print_Area" localSheetId="2">'Contenido Trigo'!$A$2:$G$44</definedName>
    <definedName name="Print_Area" localSheetId="1">Introducción!$A$1:$E$12</definedName>
    <definedName name="Print_Area" localSheetId="0">Portada!$A$1:$E$86</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5" hidden="1">'52'!#REF!</definedName>
    <definedName name="Z_5CDC6F58_B038_4A0E_A13D_C643B013E119_.wvu.Cols" localSheetId="0" hidden="1">Portada!#REF!</definedName>
    <definedName name="Z_5CDC6F58_B038_4A0E_A13D_C643B013E119_.wvu.PrintArea" localSheetId="9" hidden="1">'10'!$C$4:$F$29</definedName>
    <definedName name="Z_5CDC6F58_B038_4A0E_A13D_C643B013E119_.wvu.PrintArea" localSheetId="10" hidden="1">'11'!$B$1:$J$37</definedName>
    <definedName name="Z_5CDC6F58_B038_4A0E_A13D_C643B013E119_.wvu.PrintArea" localSheetId="11" hidden="1">'12'!$A$1:$F$37</definedName>
    <definedName name="Z_5CDC6F58_B038_4A0E_A13D_C643B013E119_.wvu.PrintArea" localSheetId="12" hidden="1">'13'!$B$1:$S$41</definedName>
    <definedName name="Z_5CDC6F58_B038_4A0E_A13D_C643B013E119_.wvu.PrintArea" localSheetId="13" hidden="1">'14'!$B$1:$S$38</definedName>
    <definedName name="Z_5CDC6F58_B038_4A0E_A13D_C643B013E119_.wvu.PrintArea" localSheetId="15" hidden="1">'16'!$A$1:$S$30</definedName>
    <definedName name="Z_5CDC6F58_B038_4A0E_A13D_C643B013E119_.wvu.PrintArea" localSheetId="17" hidden="1">'18 '!$B$1:$T$32</definedName>
    <definedName name="Z_5CDC6F58_B038_4A0E_A13D_C643B013E119_.wvu.PrintArea" localSheetId="18" hidden="1">'19'!$B$1:$X$21</definedName>
    <definedName name="Z_5CDC6F58_B038_4A0E_A13D_C643B013E119_.wvu.PrintArea" localSheetId="19" hidden="1">'20'!$B$1:$F$71</definedName>
    <definedName name="Z_5CDC6F58_B038_4A0E_A13D_C643B013E119_.wvu.PrintArea" localSheetId="30" hidden="1">'28'!$C$1:$H$32</definedName>
    <definedName name="Z_5CDC6F58_B038_4A0E_A13D_C643B013E119_.wvu.PrintArea" localSheetId="31" hidden="1">'29'!$B$1:$F$41</definedName>
    <definedName name="Z_5CDC6F58_B038_4A0E_A13D_C643B013E119_.wvu.PrintArea" localSheetId="34" hidden="1">'32'!$B$1:$D$5</definedName>
    <definedName name="Z_5CDC6F58_B038_4A0E_A13D_C643B013E119_.wvu.PrintArea" localSheetId="35" hidden="1">'33'!$B$1:$F$14</definedName>
    <definedName name="Z_5CDC6F58_B038_4A0E_A13D_C643B013E119_.wvu.PrintArea" localSheetId="37" hidden="1">'35'!$B$1:$H$39</definedName>
    <definedName name="Z_5CDC6F58_B038_4A0E_A13D_C643B013E119_.wvu.PrintArea" localSheetId="38" hidden="1">'36'!$A$1:$G$39</definedName>
    <definedName name="Z_5CDC6F58_B038_4A0E_A13D_C643B013E119_.wvu.PrintArea" localSheetId="40" hidden="1">'38'!$B$1:$F$19</definedName>
    <definedName name="Z_5CDC6F58_B038_4A0E_A13D_C643B013E119_.wvu.PrintArea" localSheetId="41" hidden="1">'39'!$A$1:$G$16</definedName>
    <definedName name="Z_5CDC6F58_B038_4A0E_A13D_C643B013E119_.wvu.PrintArea" localSheetId="3" hidden="1">'4'!$B$1:$G$36</definedName>
    <definedName name="Z_5CDC6F58_B038_4A0E_A13D_C643B013E119_.wvu.PrintArea" localSheetId="44" hidden="1">'42'!$B$1:$G$69</definedName>
    <definedName name="Z_5CDC6F58_B038_4A0E_A13D_C643B013E119_.wvu.PrintArea" localSheetId="47" hidden="1">'44'!$B$1:$G$35</definedName>
    <definedName name="Z_5CDC6F58_B038_4A0E_A13D_C643B013E119_.wvu.PrintArea" localSheetId="48" hidden="1">'45'!$B$1:$G$35</definedName>
    <definedName name="Z_5CDC6F58_B038_4A0E_A13D_C643B013E119_.wvu.PrintArea" localSheetId="51" hidden="1">'48'!$B$1:$F$17</definedName>
    <definedName name="Z_5CDC6F58_B038_4A0E_A13D_C643B013E119_.wvu.PrintArea" localSheetId="4" hidden="1">'5'!$A$1:$G$36</definedName>
    <definedName name="Z_5CDC6F58_B038_4A0E_A13D_C643B013E119_.wvu.PrintArea" localSheetId="53" hidden="1">'50'!$B$1:$G$38</definedName>
    <definedName name="Z_5CDC6F58_B038_4A0E_A13D_C643B013E119_.wvu.PrintArea" localSheetId="54" hidden="1">'51'!$A$1:$F$36</definedName>
    <definedName name="Z_5CDC6F58_B038_4A0E_A13D_C643B013E119_.wvu.PrintArea" localSheetId="55" hidden="1">'52'!$B$1:$W$37</definedName>
    <definedName name="Z_5CDC6F58_B038_4A0E_A13D_C643B013E119_.wvu.PrintArea" localSheetId="56" hidden="1">'53'!$B$1:$I$33</definedName>
    <definedName name="Z_5CDC6F58_B038_4A0E_A13D_C643B013E119_.wvu.PrintArea" localSheetId="57" hidden="1">'54'!$A$1:$G$36</definedName>
    <definedName name="Z_5CDC6F58_B038_4A0E_A13D_C643B013E119_.wvu.PrintArea" localSheetId="58" hidden="1">'55'!$B$1:$H$32</definedName>
    <definedName name="Z_5CDC6F58_B038_4A0E_A13D_C643B013E119_.wvu.PrintArea" localSheetId="59" hidden="1">'56'!$B$1:$D$21</definedName>
    <definedName name="Z_5CDC6F58_B038_4A0E_A13D_C643B013E119_.wvu.PrintArea" localSheetId="60" hidden="1">'57A'!$B$1:$I$65</definedName>
    <definedName name="Z_5CDC6F58_B038_4A0E_A13D_C643B013E119_.wvu.PrintArea" localSheetId="61" hidden="1">'57B'!$B$1:$I$65</definedName>
    <definedName name="Z_5CDC6F58_B038_4A0E_A13D_C643B013E119_.wvu.PrintArea" localSheetId="7" hidden="1">'8'!$B$1:$F$39</definedName>
    <definedName name="Z_5CDC6F58_B038_4A0E_A13D_C643B013E119_.wvu.PrintArea" localSheetId="8" hidden="1">'9'!$B$1:$F$15</definedName>
    <definedName name="Z_5CDC6F58_B038_4A0E_A13D_C643B013E119_.wvu.PrintArea" localSheetId="46" hidden="1">'Contenido Arroz'!$A$1:$G$41</definedName>
    <definedName name="Z_5CDC6F58_B038_4A0E_A13D_C643B013E119_.wvu.PrintArea" localSheetId="29" hidden="1">'Contenido Maíz'!$A$2:$G$40</definedName>
    <definedName name="Z_5CDC6F58_B038_4A0E_A13D_C643B013E119_.wvu.PrintArea" localSheetId="2" hidden="1">'Contenido Trigo'!$A$2:$G$44</definedName>
    <definedName name="Z_5CDC6F58_B038_4A0E_A13D_C643B013E119_.wvu.PrintArea" localSheetId="0" hidden="1">Portada!$A$1:$E$86</definedName>
  </definedNames>
  <calcPr calcId="191028"/>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92" l="1"/>
  <c r="C48" i="92"/>
  <c r="E48" i="92"/>
  <c r="F48" i="92"/>
  <c r="G48" i="92"/>
  <c r="H48" i="92"/>
  <c r="I48" i="92"/>
  <c r="W13" i="65" l="1"/>
  <c r="G15" i="58" l="1"/>
  <c r="G16" i="58"/>
  <c r="G17" i="58"/>
  <c r="G16" i="41" l="1"/>
  <c r="G17" i="41"/>
  <c r="G18" i="41"/>
  <c r="V50" i="91" l="1"/>
  <c r="W50" i="91"/>
  <c r="X50" i="91"/>
  <c r="V51" i="91"/>
  <c r="W51" i="91"/>
  <c r="X51" i="91"/>
  <c r="S14" i="91"/>
  <c r="W50" i="7"/>
  <c r="U50" i="7"/>
  <c r="V50" i="7"/>
  <c r="S14" i="7"/>
  <c r="G16" i="8" l="1"/>
  <c r="G17" i="8"/>
  <c r="G18" i="8"/>
  <c r="D16" i="34" l="1"/>
  <c r="C16" i="34"/>
  <c r="S14" i="27" l="1"/>
  <c r="S14" i="3"/>
  <c r="F20" i="63"/>
  <c r="C79" i="89"/>
  <c r="D79" i="89"/>
  <c r="G79" i="89"/>
  <c r="I79" i="89"/>
  <c r="M79" i="89" s="1"/>
  <c r="J79" i="89"/>
  <c r="R79" i="89" s="1"/>
  <c r="C47" i="92"/>
  <c r="D47" i="92"/>
  <c r="E47" i="92"/>
  <c r="F47" i="92"/>
  <c r="G47" i="92"/>
  <c r="H47" i="92"/>
  <c r="I47" i="92"/>
  <c r="W12" i="65"/>
  <c r="E26" i="61"/>
  <c r="E25" i="61"/>
  <c r="E24" i="61"/>
  <c r="D21" i="60"/>
  <c r="C21" i="60"/>
  <c r="F79" i="89" l="1"/>
  <c r="O79" i="89"/>
  <c r="P79" i="89"/>
  <c r="N79" i="89"/>
  <c r="Q79" i="89"/>
  <c r="G18" i="47"/>
  <c r="H18" i="47" s="1"/>
  <c r="E28" i="45"/>
  <c r="E27" i="45"/>
  <c r="E26" i="45"/>
  <c r="E25" i="45"/>
  <c r="E24" i="45"/>
  <c r="E23" i="45"/>
  <c r="E22" i="45"/>
  <c r="D30" i="45"/>
  <c r="D35" i="44"/>
  <c r="D15" i="44"/>
  <c r="D19" i="43"/>
  <c r="C19" i="43"/>
  <c r="E30" i="45" l="1"/>
  <c r="S13" i="91" l="1"/>
  <c r="V49" i="7"/>
  <c r="U48" i="7"/>
  <c r="V48" i="7"/>
  <c r="U49" i="7"/>
  <c r="S13" i="7"/>
  <c r="S13" i="27"/>
  <c r="S13" i="3"/>
  <c r="E29" i="20"/>
  <c r="E36" i="15"/>
  <c r="E35" i="15"/>
  <c r="E34" i="15"/>
  <c r="E33" i="15"/>
  <c r="E32" i="15"/>
  <c r="E31" i="15"/>
  <c r="E30" i="15"/>
  <c r="E29" i="15"/>
  <c r="E28" i="15"/>
  <c r="D29" i="20"/>
  <c r="E38" i="15"/>
  <c r="D38" i="15"/>
  <c r="G19" i="24"/>
  <c r="F19" i="24"/>
  <c r="D19" i="24"/>
  <c r="C19" i="24"/>
  <c r="J31" i="31"/>
  <c r="V49" i="91"/>
  <c r="W49" i="91"/>
  <c r="X49" i="91"/>
  <c r="S12" i="91"/>
  <c r="S12" i="7"/>
  <c r="S12" i="27"/>
  <c r="R20" i="3"/>
  <c r="S12" i="3"/>
  <c r="I78" i="89"/>
  <c r="Q78" i="89" s="1"/>
  <c r="J78" i="89"/>
  <c r="R78" i="89" s="1"/>
  <c r="C78" i="89"/>
  <c r="D78" i="89"/>
  <c r="I46" i="92"/>
  <c r="C46" i="92"/>
  <c r="D46" i="92"/>
  <c r="E46" i="92"/>
  <c r="F46" i="92"/>
  <c r="G46" i="92"/>
  <c r="H46" i="92"/>
  <c r="G45" i="92"/>
  <c r="W11" i="65"/>
  <c r="E77" i="89"/>
  <c r="G77" i="89"/>
  <c r="I77" i="89"/>
  <c r="Q77" i="89" s="1"/>
  <c r="J77" i="89"/>
  <c r="R77" i="89" s="1"/>
  <c r="C77" i="89"/>
  <c r="F77" i="89" s="1"/>
  <c r="C45" i="92"/>
  <c r="D45" i="92"/>
  <c r="E45" i="92"/>
  <c r="F45" i="92"/>
  <c r="H45" i="92"/>
  <c r="I45" i="92"/>
  <c r="C6" i="92"/>
  <c r="W10" i="65"/>
  <c r="V48" i="91"/>
  <c r="W48" i="91"/>
  <c r="X48" i="91"/>
  <c r="S11" i="91"/>
  <c r="W47" i="7"/>
  <c r="V47" i="7"/>
  <c r="U47" i="7"/>
  <c r="S11" i="7"/>
  <c r="S11" i="27"/>
  <c r="S11" i="3"/>
  <c r="G20" i="47"/>
  <c r="C7" i="92"/>
  <c r="D7" i="92"/>
  <c r="E7" i="92"/>
  <c r="G7" i="92"/>
  <c r="H7" i="92"/>
  <c r="I7" i="92"/>
  <c r="C8" i="92"/>
  <c r="D8" i="92"/>
  <c r="E8" i="92"/>
  <c r="F8" i="92"/>
  <c r="G8" i="92"/>
  <c r="H8" i="92"/>
  <c r="I8" i="92"/>
  <c r="C9" i="92"/>
  <c r="D9" i="92"/>
  <c r="E9" i="92"/>
  <c r="F9" i="92"/>
  <c r="G9" i="92"/>
  <c r="H9" i="92"/>
  <c r="I9" i="92"/>
  <c r="C10" i="92"/>
  <c r="D10" i="92"/>
  <c r="E10" i="92"/>
  <c r="F10" i="92"/>
  <c r="G10" i="92"/>
  <c r="H10" i="92"/>
  <c r="I10" i="92"/>
  <c r="C11" i="92"/>
  <c r="D11" i="92"/>
  <c r="E11" i="92"/>
  <c r="F11" i="92"/>
  <c r="G11" i="92"/>
  <c r="H11" i="92"/>
  <c r="I11" i="92"/>
  <c r="C12" i="92"/>
  <c r="D12" i="92"/>
  <c r="E12" i="92"/>
  <c r="F12" i="92"/>
  <c r="G12" i="92"/>
  <c r="H12" i="92"/>
  <c r="I12" i="92"/>
  <c r="C13" i="92"/>
  <c r="D13" i="92"/>
  <c r="E13" i="92"/>
  <c r="F13" i="92"/>
  <c r="G13" i="92"/>
  <c r="H13" i="92"/>
  <c r="I13" i="92"/>
  <c r="C14" i="92"/>
  <c r="D14" i="92"/>
  <c r="E14" i="92"/>
  <c r="G14" i="92"/>
  <c r="H14" i="92"/>
  <c r="I14" i="92"/>
  <c r="C15" i="92"/>
  <c r="D15" i="92"/>
  <c r="E15" i="92"/>
  <c r="G15" i="92"/>
  <c r="H15" i="92"/>
  <c r="I15" i="92"/>
  <c r="C16" i="92"/>
  <c r="D16" i="92"/>
  <c r="E16" i="92"/>
  <c r="G16" i="92"/>
  <c r="H16" i="92"/>
  <c r="I16" i="92"/>
  <c r="C17" i="92"/>
  <c r="D17" i="92"/>
  <c r="E17" i="92"/>
  <c r="G17" i="92"/>
  <c r="H17" i="92"/>
  <c r="I17" i="92"/>
  <c r="C18" i="92"/>
  <c r="D18" i="92"/>
  <c r="E18" i="92"/>
  <c r="G18" i="92"/>
  <c r="H18" i="92"/>
  <c r="I18" i="92"/>
  <c r="C19" i="92"/>
  <c r="D19" i="92"/>
  <c r="E19" i="92"/>
  <c r="G19" i="92"/>
  <c r="H19" i="92"/>
  <c r="I19" i="92"/>
  <c r="C20" i="92"/>
  <c r="D20" i="92"/>
  <c r="E20" i="92"/>
  <c r="G20" i="92"/>
  <c r="H20" i="92"/>
  <c r="I20" i="92"/>
  <c r="C21" i="92"/>
  <c r="D21" i="92"/>
  <c r="E21" i="92"/>
  <c r="F21" i="92"/>
  <c r="G21" i="92"/>
  <c r="H21" i="92"/>
  <c r="I21" i="92"/>
  <c r="C22" i="92"/>
  <c r="D22" i="92"/>
  <c r="E22" i="92"/>
  <c r="F22" i="92"/>
  <c r="G22" i="92"/>
  <c r="H22" i="92"/>
  <c r="I22" i="92"/>
  <c r="C23" i="92"/>
  <c r="D23" i="92"/>
  <c r="E23" i="92"/>
  <c r="F23" i="92"/>
  <c r="G23" i="92"/>
  <c r="H23" i="92"/>
  <c r="I23" i="92"/>
  <c r="C24" i="92"/>
  <c r="D24" i="92"/>
  <c r="E24" i="92"/>
  <c r="F24" i="92"/>
  <c r="G24" i="92"/>
  <c r="H24" i="92"/>
  <c r="I24" i="92"/>
  <c r="C25" i="92"/>
  <c r="D25" i="92"/>
  <c r="E25" i="92"/>
  <c r="F25" i="92"/>
  <c r="G25" i="92"/>
  <c r="H25" i="92"/>
  <c r="I25" i="92"/>
  <c r="C26" i="92"/>
  <c r="D26" i="92"/>
  <c r="E26" i="92"/>
  <c r="F26" i="92"/>
  <c r="G26" i="92"/>
  <c r="H26" i="92"/>
  <c r="I26" i="92"/>
  <c r="C27" i="92"/>
  <c r="D27" i="92"/>
  <c r="E27" i="92"/>
  <c r="G27" i="92"/>
  <c r="H27" i="92"/>
  <c r="I27" i="92"/>
  <c r="C28" i="92"/>
  <c r="D28" i="92"/>
  <c r="E28" i="92"/>
  <c r="G28" i="92"/>
  <c r="H28" i="92"/>
  <c r="I28" i="92"/>
  <c r="C29" i="92"/>
  <c r="D29" i="92"/>
  <c r="E29" i="92"/>
  <c r="G29" i="92"/>
  <c r="H29" i="92"/>
  <c r="I29" i="92"/>
  <c r="C30" i="92"/>
  <c r="D30" i="92"/>
  <c r="E30" i="92"/>
  <c r="G30" i="92"/>
  <c r="H30" i="92"/>
  <c r="I30" i="92"/>
  <c r="C31" i="92"/>
  <c r="D31" i="92"/>
  <c r="E31" i="92"/>
  <c r="G31" i="92"/>
  <c r="H31" i="92"/>
  <c r="I31" i="92"/>
  <c r="C32" i="92"/>
  <c r="D32" i="92"/>
  <c r="E32" i="92"/>
  <c r="G32" i="92"/>
  <c r="H32" i="92"/>
  <c r="I32" i="92"/>
  <c r="C33" i="92"/>
  <c r="D33" i="92"/>
  <c r="E33" i="92"/>
  <c r="F33" i="92"/>
  <c r="G33" i="92"/>
  <c r="H33" i="92"/>
  <c r="I33" i="92"/>
  <c r="C34" i="92"/>
  <c r="D34" i="92"/>
  <c r="E34" i="92"/>
  <c r="F34" i="92"/>
  <c r="G34" i="92"/>
  <c r="H34" i="92"/>
  <c r="I34" i="92"/>
  <c r="C35" i="92"/>
  <c r="D35" i="92"/>
  <c r="E35" i="92"/>
  <c r="F35" i="92"/>
  <c r="G35" i="92"/>
  <c r="H35" i="92"/>
  <c r="I35" i="92"/>
  <c r="C36" i="92"/>
  <c r="D36" i="92"/>
  <c r="E36" i="92"/>
  <c r="F36" i="92"/>
  <c r="G36" i="92"/>
  <c r="H36" i="92"/>
  <c r="I36" i="92"/>
  <c r="C37" i="92"/>
  <c r="D37" i="92"/>
  <c r="E37" i="92"/>
  <c r="F37" i="92"/>
  <c r="G37" i="92"/>
  <c r="H37" i="92"/>
  <c r="I37" i="92"/>
  <c r="C38" i="92"/>
  <c r="D38" i="92"/>
  <c r="E38" i="92"/>
  <c r="F38" i="92"/>
  <c r="G38" i="92"/>
  <c r="H38" i="92"/>
  <c r="I38" i="92"/>
  <c r="C39" i="92"/>
  <c r="D39" i="92"/>
  <c r="E39" i="92"/>
  <c r="F39" i="92"/>
  <c r="G39" i="92"/>
  <c r="H39" i="92"/>
  <c r="I39" i="92"/>
  <c r="C40" i="92"/>
  <c r="D40" i="92"/>
  <c r="E40" i="92"/>
  <c r="G40" i="92"/>
  <c r="H40" i="92"/>
  <c r="I40" i="92"/>
  <c r="C41" i="92"/>
  <c r="D41" i="92"/>
  <c r="E41" i="92"/>
  <c r="G41" i="92"/>
  <c r="H41" i="92"/>
  <c r="I41" i="92"/>
  <c r="C42" i="92"/>
  <c r="D42" i="92"/>
  <c r="E42" i="92"/>
  <c r="G42" i="92"/>
  <c r="H42" i="92"/>
  <c r="I42" i="92"/>
  <c r="C43" i="92"/>
  <c r="D43" i="92"/>
  <c r="E43" i="92"/>
  <c r="G43" i="92"/>
  <c r="H43" i="92"/>
  <c r="I43" i="92"/>
  <c r="C44" i="92"/>
  <c r="D44" i="92"/>
  <c r="E44" i="92"/>
  <c r="F44" i="92"/>
  <c r="G44" i="92"/>
  <c r="H44" i="92"/>
  <c r="I44" i="92"/>
  <c r="D6" i="92"/>
  <c r="E6" i="92"/>
  <c r="G6" i="92"/>
  <c r="H6" i="92"/>
  <c r="I6" i="92"/>
  <c r="G76" i="89"/>
  <c r="H77" i="89" s="1"/>
  <c r="I76" i="89"/>
  <c r="J76" i="89"/>
  <c r="R76" i="89" s="1"/>
  <c r="P76" i="89"/>
  <c r="E76" i="89"/>
  <c r="C76" i="89"/>
  <c r="F76" i="89" s="1"/>
  <c r="W9" i="65"/>
  <c r="G14" i="58"/>
  <c r="G15" i="41"/>
  <c r="V47" i="91"/>
  <c r="W47" i="91"/>
  <c r="X47" i="91"/>
  <c r="S10" i="91"/>
  <c r="U46" i="7"/>
  <c r="V46" i="7"/>
  <c r="W46" i="7"/>
  <c r="S10" i="7"/>
  <c r="S10" i="27"/>
  <c r="V1" i="27"/>
  <c r="S10" i="3"/>
  <c r="H19" i="4"/>
  <c r="G15" i="8"/>
  <c r="E75" i="89"/>
  <c r="G75" i="89"/>
  <c r="P75" i="89" s="1"/>
  <c r="I75" i="89"/>
  <c r="Q75" i="89" s="1"/>
  <c r="J75" i="89"/>
  <c r="E74" i="89"/>
  <c r="G74" i="89"/>
  <c r="H75" i="89" s="1"/>
  <c r="I74" i="89"/>
  <c r="Q74" i="89" s="1"/>
  <c r="J74" i="89"/>
  <c r="R74" i="89"/>
  <c r="C74" i="89"/>
  <c r="F74" i="89" s="1"/>
  <c r="O74" i="89" s="1"/>
  <c r="C75" i="89"/>
  <c r="F75" i="89" s="1"/>
  <c r="O75" i="89" s="1"/>
  <c r="W8" i="65"/>
  <c r="R75" i="89"/>
  <c r="V46" i="91"/>
  <c r="W46" i="91"/>
  <c r="X46" i="91"/>
  <c r="V45" i="91"/>
  <c r="W45" i="7"/>
  <c r="V45" i="7"/>
  <c r="U45" i="7"/>
  <c r="S9" i="91"/>
  <c r="S9" i="7"/>
  <c r="S9" i="27"/>
  <c r="S9" i="3"/>
  <c r="E20" i="47"/>
  <c r="W7" i="65"/>
  <c r="R19" i="65"/>
  <c r="N19" i="65"/>
  <c r="J19" i="65"/>
  <c r="F19" i="65"/>
  <c r="V19" i="65"/>
  <c r="V20" i="65" s="1"/>
  <c r="I18" i="64"/>
  <c r="N20" i="49"/>
  <c r="J20" i="49"/>
  <c r="F20" i="49"/>
  <c r="Q20" i="49"/>
  <c r="Q21" i="49" s="1"/>
  <c r="I19" i="48"/>
  <c r="H19" i="48"/>
  <c r="X45" i="91"/>
  <c r="W45" i="91"/>
  <c r="S8" i="91"/>
  <c r="W44" i="7"/>
  <c r="W42" i="7"/>
  <c r="V44" i="7"/>
  <c r="U44" i="7"/>
  <c r="U43" i="7"/>
  <c r="S8" i="7"/>
  <c r="Q21" i="80"/>
  <c r="R21" i="80"/>
  <c r="N21" i="80"/>
  <c r="J21" i="80"/>
  <c r="F21" i="80"/>
  <c r="R20" i="27"/>
  <c r="F21" i="27" s="1"/>
  <c r="N20" i="27"/>
  <c r="J20" i="27"/>
  <c r="J21" i="27" s="1"/>
  <c r="V10" i="27" s="1"/>
  <c r="F20" i="27"/>
  <c r="E20" i="27"/>
  <c r="E21" i="27" s="1"/>
  <c r="S8" i="27"/>
  <c r="R21" i="3"/>
  <c r="N20" i="3"/>
  <c r="N21" i="3" s="1"/>
  <c r="X2" i="3" s="1"/>
  <c r="J20" i="3"/>
  <c r="J21" i="3" s="1"/>
  <c r="W2" i="3" s="1"/>
  <c r="F20" i="3"/>
  <c r="F21" i="3" s="1"/>
  <c r="V2" i="3" s="1"/>
  <c r="S8" i="3"/>
  <c r="K3" i="89"/>
  <c r="K4" i="89" s="1"/>
  <c r="K5" i="89" s="1"/>
  <c r="K6" i="89" s="1"/>
  <c r="K7" i="89" s="1"/>
  <c r="K8" i="89" s="1"/>
  <c r="K9" i="89" s="1"/>
  <c r="K10" i="89" s="1"/>
  <c r="K11" i="89" s="1"/>
  <c r="K12" i="89" s="1"/>
  <c r="K13" i="89" s="1"/>
  <c r="K14" i="89" s="1"/>
  <c r="K15" i="89" s="1"/>
  <c r="K16" i="89" s="1"/>
  <c r="K17" i="89" s="1"/>
  <c r="K18" i="89" s="1"/>
  <c r="K19" i="89" s="1"/>
  <c r="K20" i="89" s="1"/>
  <c r="K21" i="89" s="1"/>
  <c r="K22" i="89" s="1"/>
  <c r="K23" i="89" s="1"/>
  <c r="K24" i="89" s="1"/>
  <c r="K25" i="89" s="1"/>
  <c r="K26" i="89" s="1"/>
  <c r="K27" i="89" s="1"/>
  <c r="K28" i="89" s="1"/>
  <c r="K29" i="89" s="1"/>
  <c r="K30" i="89" s="1"/>
  <c r="K31" i="89" s="1"/>
  <c r="K32" i="89" s="1"/>
  <c r="K33" i="89" s="1"/>
  <c r="K34" i="89" s="1"/>
  <c r="K35" i="89" s="1"/>
  <c r="K36" i="89" s="1"/>
  <c r="K37" i="89" s="1"/>
  <c r="K38" i="89" s="1"/>
  <c r="K39" i="89" s="1"/>
  <c r="G72" i="89"/>
  <c r="P72" i="89" s="1"/>
  <c r="I72" i="89"/>
  <c r="Q72" i="89" s="1"/>
  <c r="J72" i="89"/>
  <c r="R72" i="89"/>
  <c r="G73" i="89"/>
  <c r="I73" i="89"/>
  <c r="Q73" i="89" s="1"/>
  <c r="J73" i="89"/>
  <c r="E72" i="89"/>
  <c r="E73" i="89"/>
  <c r="C72" i="89"/>
  <c r="F72" i="89" s="1"/>
  <c r="O72" i="89" s="1"/>
  <c r="C73" i="89"/>
  <c r="F73" i="89" s="1"/>
  <c r="P73" i="89"/>
  <c r="H73" i="89"/>
  <c r="D14" i="46"/>
  <c r="V43" i="91"/>
  <c r="W43" i="91"/>
  <c r="X43" i="91"/>
  <c r="V44" i="91"/>
  <c r="W44" i="91"/>
  <c r="X44" i="91"/>
  <c r="V43" i="7"/>
  <c r="F14" i="36"/>
  <c r="F11" i="36"/>
  <c r="F10" i="36"/>
  <c r="E10" i="36"/>
  <c r="F17" i="36"/>
  <c r="D17" i="36"/>
  <c r="D18" i="36"/>
  <c r="D19" i="36"/>
  <c r="D10" i="36"/>
  <c r="D20" i="63"/>
  <c r="U39" i="7"/>
  <c r="V39" i="7"/>
  <c r="U40" i="7"/>
  <c r="V40" i="7"/>
  <c r="U41" i="7"/>
  <c r="V41" i="7"/>
  <c r="U42" i="7"/>
  <c r="V42" i="7"/>
  <c r="C20" i="27"/>
  <c r="G71" i="89"/>
  <c r="I71" i="89"/>
  <c r="J71" i="89"/>
  <c r="R71" i="89" s="1"/>
  <c r="E71" i="89"/>
  <c r="C71" i="89"/>
  <c r="F71" i="89" s="1"/>
  <c r="H72" i="89"/>
  <c r="Q71" i="89"/>
  <c r="V42" i="91"/>
  <c r="W42" i="91"/>
  <c r="X42" i="91"/>
  <c r="W38" i="7"/>
  <c r="E70" i="89"/>
  <c r="G70" i="89"/>
  <c r="P70" i="89" s="1"/>
  <c r="I70" i="89"/>
  <c r="Q70" i="89" s="1"/>
  <c r="J70" i="89"/>
  <c r="R70" i="89" s="1"/>
  <c r="C70" i="89"/>
  <c r="F70" i="89" s="1"/>
  <c r="O70" i="89" s="1"/>
  <c r="V41" i="91"/>
  <c r="W41" i="91"/>
  <c r="X41" i="91"/>
  <c r="V20" i="91"/>
  <c r="R4" i="89"/>
  <c r="R3" i="89"/>
  <c r="X38" i="91"/>
  <c r="X39" i="91"/>
  <c r="X40" i="91"/>
  <c r="V40" i="91"/>
  <c r="W40" i="91"/>
  <c r="G69" i="89"/>
  <c r="I69" i="89"/>
  <c r="Q69" i="89" s="1"/>
  <c r="J69" i="89"/>
  <c r="R69" i="89" s="1"/>
  <c r="E69" i="89"/>
  <c r="C69" i="89"/>
  <c r="F69" i="89" s="1"/>
  <c r="E68" i="89"/>
  <c r="G68" i="89"/>
  <c r="I68" i="89"/>
  <c r="Q68" i="89" s="1"/>
  <c r="J68" i="89"/>
  <c r="R68" i="89" s="1"/>
  <c r="C68" i="89"/>
  <c r="F68" i="89"/>
  <c r="E23" i="61"/>
  <c r="C20" i="63" s="1"/>
  <c r="D23" i="61"/>
  <c r="E20" i="61"/>
  <c r="C19" i="63" s="1"/>
  <c r="E19" i="61"/>
  <c r="E18" i="61"/>
  <c r="D17" i="61"/>
  <c r="E16" i="61"/>
  <c r="E15" i="61"/>
  <c r="E17" i="61" s="1"/>
  <c r="E14" i="61"/>
  <c r="D14" i="61"/>
  <c r="F14" i="61" s="1"/>
  <c r="F13" i="61"/>
  <c r="F12" i="61"/>
  <c r="F10" i="61"/>
  <c r="F9" i="61"/>
  <c r="D8" i="61"/>
  <c r="E7" i="61"/>
  <c r="E8" i="61" s="1"/>
  <c r="F8" i="61" s="1"/>
  <c r="F7" i="61"/>
  <c r="F6" i="61"/>
  <c r="E6" i="61"/>
  <c r="D20" i="60"/>
  <c r="C20" i="60"/>
  <c r="D21" i="45"/>
  <c r="E13" i="45"/>
  <c r="E12" i="45"/>
  <c r="E11" i="45"/>
  <c r="E10" i="45"/>
  <c r="E9" i="45"/>
  <c r="E8" i="45"/>
  <c r="E7" i="45"/>
  <c r="E6" i="45"/>
  <c r="D25" i="44"/>
  <c r="D18" i="43"/>
  <c r="C18" i="43"/>
  <c r="V39" i="91"/>
  <c r="W38" i="91"/>
  <c r="W39" i="91"/>
  <c r="V13" i="91"/>
  <c r="V12" i="91"/>
  <c r="V11" i="91"/>
  <c r="V9" i="91"/>
  <c r="V32" i="91"/>
  <c r="U38" i="7"/>
  <c r="V38" i="7"/>
  <c r="E21" i="20"/>
  <c r="D21" i="20"/>
  <c r="E13" i="20"/>
  <c r="E12" i="20"/>
  <c r="E11" i="20"/>
  <c r="E10" i="20"/>
  <c r="E9" i="20"/>
  <c r="E8" i="20"/>
  <c r="E7" i="20"/>
  <c r="E6" i="20"/>
  <c r="E27" i="15"/>
  <c r="D27" i="15"/>
  <c r="E16" i="15"/>
  <c r="E15" i="15"/>
  <c r="E14" i="15"/>
  <c r="E13" i="15"/>
  <c r="E12" i="15"/>
  <c r="E11" i="15"/>
  <c r="E10" i="15"/>
  <c r="E9" i="15"/>
  <c r="E8" i="15"/>
  <c r="E7" i="15"/>
  <c r="E6" i="15"/>
  <c r="G18" i="24"/>
  <c r="D18" i="24"/>
  <c r="F18" i="24"/>
  <c r="C18" i="24"/>
  <c r="E67" i="89"/>
  <c r="G67" i="89"/>
  <c r="H68" i="89" s="1"/>
  <c r="I67" i="89"/>
  <c r="Q67" i="89" s="1"/>
  <c r="J67" i="89"/>
  <c r="R67" i="89" s="1"/>
  <c r="C67" i="89"/>
  <c r="F67" i="89" s="1"/>
  <c r="U37" i="7"/>
  <c r="V37" i="7"/>
  <c r="W37" i="7"/>
  <c r="Q20" i="3"/>
  <c r="M21" i="3" s="1"/>
  <c r="E19" i="5"/>
  <c r="I19" i="5" s="1"/>
  <c r="Q21" i="3"/>
  <c r="I65" i="89"/>
  <c r="Q65" i="89" s="1"/>
  <c r="J65" i="89"/>
  <c r="R65" i="89"/>
  <c r="I66" i="89"/>
  <c r="Q66" i="89" s="1"/>
  <c r="J66" i="89"/>
  <c r="R66" i="89" s="1"/>
  <c r="G65" i="89"/>
  <c r="P65" i="89" s="1"/>
  <c r="G66" i="89"/>
  <c r="P66" i="89" s="1"/>
  <c r="E65" i="89"/>
  <c r="E66" i="89"/>
  <c r="C65" i="89"/>
  <c r="F65" i="89" s="1"/>
  <c r="O65" i="89" s="1"/>
  <c r="C66" i="89"/>
  <c r="F66" i="89" s="1"/>
  <c r="O66" i="89" s="1"/>
  <c r="C31" i="31"/>
  <c r="V37" i="91"/>
  <c r="W37" i="91"/>
  <c r="X37" i="91"/>
  <c r="U36" i="7"/>
  <c r="V36" i="7"/>
  <c r="W36" i="7"/>
  <c r="E21" i="80"/>
  <c r="D15" i="63"/>
  <c r="O3" i="89"/>
  <c r="P4" i="89"/>
  <c r="P3" i="89"/>
  <c r="I15" i="5"/>
  <c r="V36" i="91"/>
  <c r="W36" i="91"/>
  <c r="X36" i="91"/>
  <c r="V35" i="91"/>
  <c r="U9" i="7"/>
  <c r="U10" i="7"/>
  <c r="U11" i="7"/>
  <c r="U12" i="7"/>
  <c r="U13" i="7"/>
  <c r="U14" i="7"/>
  <c r="U15" i="7"/>
  <c r="U16" i="7"/>
  <c r="U18" i="7"/>
  <c r="U19" i="7"/>
  <c r="V9" i="7"/>
  <c r="V10" i="7"/>
  <c r="V11" i="7"/>
  <c r="V12" i="7"/>
  <c r="V13" i="7"/>
  <c r="V14" i="7"/>
  <c r="V15" i="7"/>
  <c r="V16" i="7"/>
  <c r="V17" i="7"/>
  <c r="V18" i="7"/>
  <c r="V19" i="7"/>
  <c r="U8" i="7"/>
  <c r="U35" i="7"/>
  <c r="W35" i="7"/>
  <c r="V35" i="7"/>
  <c r="E64" i="89"/>
  <c r="G64" i="89"/>
  <c r="H65" i="89" s="1"/>
  <c r="I64" i="89"/>
  <c r="J64" i="89"/>
  <c r="C64" i="89"/>
  <c r="F64" i="89" s="1"/>
  <c r="O64" i="89" s="1"/>
  <c r="R64" i="89"/>
  <c r="Q64" i="89"/>
  <c r="G14" i="41"/>
  <c r="F8" i="63"/>
  <c r="W35" i="91"/>
  <c r="X35" i="91"/>
  <c r="U34" i="7"/>
  <c r="V34" i="7"/>
  <c r="W34" i="7"/>
  <c r="J8" i="63"/>
  <c r="L8" i="63"/>
  <c r="G14" i="8"/>
  <c r="G13" i="58"/>
  <c r="E63" i="89"/>
  <c r="G63" i="89"/>
  <c r="H63" i="89" s="1"/>
  <c r="I63" i="89"/>
  <c r="J63" i="89"/>
  <c r="R63" i="89" s="1"/>
  <c r="C63" i="89"/>
  <c r="F63" i="89" s="1"/>
  <c r="Q63" i="89"/>
  <c r="P63" i="89"/>
  <c r="V34" i="91"/>
  <c r="W34" i="91"/>
  <c r="X34" i="91"/>
  <c r="W33" i="7"/>
  <c r="U33" i="7"/>
  <c r="V33" i="7"/>
  <c r="E62" i="89"/>
  <c r="G62" i="89"/>
  <c r="P62" i="89" s="1"/>
  <c r="I62" i="89"/>
  <c r="J62" i="89"/>
  <c r="R62" i="89" s="1"/>
  <c r="C62" i="89"/>
  <c r="F62" i="89" s="1"/>
  <c r="U19" i="65"/>
  <c r="U20" i="65" s="1"/>
  <c r="T19" i="65"/>
  <c r="T20" i="65" s="1"/>
  <c r="S19" i="65"/>
  <c r="S20" i="65" s="1"/>
  <c r="Q19" i="65"/>
  <c r="P19" i="65"/>
  <c r="O19" i="65"/>
  <c r="M19" i="65"/>
  <c r="L19" i="65"/>
  <c r="K19" i="65"/>
  <c r="I19" i="65"/>
  <c r="I20" i="65" s="1"/>
  <c r="H19" i="65"/>
  <c r="H20" i="65" s="1"/>
  <c r="G19" i="65"/>
  <c r="E19" i="65"/>
  <c r="E20" i="65" s="1"/>
  <c r="H18" i="64"/>
  <c r="Q62" i="89"/>
  <c r="M20" i="49"/>
  <c r="M21" i="49" s="1"/>
  <c r="I20" i="49"/>
  <c r="I21" i="49" s="1"/>
  <c r="E20" i="49"/>
  <c r="E21" i="49" s="1"/>
  <c r="R20" i="49"/>
  <c r="R21" i="49" s="1"/>
  <c r="X33" i="91"/>
  <c r="X32" i="91"/>
  <c r="W33" i="91"/>
  <c r="W32" i="91"/>
  <c r="V33" i="91"/>
  <c r="W32" i="7"/>
  <c r="W31" i="7"/>
  <c r="V32" i="7"/>
  <c r="V31" i="7"/>
  <c r="U32" i="7"/>
  <c r="U31" i="7"/>
  <c r="U30" i="7"/>
  <c r="I21" i="80"/>
  <c r="M21" i="80"/>
  <c r="D20" i="27"/>
  <c r="G20" i="27"/>
  <c r="H20" i="27"/>
  <c r="I20" i="27"/>
  <c r="I21" i="27" s="1"/>
  <c r="K20" i="27"/>
  <c r="L20" i="27"/>
  <c r="L21" i="27" s="1"/>
  <c r="M20" i="27"/>
  <c r="M21" i="27" s="1"/>
  <c r="O20" i="27"/>
  <c r="C21" i="27" s="1"/>
  <c r="P20" i="27"/>
  <c r="Q20" i="27"/>
  <c r="M20" i="3"/>
  <c r="I20" i="3"/>
  <c r="I21" i="3" s="1"/>
  <c r="E20" i="3"/>
  <c r="E21" i="3"/>
  <c r="G19" i="4"/>
  <c r="D21" i="27"/>
  <c r="N31" i="31"/>
  <c r="K30" i="37"/>
  <c r="J30" i="37"/>
  <c r="I30" i="37"/>
  <c r="H30" i="37"/>
  <c r="G30" i="37"/>
  <c r="F30" i="37"/>
  <c r="E30" i="37"/>
  <c r="D30" i="37"/>
  <c r="C30" i="37"/>
  <c r="E61" i="89"/>
  <c r="G61" i="89"/>
  <c r="I61" i="89"/>
  <c r="Q61" i="89" s="1"/>
  <c r="J61" i="89"/>
  <c r="R61" i="89" s="1"/>
  <c r="C61" i="89"/>
  <c r="F61" i="89" s="1"/>
  <c r="O61" i="89" s="1"/>
  <c r="X25" i="91"/>
  <c r="W25" i="91"/>
  <c r="V25" i="91"/>
  <c r="X24" i="91"/>
  <c r="W24" i="91"/>
  <c r="V24" i="91"/>
  <c r="X23" i="91"/>
  <c r="W23" i="91"/>
  <c r="V23" i="91"/>
  <c r="X22" i="91"/>
  <c r="W22" i="91"/>
  <c r="V22" i="91"/>
  <c r="X21" i="91"/>
  <c r="W21" i="91"/>
  <c r="V21" i="91"/>
  <c r="X20" i="91"/>
  <c r="W20" i="91"/>
  <c r="X19" i="91"/>
  <c r="W19" i="91"/>
  <c r="V19" i="91"/>
  <c r="X18" i="91"/>
  <c r="W18" i="91"/>
  <c r="V18" i="91"/>
  <c r="X17" i="91"/>
  <c r="X16" i="91"/>
  <c r="W16" i="91"/>
  <c r="V16" i="91"/>
  <c r="X15" i="91"/>
  <c r="W15" i="91"/>
  <c r="V15" i="91"/>
  <c r="X14" i="91"/>
  <c r="W14" i="91"/>
  <c r="V14" i="91"/>
  <c r="X13" i="91"/>
  <c r="W13" i="91"/>
  <c r="X12" i="91"/>
  <c r="W12" i="91"/>
  <c r="X11" i="91"/>
  <c r="W11" i="91"/>
  <c r="X10" i="91"/>
  <c r="W10" i="91"/>
  <c r="X9" i="91"/>
  <c r="I16" i="5"/>
  <c r="E60" i="89"/>
  <c r="G60" i="89"/>
  <c r="I60" i="89"/>
  <c r="J60" i="89"/>
  <c r="R60" i="89" s="1"/>
  <c r="C60" i="89"/>
  <c r="F60" i="89" s="1"/>
  <c r="O60" i="89" s="1"/>
  <c r="P60" i="89"/>
  <c r="Q60" i="89"/>
  <c r="V30" i="7"/>
  <c r="W30" i="7"/>
  <c r="U29" i="7"/>
  <c r="G59" i="89"/>
  <c r="P59" i="89" s="1"/>
  <c r="I59" i="89"/>
  <c r="J59" i="89"/>
  <c r="E59" i="89"/>
  <c r="C59" i="89"/>
  <c r="F59" i="89" s="1"/>
  <c r="I49" i="89"/>
  <c r="I50" i="89"/>
  <c r="Q50" i="89" s="1"/>
  <c r="I51" i="89"/>
  <c r="Q51" i="89" s="1"/>
  <c r="I52" i="89"/>
  <c r="Q52" i="89" s="1"/>
  <c r="I53" i="89"/>
  <c r="Q53" i="89" s="1"/>
  <c r="I54" i="89"/>
  <c r="Q54" i="89" s="1"/>
  <c r="I55" i="89"/>
  <c r="I56" i="89"/>
  <c r="I57" i="89"/>
  <c r="I58" i="89"/>
  <c r="Q58" i="89" s="1"/>
  <c r="J49" i="89"/>
  <c r="J50" i="89"/>
  <c r="J51" i="89"/>
  <c r="R51" i="89" s="1"/>
  <c r="J52" i="89"/>
  <c r="R52" i="89" s="1"/>
  <c r="J53" i="89"/>
  <c r="R53" i="89" s="1"/>
  <c r="J54" i="89"/>
  <c r="J55" i="89"/>
  <c r="J56" i="89"/>
  <c r="R56" i="89" s="1"/>
  <c r="J57" i="89"/>
  <c r="R57" i="89" s="1"/>
  <c r="J58" i="89"/>
  <c r="R59" i="89"/>
  <c r="H60" i="89"/>
  <c r="Q59" i="89"/>
  <c r="W29" i="7"/>
  <c r="V29" i="7"/>
  <c r="U28" i="7"/>
  <c r="D31" i="31"/>
  <c r="E58" i="89"/>
  <c r="G58" i="89"/>
  <c r="H59" i="89" s="1"/>
  <c r="C58" i="89"/>
  <c r="F58" i="89" s="1"/>
  <c r="W26" i="7"/>
  <c r="W27" i="7"/>
  <c r="W28" i="7"/>
  <c r="V26" i="7"/>
  <c r="V27" i="7"/>
  <c r="V28" i="7"/>
  <c r="U26" i="7"/>
  <c r="U27" i="7"/>
  <c r="G57" i="89"/>
  <c r="P57" i="89" s="1"/>
  <c r="E57" i="89"/>
  <c r="C57" i="89"/>
  <c r="F57" i="89" s="1"/>
  <c r="O57" i="89" s="1"/>
  <c r="Q57" i="89"/>
  <c r="H58" i="89"/>
  <c r="F17" i="5"/>
  <c r="F10" i="5"/>
  <c r="F11" i="5"/>
  <c r="F12" i="5"/>
  <c r="F13" i="5"/>
  <c r="F14" i="5"/>
  <c r="F15" i="5"/>
  <c r="F16" i="5"/>
  <c r="F9" i="5"/>
  <c r="G56" i="89"/>
  <c r="P56" i="89" s="1"/>
  <c r="E56" i="89"/>
  <c r="C56" i="89"/>
  <c r="F56" i="89" s="1"/>
  <c r="Q56" i="89"/>
  <c r="R29" i="89"/>
  <c r="O24" i="89"/>
  <c r="G55" i="89"/>
  <c r="P55" i="89" s="1"/>
  <c r="E55" i="89"/>
  <c r="R55" i="89"/>
  <c r="C55" i="89"/>
  <c r="F55" i="89" s="1"/>
  <c r="O55" i="89" s="1"/>
  <c r="F18" i="62"/>
  <c r="D18" i="62"/>
  <c r="D19" i="60"/>
  <c r="G19" i="48"/>
  <c r="E19" i="47"/>
  <c r="F19" i="47"/>
  <c r="F20" i="47"/>
  <c r="D9" i="47"/>
  <c r="D10" i="47"/>
  <c r="D11" i="47"/>
  <c r="D12" i="47"/>
  <c r="D13" i="47"/>
  <c r="D14" i="47"/>
  <c r="D15" i="47"/>
  <c r="D16" i="47"/>
  <c r="D17" i="47"/>
  <c r="D8" i="47"/>
  <c r="C19" i="47"/>
  <c r="E20" i="45"/>
  <c r="E21" i="45"/>
  <c r="D17" i="43"/>
  <c r="D16" i="43"/>
  <c r="G19" i="47"/>
  <c r="D20" i="47"/>
  <c r="V25" i="7"/>
  <c r="U25" i="7"/>
  <c r="W25" i="7"/>
  <c r="H20" i="47"/>
  <c r="I8" i="5"/>
  <c r="I9" i="5"/>
  <c r="J9" i="5"/>
  <c r="I10" i="5"/>
  <c r="J10" i="5"/>
  <c r="I11" i="5"/>
  <c r="J11" i="5"/>
  <c r="I12" i="5"/>
  <c r="I13" i="5"/>
  <c r="J13" i="5"/>
  <c r="I14" i="5"/>
  <c r="J16" i="5"/>
  <c r="D10" i="5"/>
  <c r="D11" i="5"/>
  <c r="D12" i="5"/>
  <c r="D13" i="5"/>
  <c r="D14" i="5"/>
  <c r="D15" i="5"/>
  <c r="D16" i="5"/>
  <c r="D9" i="5"/>
  <c r="C18" i="5"/>
  <c r="D19" i="5"/>
  <c r="G17" i="24"/>
  <c r="G16" i="24"/>
  <c r="D17" i="24"/>
  <c r="D16" i="24"/>
  <c r="J12" i="5"/>
  <c r="J15" i="5"/>
  <c r="J14" i="5"/>
  <c r="G18" i="64"/>
  <c r="D19" i="63"/>
  <c r="G54" i="89"/>
  <c r="E54" i="89"/>
  <c r="C54" i="89"/>
  <c r="F54" i="89" s="1"/>
  <c r="O54" i="89" s="1"/>
  <c r="R54" i="89"/>
  <c r="W24" i="7"/>
  <c r="V24" i="7"/>
  <c r="U24" i="7"/>
  <c r="P21" i="80"/>
  <c r="F19" i="4"/>
  <c r="D16" i="46"/>
  <c r="U23" i="7"/>
  <c r="G53" i="89"/>
  <c r="E53" i="89"/>
  <c r="C53" i="89"/>
  <c r="F53" i="89" s="1"/>
  <c r="O53" i="89" s="1"/>
  <c r="V23" i="7"/>
  <c r="W23" i="7"/>
  <c r="U22" i="7"/>
  <c r="D15" i="46"/>
  <c r="D22" i="46"/>
  <c r="D21" i="46"/>
  <c r="D17" i="46"/>
  <c r="G6" i="41"/>
  <c r="E40" i="89"/>
  <c r="E41" i="89"/>
  <c r="E42" i="89"/>
  <c r="E43" i="89"/>
  <c r="E44" i="89"/>
  <c r="E45" i="89"/>
  <c r="E46" i="89"/>
  <c r="E47" i="89"/>
  <c r="E48" i="89"/>
  <c r="E49" i="89"/>
  <c r="E50" i="89"/>
  <c r="E51" i="89"/>
  <c r="E52" i="89"/>
  <c r="P20" i="49"/>
  <c r="W22" i="7"/>
  <c r="V22" i="7"/>
  <c r="U21" i="7"/>
  <c r="V21" i="7"/>
  <c r="W21" i="7"/>
  <c r="U20" i="7"/>
  <c r="W20" i="7"/>
  <c r="P20" i="3"/>
  <c r="P21" i="3" s="1"/>
  <c r="X1" i="3"/>
  <c r="W1" i="3"/>
  <c r="V1" i="3"/>
  <c r="D13" i="36"/>
  <c r="C18" i="36"/>
  <c r="D11" i="36"/>
  <c r="E18" i="36"/>
  <c r="D14" i="36"/>
  <c r="F18" i="36"/>
  <c r="R5" i="89"/>
  <c r="R6" i="89"/>
  <c r="R7" i="89"/>
  <c r="R8" i="89"/>
  <c r="R9" i="89"/>
  <c r="R10" i="89"/>
  <c r="R11" i="89"/>
  <c r="R12" i="89"/>
  <c r="R13" i="89"/>
  <c r="R14" i="89"/>
  <c r="R15" i="89"/>
  <c r="R16" i="89"/>
  <c r="R17" i="89"/>
  <c r="R18" i="89"/>
  <c r="R19" i="89"/>
  <c r="R20" i="89"/>
  <c r="R21" i="89"/>
  <c r="R22" i="89"/>
  <c r="R23" i="89"/>
  <c r="R24" i="89"/>
  <c r="R25" i="89"/>
  <c r="R26" i="89"/>
  <c r="R27" i="89"/>
  <c r="R28" i="89"/>
  <c r="R30" i="89"/>
  <c r="R31" i="89"/>
  <c r="R32" i="89"/>
  <c r="R33" i="89"/>
  <c r="R34" i="89"/>
  <c r="R35" i="89"/>
  <c r="R36" i="89"/>
  <c r="R37" i="89"/>
  <c r="R38" i="89"/>
  <c r="R39" i="89"/>
  <c r="R40" i="89"/>
  <c r="Q3" i="89"/>
  <c r="Q4" i="89"/>
  <c r="Q5" i="89"/>
  <c r="Q6" i="89"/>
  <c r="Q7" i="89"/>
  <c r="Q8" i="89"/>
  <c r="Q9" i="89"/>
  <c r="Q10" i="89"/>
  <c r="Q11" i="89"/>
  <c r="Q12" i="89"/>
  <c r="Q13" i="89"/>
  <c r="Q14" i="89"/>
  <c r="Q15" i="89"/>
  <c r="Q16" i="89"/>
  <c r="Q17" i="89"/>
  <c r="Q18" i="89"/>
  <c r="Q19" i="89"/>
  <c r="Q20" i="89"/>
  <c r="Q21" i="89"/>
  <c r="Q22" i="89"/>
  <c r="Q23" i="89"/>
  <c r="Q24" i="89"/>
  <c r="Q25" i="89"/>
  <c r="Q26" i="89"/>
  <c r="Q27" i="89"/>
  <c r="Q28" i="89"/>
  <c r="Q29" i="89"/>
  <c r="Q30" i="89"/>
  <c r="Q31" i="89"/>
  <c r="Q32" i="89"/>
  <c r="Q33" i="89"/>
  <c r="Q34" i="89"/>
  <c r="Q35" i="89"/>
  <c r="Q36" i="89"/>
  <c r="Q37" i="89"/>
  <c r="Q38" i="89"/>
  <c r="Q39" i="89"/>
  <c r="Q40" i="89"/>
  <c r="P5" i="89"/>
  <c r="P6" i="89"/>
  <c r="P7" i="89"/>
  <c r="P8" i="89"/>
  <c r="P9" i="89"/>
  <c r="P10" i="89"/>
  <c r="P11" i="89"/>
  <c r="P12" i="89"/>
  <c r="P13" i="89"/>
  <c r="P14" i="89"/>
  <c r="P15" i="89"/>
  <c r="P16" i="89"/>
  <c r="P17" i="89"/>
  <c r="P18" i="89"/>
  <c r="P19" i="89"/>
  <c r="P20" i="89"/>
  <c r="P21" i="89"/>
  <c r="P22" i="89"/>
  <c r="P23" i="89"/>
  <c r="P24" i="89"/>
  <c r="P25" i="89"/>
  <c r="P26" i="89"/>
  <c r="P27" i="89"/>
  <c r="P28" i="89"/>
  <c r="P29" i="89"/>
  <c r="P30" i="89"/>
  <c r="P31" i="89"/>
  <c r="P32" i="89"/>
  <c r="P33" i="89"/>
  <c r="P34" i="89"/>
  <c r="P35" i="89"/>
  <c r="P36" i="89"/>
  <c r="P37" i="89"/>
  <c r="P38" i="89"/>
  <c r="P39" i="89"/>
  <c r="O4" i="89"/>
  <c r="O5" i="89"/>
  <c r="O6" i="89"/>
  <c r="O7" i="89"/>
  <c r="O8" i="89"/>
  <c r="O9" i="89"/>
  <c r="O10" i="89"/>
  <c r="O11" i="89"/>
  <c r="O12" i="89"/>
  <c r="O13" i="89"/>
  <c r="O14" i="89"/>
  <c r="O15" i="89"/>
  <c r="O16" i="89"/>
  <c r="O17" i="89"/>
  <c r="O18" i="89"/>
  <c r="O19" i="89"/>
  <c r="O20" i="89"/>
  <c r="O21" i="89"/>
  <c r="O22" i="89"/>
  <c r="O23" i="89"/>
  <c r="O25" i="89"/>
  <c r="O26" i="89"/>
  <c r="O27" i="89"/>
  <c r="O28" i="89"/>
  <c r="O29" i="89"/>
  <c r="O30" i="89"/>
  <c r="O31" i="89"/>
  <c r="O32" i="89"/>
  <c r="O33" i="89"/>
  <c r="O34" i="89"/>
  <c r="O35" i="89"/>
  <c r="O36" i="89"/>
  <c r="O37" i="89"/>
  <c r="G52" i="89"/>
  <c r="G51" i="89"/>
  <c r="P51" i="89" s="1"/>
  <c r="C52" i="89"/>
  <c r="F52" i="89" s="1"/>
  <c r="C51" i="89"/>
  <c r="F51" i="89" s="1"/>
  <c r="O51" i="89" s="1"/>
  <c r="C17" i="5"/>
  <c r="I17" i="5" s="1"/>
  <c r="G13" i="8"/>
  <c r="C50" i="89"/>
  <c r="F50" i="89" s="1"/>
  <c r="G50" i="89"/>
  <c r="P50" i="89" s="1"/>
  <c r="R50" i="89"/>
  <c r="D19" i="65"/>
  <c r="E31" i="31"/>
  <c r="F31" i="31"/>
  <c r="G31" i="31"/>
  <c r="H31" i="31"/>
  <c r="I31" i="31"/>
  <c r="K31" i="31"/>
  <c r="L31" i="31"/>
  <c r="M31" i="31"/>
  <c r="O31" i="31"/>
  <c r="W9" i="7"/>
  <c r="W10" i="7"/>
  <c r="W11" i="7"/>
  <c r="W12" i="7"/>
  <c r="W13" i="7"/>
  <c r="W14" i="7"/>
  <c r="W15" i="7"/>
  <c r="W16" i="7"/>
  <c r="W17" i="7"/>
  <c r="W18" i="7"/>
  <c r="W19" i="7"/>
  <c r="W8" i="7"/>
  <c r="V20" i="7"/>
  <c r="V8" i="7"/>
  <c r="D20" i="3"/>
  <c r="D21" i="3"/>
  <c r="G20" i="3"/>
  <c r="G21" i="3" s="1"/>
  <c r="H20" i="3"/>
  <c r="H21" i="3" s="1"/>
  <c r="K20" i="3"/>
  <c r="K21" i="3" s="1"/>
  <c r="L20" i="3"/>
  <c r="O20" i="3"/>
  <c r="C20" i="3"/>
  <c r="C21" i="3" s="1"/>
  <c r="F18" i="47"/>
  <c r="H14" i="47"/>
  <c r="H15" i="47"/>
  <c r="H16" i="47"/>
  <c r="H17" i="47"/>
  <c r="F13" i="47"/>
  <c r="F14" i="47"/>
  <c r="F15" i="47"/>
  <c r="F16" i="47"/>
  <c r="F17" i="47"/>
  <c r="C49" i="89"/>
  <c r="F49" i="89" s="1"/>
  <c r="G49" i="89"/>
  <c r="H50" i="89" s="1"/>
  <c r="Q49" i="89"/>
  <c r="R49" i="89"/>
  <c r="G13" i="41"/>
  <c r="C48" i="89"/>
  <c r="F48" i="89" s="1"/>
  <c r="O48" i="89" s="1"/>
  <c r="G48" i="89"/>
  <c r="P48" i="89" s="1"/>
  <c r="I48" i="89"/>
  <c r="Q48" i="89" s="1"/>
  <c r="J48" i="89"/>
  <c r="R48" i="89" s="1"/>
  <c r="C47" i="89"/>
  <c r="F47" i="89" s="1"/>
  <c r="O47" i="89" s="1"/>
  <c r="G47" i="89"/>
  <c r="I47" i="89"/>
  <c r="J47" i="89"/>
  <c r="R47" i="89" s="1"/>
  <c r="P47" i="89"/>
  <c r="C46" i="89"/>
  <c r="F46" i="89" s="1"/>
  <c r="O46" i="89" s="1"/>
  <c r="G46" i="89"/>
  <c r="H47" i="89" s="1"/>
  <c r="I46" i="89"/>
  <c r="Q46" i="89" s="1"/>
  <c r="J46" i="89"/>
  <c r="R46" i="89" s="1"/>
  <c r="C45" i="89"/>
  <c r="F45" i="89" s="1"/>
  <c r="O45" i="89" s="1"/>
  <c r="G45" i="89"/>
  <c r="I45" i="89"/>
  <c r="Q45" i="89" s="1"/>
  <c r="J45" i="89"/>
  <c r="H9" i="47"/>
  <c r="H10" i="47"/>
  <c r="H11" i="47"/>
  <c r="H12" i="47"/>
  <c r="H13" i="47"/>
  <c r="P45" i="89"/>
  <c r="C44" i="89"/>
  <c r="F44" i="89" s="1"/>
  <c r="O44" i="89" s="1"/>
  <c r="G44" i="89"/>
  <c r="P44" i="89" s="1"/>
  <c r="I44" i="89"/>
  <c r="Q44" i="89" s="1"/>
  <c r="J44" i="89"/>
  <c r="R44" i="89"/>
  <c r="C43" i="89"/>
  <c r="F43" i="89" s="1"/>
  <c r="G43" i="89"/>
  <c r="I43" i="89"/>
  <c r="Q43" i="89"/>
  <c r="J43" i="89"/>
  <c r="R43" i="89" s="1"/>
  <c r="E22" i="46"/>
  <c r="E21" i="46"/>
  <c r="C21" i="46"/>
  <c r="C22" i="46"/>
  <c r="G12" i="58"/>
  <c r="E19" i="4"/>
  <c r="E11" i="36"/>
  <c r="D18" i="60"/>
  <c r="C42" i="89"/>
  <c r="F42" i="89"/>
  <c r="O42" i="89" s="1"/>
  <c r="G42" i="89"/>
  <c r="P42" i="89" s="1"/>
  <c r="I42" i="89"/>
  <c r="Q42" i="89" s="1"/>
  <c r="J42" i="89"/>
  <c r="R42" i="89"/>
  <c r="G7" i="58"/>
  <c r="G8" i="58"/>
  <c r="G9" i="58"/>
  <c r="G10" i="58"/>
  <c r="G11" i="58"/>
  <c r="G7" i="8"/>
  <c r="G8" i="8"/>
  <c r="G9" i="8"/>
  <c r="G10" i="8"/>
  <c r="G11" i="8"/>
  <c r="G12" i="8"/>
  <c r="G6" i="8"/>
  <c r="F19" i="36"/>
  <c r="E19" i="36"/>
  <c r="J41" i="89"/>
  <c r="R41" i="89"/>
  <c r="I41" i="89"/>
  <c r="Q41" i="89" s="1"/>
  <c r="G40" i="89"/>
  <c r="H40" i="89" s="1"/>
  <c r="G41" i="89"/>
  <c r="P41" i="89" s="1"/>
  <c r="H42" i="89"/>
  <c r="F38" i="89"/>
  <c r="O38" i="89" s="1"/>
  <c r="F39" i="89"/>
  <c r="O39" i="89"/>
  <c r="F40" i="89"/>
  <c r="O40" i="89" s="1"/>
  <c r="C41" i="89"/>
  <c r="F41" i="89"/>
  <c r="O41" i="89" s="1"/>
  <c r="N3" i="89"/>
  <c r="M3" i="89"/>
  <c r="L3" i="89"/>
  <c r="L4" i="89"/>
  <c r="L5" i="89"/>
  <c r="L6" i="89" s="1"/>
  <c r="L7" i="89" s="1"/>
  <c r="L8" i="89" s="1"/>
  <c r="L9" i="89" s="1"/>
  <c r="L10" i="89" s="1"/>
  <c r="L11" i="89" s="1"/>
  <c r="L12" i="89" s="1"/>
  <c r="L13" i="89" s="1"/>
  <c r="L14" i="89" s="1"/>
  <c r="L15" i="89" s="1"/>
  <c r="L16" i="89" s="1"/>
  <c r="L17" i="89" s="1"/>
  <c r="L18" i="89" s="1"/>
  <c r="L19" i="89" s="1"/>
  <c r="L20" i="89" s="1"/>
  <c r="L21" i="89" s="1"/>
  <c r="L22" i="89" s="1"/>
  <c r="L23" i="89" s="1"/>
  <c r="L24" i="89" s="1"/>
  <c r="L25" i="89" s="1"/>
  <c r="L26" i="89" s="1"/>
  <c r="L27" i="89" s="1"/>
  <c r="L28" i="89" s="1"/>
  <c r="L29" i="89" s="1"/>
  <c r="L30" i="89" s="1"/>
  <c r="L31" i="89" s="1"/>
  <c r="L32" i="89" s="1"/>
  <c r="L33" i="89" s="1"/>
  <c r="L34" i="89" s="1"/>
  <c r="L35" i="89" s="1"/>
  <c r="L36" i="89" s="1"/>
  <c r="L37" i="89" s="1"/>
  <c r="L38" i="89" s="1"/>
  <c r="L39" i="89" s="1"/>
  <c r="F12" i="67"/>
  <c r="G12" i="67"/>
  <c r="E12" i="67"/>
  <c r="D12" i="67"/>
  <c r="C12" i="67"/>
  <c r="F18" i="64"/>
  <c r="D18" i="63"/>
  <c r="F18" i="63"/>
  <c r="M4" i="89"/>
  <c r="M5" i="89" s="1"/>
  <c r="M6" i="89" s="1"/>
  <c r="M7" i="89" s="1"/>
  <c r="M8" i="89" s="1"/>
  <c r="M9" i="89" s="1"/>
  <c r="M10" i="89" s="1"/>
  <c r="M11" i="89" s="1"/>
  <c r="M12" i="89" s="1"/>
  <c r="M13" i="89" s="1"/>
  <c r="M14" i="89" s="1"/>
  <c r="M15" i="89" s="1"/>
  <c r="M16" i="89" s="1"/>
  <c r="M17" i="89" s="1"/>
  <c r="M18" i="89" s="1"/>
  <c r="M19" i="89" s="1"/>
  <c r="M20" i="89" s="1"/>
  <c r="M21" i="89" s="1"/>
  <c r="M22" i="89" s="1"/>
  <c r="M23" i="89" s="1"/>
  <c r="M24" i="89" s="1"/>
  <c r="M25" i="89" s="1"/>
  <c r="M26" i="89" s="1"/>
  <c r="M27" i="89" s="1"/>
  <c r="M28" i="89" s="1"/>
  <c r="M29" i="89" s="1"/>
  <c r="M30" i="89" s="1"/>
  <c r="M31" i="89" s="1"/>
  <c r="M32" i="89" s="1"/>
  <c r="M33" i="89" s="1"/>
  <c r="M34" i="89" s="1"/>
  <c r="M35" i="89" s="1"/>
  <c r="M36" i="89" s="1"/>
  <c r="M37" i="89" s="1"/>
  <c r="M38" i="89" s="1"/>
  <c r="M39" i="89" s="1"/>
  <c r="M40" i="89" s="1"/>
  <c r="N4" i="89"/>
  <c r="L18" i="63"/>
  <c r="K18" i="63"/>
  <c r="J18" i="63"/>
  <c r="N5" i="89"/>
  <c r="M18" i="63"/>
  <c r="N6" i="89"/>
  <c r="N7" i="89" s="1"/>
  <c r="N8" i="89" s="1"/>
  <c r="N9" i="89" s="1"/>
  <c r="N10" i="89" s="1"/>
  <c r="N11" i="89" s="1"/>
  <c r="N12" i="89" s="1"/>
  <c r="N13" i="89" s="1"/>
  <c r="N14" i="89" s="1"/>
  <c r="N15" i="89" s="1"/>
  <c r="N16" i="89" s="1"/>
  <c r="N17" i="89" s="1"/>
  <c r="N18" i="89" s="1"/>
  <c r="N19" i="89" s="1"/>
  <c r="N20" i="89" s="1"/>
  <c r="N21" i="89" s="1"/>
  <c r="N22" i="89" s="1"/>
  <c r="N23" i="89" s="1"/>
  <c r="N24" i="89" s="1"/>
  <c r="N25" i="89" s="1"/>
  <c r="N26" i="89" s="1"/>
  <c r="N27" i="89" s="1"/>
  <c r="N28" i="89" s="1"/>
  <c r="N29" i="89" s="1"/>
  <c r="N30" i="89" s="1"/>
  <c r="N31" i="89" s="1"/>
  <c r="N32" i="89" s="1"/>
  <c r="N33" i="89" s="1"/>
  <c r="N34" i="89" s="1"/>
  <c r="N35" i="89" s="1"/>
  <c r="N36" i="89" s="1"/>
  <c r="N37" i="89" s="1"/>
  <c r="N38" i="89" s="1"/>
  <c r="N39" i="89" s="1"/>
  <c r="N40" i="89" s="1"/>
  <c r="N41" i="89" s="1"/>
  <c r="N42" i="89" s="1"/>
  <c r="N43" i="89" s="1"/>
  <c r="N44" i="89" s="1"/>
  <c r="E15" i="43"/>
  <c r="G12" i="41"/>
  <c r="AD1" i="65"/>
  <c r="C19" i="4"/>
  <c r="D19" i="4"/>
  <c r="D20" i="49"/>
  <c r="D21" i="49" s="1"/>
  <c r="G20" i="49"/>
  <c r="H20" i="49"/>
  <c r="H21" i="49" s="1"/>
  <c r="K20" i="49"/>
  <c r="L20" i="49"/>
  <c r="O20" i="49"/>
  <c r="C20" i="49"/>
  <c r="C21" i="49" s="1"/>
  <c r="C19" i="65"/>
  <c r="E18" i="64"/>
  <c r="D17" i="63"/>
  <c r="D17" i="60"/>
  <c r="G11" i="41"/>
  <c r="O21" i="3"/>
  <c r="D18" i="64"/>
  <c r="D16" i="63"/>
  <c r="C18" i="64"/>
  <c r="E16" i="60"/>
  <c r="F13" i="36"/>
  <c r="E13" i="36"/>
  <c r="G10" i="41"/>
  <c r="G21" i="80"/>
  <c r="O21" i="80"/>
  <c r="H21" i="80"/>
  <c r="O21" i="49"/>
  <c r="G7" i="41"/>
  <c r="G8" i="41"/>
  <c r="G9" i="41"/>
  <c r="G6" i="58"/>
  <c r="AE1" i="65"/>
  <c r="AC1" i="65"/>
  <c r="AB1" i="65"/>
  <c r="L21" i="80"/>
  <c r="D21" i="80"/>
  <c r="C21" i="80"/>
  <c r="K21" i="80"/>
  <c r="F9" i="63"/>
  <c r="F10" i="63"/>
  <c r="F11" i="63"/>
  <c r="F12" i="63"/>
  <c r="F13" i="63"/>
  <c r="B17" i="64"/>
  <c r="B16" i="64"/>
  <c r="B15" i="64"/>
  <c r="B14" i="64"/>
  <c r="B13" i="64"/>
  <c r="B12" i="64"/>
  <c r="B11" i="64"/>
  <c r="B10" i="64"/>
  <c r="B9" i="64"/>
  <c r="B8" i="64"/>
  <c r="B7" i="64"/>
  <c r="B6" i="64"/>
  <c r="E13" i="60"/>
  <c r="D12" i="60"/>
  <c r="E11" i="60"/>
  <c r="E10" i="60"/>
  <c r="E9" i="60"/>
  <c r="E8" i="60"/>
  <c r="E7" i="60"/>
  <c r="E6" i="60"/>
  <c r="G7" i="51"/>
  <c r="F7" i="51"/>
  <c r="E7" i="51"/>
  <c r="D7" i="51"/>
  <c r="G6" i="51"/>
  <c r="F6" i="51"/>
  <c r="E6" i="51"/>
  <c r="D6" i="51"/>
  <c r="C6" i="51"/>
  <c r="B9" i="4"/>
  <c r="B10" i="4"/>
  <c r="B11" i="4"/>
  <c r="B12" i="4"/>
  <c r="B13" i="4"/>
  <c r="B14" i="4"/>
  <c r="B15" i="4"/>
  <c r="B16" i="4"/>
  <c r="W1" i="27"/>
  <c r="B7" i="4"/>
  <c r="L11" i="63"/>
  <c r="L9" i="63"/>
  <c r="L13" i="63"/>
  <c r="L10" i="63"/>
  <c r="L12" i="63"/>
  <c r="J9" i="63"/>
  <c r="K9" i="63"/>
  <c r="K12" i="63"/>
  <c r="J12" i="63"/>
  <c r="M12" i="63"/>
  <c r="J11" i="63"/>
  <c r="K11" i="63"/>
  <c r="K8" i="63"/>
  <c r="M8" i="63"/>
  <c r="J10" i="63"/>
  <c r="K10" i="63"/>
  <c r="J13" i="63"/>
  <c r="K13" i="63"/>
  <c r="G12" i="63"/>
  <c r="O20" i="65"/>
  <c r="E14" i="36"/>
  <c r="G11" i="63"/>
  <c r="G9" i="63"/>
  <c r="G13" i="63"/>
  <c r="G10" i="63"/>
  <c r="F17" i="63"/>
  <c r="F16" i="63"/>
  <c r="G20" i="65"/>
  <c r="K21" i="27"/>
  <c r="G21" i="27"/>
  <c r="H21" i="27"/>
  <c r="M10" i="63"/>
  <c r="M13" i="63"/>
  <c r="M11" i="63"/>
  <c r="M9" i="63"/>
  <c r="G18" i="63"/>
  <c r="L17" i="63"/>
  <c r="K16" i="63"/>
  <c r="L16" i="63"/>
  <c r="J16" i="63"/>
  <c r="J17" i="63"/>
  <c r="K17" i="63"/>
  <c r="F14" i="63"/>
  <c r="F15" i="63"/>
  <c r="G17" i="63"/>
  <c r="G16" i="63"/>
  <c r="K14" i="63"/>
  <c r="M16" i="63"/>
  <c r="M17" i="63"/>
  <c r="J14" i="63"/>
  <c r="L14" i="63"/>
  <c r="J15" i="63"/>
  <c r="K15" i="63"/>
  <c r="L15" i="63"/>
  <c r="G15" i="63"/>
  <c r="G14" i="63"/>
  <c r="M14" i="63"/>
  <c r="M15" i="63"/>
  <c r="E78" i="89" l="1"/>
  <c r="E79" i="89"/>
  <c r="P74" i="89"/>
  <c r="H52" i="89"/>
  <c r="H66" i="89"/>
  <c r="H76" i="89"/>
  <c r="L40" i="89"/>
  <c r="L41" i="89" s="1"/>
  <c r="L42" i="89" s="1"/>
  <c r="L43" i="89" s="1"/>
  <c r="L44" i="89" s="1"/>
  <c r="L45" i="89" s="1"/>
  <c r="L46" i="89" s="1"/>
  <c r="L47" i="89" s="1"/>
  <c r="L48" i="89" s="1"/>
  <c r="L49" i="89" s="1"/>
  <c r="L50" i="89" s="1"/>
  <c r="L51" i="89" s="1"/>
  <c r="L52" i="89" s="1"/>
  <c r="L53" i="89" s="1"/>
  <c r="L54" i="89" s="1"/>
  <c r="L55" i="89" s="1"/>
  <c r="L56" i="89" s="1"/>
  <c r="L57" i="89" s="1"/>
  <c r="L58" i="89" s="1"/>
  <c r="L59" i="89" s="1"/>
  <c r="L60" i="89" s="1"/>
  <c r="L61" i="89" s="1"/>
  <c r="L62" i="89" s="1"/>
  <c r="L63" i="89" s="1"/>
  <c r="L64" i="89" s="1"/>
  <c r="L65" i="89" s="1"/>
  <c r="L66" i="89" s="1"/>
  <c r="L67" i="89" s="1"/>
  <c r="L68" i="89" s="1"/>
  <c r="L69" i="89" s="1"/>
  <c r="L70" i="89" s="1"/>
  <c r="L71" i="89" s="1"/>
  <c r="L72" i="89" s="1"/>
  <c r="L73" i="89" s="1"/>
  <c r="L74" i="89" s="1"/>
  <c r="L75" i="89" s="1"/>
  <c r="L76" i="89" s="1"/>
  <c r="L77" i="89" s="1"/>
  <c r="L78" i="89" s="1"/>
  <c r="H51" i="89"/>
  <c r="P40" i="89"/>
  <c r="K21" i="49"/>
  <c r="F21" i="49"/>
  <c r="T11" i="49" s="1"/>
  <c r="J21" i="49"/>
  <c r="U11" i="49" s="1"/>
  <c r="G21" i="49"/>
  <c r="N21" i="49"/>
  <c r="V11" i="49" s="1"/>
  <c r="N21" i="27"/>
  <c r="W10" i="27" s="1"/>
  <c r="X10" i="27" s="1"/>
  <c r="Y2" i="3"/>
  <c r="E18" i="5"/>
  <c r="L21" i="3"/>
  <c r="H53" i="89"/>
  <c r="P58" i="89"/>
  <c r="H69" i="89"/>
  <c r="G78" i="89"/>
  <c r="H43" i="89"/>
  <c r="P67" i="89"/>
  <c r="H57" i="89"/>
  <c r="K40" i="89"/>
  <c r="K41" i="89" s="1"/>
  <c r="K42" i="89" s="1"/>
  <c r="K43" i="89" s="1"/>
  <c r="K44" i="89" s="1"/>
  <c r="K45" i="89" s="1"/>
  <c r="K46" i="89" s="1"/>
  <c r="K47" i="89" s="1"/>
  <c r="K48" i="89" s="1"/>
  <c r="K49" i="89" s="1"/>
  <c r="K50" i="89" s="1"/>
  <c r="K51" i="89" s="1"/>
  <c r="K52" i="89" s="1"/>
  <c r="K53" i="89" s="1"/>
  <c r="K54" i="89" s="1"/>
  <c r="K55" i="89" s="1"/>
  <c r="K56" i="89" s="1"/>
  <c r="K57" i="89" s="1"/>
  <c r="K58" i="89" s="1"/>
  <c r="K59" i="89" s="1"/>
  <c r="K60" i="89" s="1"/>
  <c r="K61" i="89" s="1"/>
  <c r="K62" i="89" s="1"/>
  <c r="K63" i="89" s="1"/>
  <c r="K64" i="89" s="1"/>
  <c r="K65" i="89" s="1"/>
  <c r="K66" i="89" s="1"/>
  <c r="K67" i="89" s="1"/>
  <c r="K68" i="89" s="1"/>
  <c r="K69" i="89" s="1"/>
  <c r="K70" i="89" s="1"/>
  <c r="K71" i="89" s="1"/>
  <c r="K72" i="89" s="1"/>
  <c r="K73" i="89" s="1"/>
  <c r="K74" i="89" s="1"/>
  <c r="K75" i="89" s="1"/>
  <c r="K76" i="89" s="1"/>
  <c r="K77" i="89" s="1"/>
  <c r="K78" i="89" s="1"/>
  <c r="H41" i="89"/>
  <c r="H44" i="89"/>
  <c r="H45" i="89"/>
  <c r="H61" i="89"/>
  <c r="P43" i="89"/>
  <c r="H48" i="89"/>
  <c r="H71" i="89"/>
  <c r="M42" i="89"/>
  <c r="M43" i="89" s="1"/>
  <c r="M44" i="89" s="1"/>
  <c r="M45" i="89" s="1"/>
  <c r="M46" i="89" s="1"/>
  <c r="M47" i="89" s="1"/>
  <c r="M48" i="89" s="1"/>
  <c r="M49" i="89" s="1"/>
  <c r="M50" i="89" s="1"/>
  <c r="M51" i="89" s="1"/>
  <c r="M52" i="89" s="1"/>
  <c r="M53" i="89" s="1"/>
  <c r="M54" i="89" s="1"/>
  <c r="M55" i="89" s="1"/>
  <c r="M56" i="89" s="1"/>
  <c r="M57" i="89" s="1"/>
  <c r="M58" i="89" s="1"/>
  <c r="M59" i="89" s="1"/>
  <c r="M60" i="89" s="1"/>
  <c r="M61" i="89" s="1"/>
  <c r="M62" i="89" s="1"/>
  <c r="M63" i="89" s="1"/>
  <c r="M64" i="89" s="1"/>
  <c r="M65" i="89" s="1"/>
  <c r="M66" i="89" s="1"/>
  <c r="M67" i="89" s="1"/>
  <c r="M68" i="89" s="1"/>
  <c r="M69" i="89" s="1"/>
  <c r="M70" i="89" s="1"/>
  <c r="M71" i="89" s="1"/>
  <c r="M72" i="89" s="1"/>
  <c r="M73" i="89" s="1"/>
  <c r="M74" i="89" s="1"/>
  <c r="M75" i="89" s="1"/>
  <c r="M76" i="89" s="1"/>
  <c r="M77" i="89" s="1"/>
  <c r="M78" i="89" s="1"/>
  <c r="Q55" i="89"/>
  <c r="Q76" i="89"/>
  <c r="M41" i="89"/>
  <c r="R45" i="89"/>
  <c r="Q47" i="89"/>
  <c r="R73" i="89"/>
  <c r="N45" i="89"/>
  <c r="N46" i="89" s="1"/>
  <c r="N47" i="89" s="1"/>
  <c r="N48" i="89" s="1"/>
  <c r="N49" i="89" s="1"/>
  <c r="N50" i="89" s="1"/>
  <c r="N51" i="89" s="1"/>
  <c r="N52" i="89" s="1"/>
  <c r="N53" i="89" s="1"/>
  <c r="N54" i="89" s="1"/>
  <c r="N55" i="89" s="1"/>
  <c r="N56" i="89" s="1"/>
  <c r="N57" i="89" s="1"/>
  <c r="N58" i="89" s="1"/>
  <c r="N59" i="89" s="1"/>
  <c r="N60" i="89" s="1"/>
  <c r="N61" i="89" s="1"/>
  <c r="N62" i="89" s="1"/>
  <c r="N63" i="89" s="1"/>
  <c r="N64" i="89" s="1"/>
  <c r="N65" i="89" s="1"/>
  <c r="N66" i="89" s="1"/>
  <c r="N67" i="89" s="1"/>
  <c r="N68" i="89" s="1"/>
  <c r="N69" i="89" s="1"/>
  <c r="N70" i="89" s="1"/>
  <c r="N71" i="89" s="1"/>
  <c r="N72" i="89" s="1"/>
  <c r="N73" i="89" s="1"/>
  <c r="N74" i="89" s="1"/>
  <c r="N75" i="89" s="1"/>
  <c r="N76" i="89" s="1"/>
  <c r="N77" i="89" s="1"/>
  <c r="N78" i="89" s="1"/>
  <c r="R58" i="89"/>
  <c r="F78" i="89"/>
  <c r="O69" i="89"/>
  <c r="O71" i="89"/>
  <c r="O43" i="89"/>
  <c r="O58" i="89"/>
  <c r="O56" i="89"/>
  <c r="O49" i="89"/>
  <c r="O63" i="89"/>
  <c r="O67" i="89"/>
  <c r="O52" i="89"/>
  <c r="O62" i="89"/>
  <c r="O73" i="89"/>
  <c r="O76" i="89"/>
  <c r="O77" i="89"/>
  <c r="O50" i="89"/>
  <c r="P53" i="89"/>
  <c r="P46" i="89"/>
  <c r="P49" i="89"/>
  <c r="P52" i="89"/>
  <c r="P64" i="89"/>
  <c r="P68" i="89"/>
  <c r="O68" i="89"/>
  <c r="H46" i="89"/>
  <c r="P61" i="89"/>
  <c r="H70" i="89"/>
  <c r="H74" i="89"/>
  <c r="P77" i="89"/>
  <c r="H54" i="89"/>
  <c r="H55" i="89"/>
  <c r="H56" i="89"/>
  <c r="O59" i="89"/>
  <c r="H62" i="89"/>
  <c r="H67" i="89"/>
  <c r="P69" i="89"/>
  <c r="P71" i="89"/>
  <c r="H49" i="89"/>
  <c r="P54" i="89"/>
  <c r="H64" i="89"/>
  <c r="C20" i="65"/>
  <c r="D20" i="65"/>
  <c r="L20" i="65"/>
  <c r="K20" i="65"/>
  <c r="M20" i="65"/>
  <c r="P20" i="65"/>
  <c r="F20" i="65"/>
  <c r="AB2" i="65" s="1"/>
  <c r="N20" i="65"/>
  <c r="AE2" i="65" s="1"/>
  <c r="J20" i="65"/>
  <c r="AC2" i="65" s="1"/>
  <c r="R20" i="65"/>
  <c r="AD2" i="65" s="1"/>
  <c r="Q20" i="65"/>
  <c r="K19" i="63"/>
  <c r="F19" i="63"/>
  <c r="G20" i="63"/>
  <c r="L21" i="49"/>
  <c r="P21" i="49"/>
  <c r="J17" i="5"/>
  <c r="D17" i="5"/>
  <c r="D18" i="5"/>
  <c r="D18" i="47"/>
  <c r="H19" i="47"/>
  <c r="D19" i="47"/>
  <c r="P78" i="89" l="1"/>
  <c r="H79" i="89"/>
  <c r="L79" i="89"/>
  <c r="O78" i="89"/>
  <c r="K79" i="89"/>
  <c r="W11" i="49"/>
  <c r="I18" i="5"/>
  <c r="F18" i="5"/>
  <c r="F19" i="5"/>
  <c r="H78" i="89"/>
  <c r="AF2" i="65"/>
  <c r="G19" i="63"/>
  <c r="L19" i="63"/>
  <c r="J19" i="63"/>
  <c r="J19" i="5" l="1"/>
  <c r="J18" i="5"/>
  <c r="M19" i="63"/>
</calcChain>
</file>

<file path=xl/sharedStrings.xml><?xml version="1.0" encoding="utf-8"?>
<sst xmlns="http://schemas.openxmlformats.org/spreadsheetml/2006/main" count="2298" uniqueCount="786">
  <si>
    <t>Boletín de Cereales</t>
  </si>
  <si>
    <t>Cereales: producción, precios y comercio exterior de trigo, maíz y arroz</t>
  </si>
  <si>
    <t>Trigo: Páginas 4-27</t>
  </si>
  <si>
    <t>Maíz: Páginas 28-43</t>
  </si>
  <si>
    <t>Arroz: Páginas 44-61</t>
  </si>
  <si>
    <t>Sergio Soto N.</t>
  </si>
  <si>
    <t>Publicación de la Oficina de Estudios y Políticas Agrarias (Odepa)</t>
  </si>
  <si>
    <t>del Ministerio de Agricultura, Gobierno de Chile</t>
  </si>
  <si>
    <t>Directora y representante legal</t>
  </si>
  <si>
    <t>Andrea García Lizama</t>
  </si>
  <si>
    <t>Se puede reproducir total o parcialmente citando la fuente</t>
  </si>
  <si>
    <t>Teatinos 40, piso 7. Santiago, Chile</t>
  </si>
  <si>
    <t>Teléfono :(56- 2) 23973000</t>
  </si>
  <si>
    <t>Fax :(56- 2) 23973111</t>
  </si>
  <si>
    <t xml:space="preserve">www.odepa.gob.cl  </t>
  </si>
  <si>
    <t>INTRODUCCIÓN</t>
  </si>
  <si>
    <t xml:space="preserve">
</t>
  </si>
  <si>
    <t>CEREALES: TRIGO</t>
  </si>
  <si>
    <t>TABLA DE CONTENIDO TRIGO</t>
  </si>
  <si>
    <t>Cuadros</t>
  </si>
  <si>
    <t>Descripción</t>
  </si>
  <si>
    <t>Página</t>
  </si>
  <si>
    <t>Nº 1</t>
  </si>
  <si>
    <t xml:space="preserve">Proyección mensual del balance mundial de oferta y demanda de trigo </t>
  </si>
  <si>
    <t>Nº 2</t>
  </si>
  <si>
    <t>Balance mundial de oferta y demanda de trigo</t>
  </si>
  <si>
    <t>Nº 3</t>
  </si>
  <si>
    <t>Balance de oferta y demanda de trigo por país de origen</t>
  </si>
  <si>
    <t>Nº 4</t>
  </si>
  <si>
    <t>Chile. Superficie, producción y rendimiento nacional de trigo (Coquimbo a Los Lagos)</t>
  </si>
  <si>
    <t>Nº 5</t>
  </si>
  <si>
    <t>Chile. Superficie, producción y rendimiento regional de trigo panadero (Coquimbo a Los Lagos)</t>
  </si>
  <si>
    <t>Nº 6</t>
  </si>
  <si>
    <t>Chile. Superficie, producción y rendimiento regional de trigo candeal (Valparaíso a La Araucanía)</t>
  </si>
  <si>
    <t>Nº 7</t>
  </si>
  <si>
    <t>Chile. Trigo - Costos por hectárea según rendimiento esperado ($/ha)</t>
  </si>
  <si>
    <t>Nº 8</t>
  </si>
  <si>
    <t>Chile. Producción, importación y disponibilidad aparente de trigo panadero y candeal</t>
  </si>
  <si>
    <t>N° 9</t>
  </si>
  <si>
    <t>Chile. Evolución mensual de las importaciones de trigo</t>
  </si>
  <si>
    <t>N° 10</t>
  </si>
  <si>
    <t>Chile. Importaciones de trigo panadero por principales países de origen</t>
  </si>
  <si>
    <t>N° 11</t>
  </si>
  <si>
    <t>Chile. Importaciones de trigo panadero por tipo</t>
  </si>
  <si>
    <t>N° 12</t>
  </si>
  <si>
    <t>Chile. Importaciones de trigo panadero por tipo, desde Argentina</t>
  </si>
  <si>
    <t>N° 13</t>
  </si>
  <si>
    <t>Chile. Costo promedio ponderado de las importaciones efectuadas de trigo por tipo</t>
  </si>
  <si>
    <t>N° 14</t>
  </si>
  <si>
    <t>Chile. Costo promedio ponderado de las importaciones de trigo panadero por tipo, desde Argentina</t>
  </si>
  <si>
    <t>N° 15</t>
  </si>
  <si>
    <t xml:space="preserve">Chile.  Precios promedio nacionales informados por la industria </t>
  </si>
  <si>
    <t>Nº 16</t>
  </si>
  <si>
    <t>Chile. Precios promedio informados por la industria, por regiones</t>
  </si>
  <si>
    <t>Nº 17</t>
  </si>
  <si>
    <t xml:space="preserve">Evolución de los precios en los mercados de Argentina, Estados Unidos y Chile </t>
  </si>
  <si>
    <t>Nº 18</t>
  </si>
  <si>
    <t xml:space="preserve">Chile. Molienda de trigo blanco y candeal por producto y subproductos </t>
  </si>
  <si>
    <t>Nº 19</t>
  </si>
  <si>
    <t>Chile. Molienda de trigo blanco y candeal por región</t>
  </si>
  <si>
    <t>N° 20</t>
  </si>
  <si>
    <t>Chile. Stock harina blanca</t>
  </si>
  <si>
    <t>N° 21</t>
  </si>
  <si>
    <t>Chile. Stock trigo sucio blanco</t>
  </si>
  <si>
    <t>N° 22</t>
  </si>
  <si>
    <t>Chile. Volumen trigo blanco nacional comprado regional</t>
  </si>
  <si>
    <t>26A</t>
  </si>
  <si>
    <t>N° 23</t>
  </si>
  <si>
    <t>Chile. Volumen trigo blanco importado comprado regional</t>
  </si>
  <si>
    <t>26B</t>
  </si>
  <si>
    <t>N° 24</t>
  </si>
  <si>
    <t>Chile. Volumen trigo blanco comprado a terceros regional (nacional e importado)</t>
  </si>
  <si>
    <t>26C</t>
  </si>
  <si>
    <t>Nº 25 - 27</t>
  </si>
  <si>
    <t>Variación 12 meses precio trigo, harina y pan</t>
  </si>
  <si>
    <t>Gráfico</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</si>
  <si>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</si>
  <si>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</si>
  <si>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</si>
  <si>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Chile. Evolución mensual de las importaciones de trigo panadero y candeal</t>
  </si>
  <si>
    <t xml:space="preserve">Participación por país de origen en las importaciones de trigo panadero </t>
  </si>
  <si>
    <t xml:space="preserve">Participación por tipo en las importaciones de trigo panadero  </t>
  </si>
  <si>
    <t xml:space="preserve">Chile. Costo promedio ponderado de las importaciones de trigo </t>
  </si>
  <si>
    <t>N°9</t>
  </si>
  <si>
    <t xml:space="preserve">Precios promedio nacionales informados por la industria por tipo de trigo </t>
  </si>
  <si>
    <t>N°10</t>
  </si>
  <si>
    <t xml:space="preserve">Evolución de los precios en los mercados de Estados Unidos, Argentina y Chile
</t>
  </si>
  <si>
    <t>N°11</t>
  </si>
  <si>
    <t xml:space="preserve">Evolución de los precios del trigo HRW en el mercado de futuros de Kansas </t>
  </si>
  <si>
    <t>Cuadro Nº 1</t>
  </si>
  <si>
    <t>(millones de toneladas)</t>
  </si>
  <si>
    <t>Mes de la proyección</t>
  </si>
  <si>
    <t>Existencias iniciales</t>
  </si>
  <si>
    <t>Producción</t>
  </si>
  <si>
    <t>Demanda</t>
  </si>
  <si>
    <t>Exportaciones</t>
  </si>
  <si>
    <t xml:space="preserve">Existencias finales </t>
  </si>
  <si>
    <t xml:space="preserve"> </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</si>
  <si>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</si>
  <si>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 WASDE, USDA.           </t>
  </si>
  <si>
    <t>Cuadro Nº 2</t>
  </si>
  <si>
    <t>Balance mundial de oferta y demanda de trigo por temporada</t>
  </si>
  <si>
    <t>Temporada / Año</t>
  </si>
  <si>
    <t>Existencias finales</t>
  </si>
  <si>
    <t>Relación existencias finales/consumo</t>
  </si>
  <si>
    <t>2012/13</t>
  </si>
  <si>
    <t>2013/14</t>
  </si>
  <si>
    <t xml:space="preserve">2014/15 </t>
  </si>
  <si>
    <t xml:space="preserve">2015/16 </t>
  </si>
  <si>
    <t xml:space="preserve">2016/17 </t>
  </si>
  <si>
    <t xml:space="preserve">2017/18 </t>
  </si>
  <si>
    <t>2018/19</t>
  </si>
  <si>
    <t xml:space="preserve">2019/20 </t>
  </si>
  <si>
    <t>2020/21</t>
  </si>
  <si>
    <t xml:space="preserve">2021/22 </t>
  </si>
  <si>
    <r>
      <t xml:space="preserve">Fuente: elaborado por Odepa con información de </t>
    </r>
    <r>
      <rPr>
        <i/>
        <sz val="9"/>
        <rFont val="Arial"/>
        <family val="2"/>
      </rPr>
      <t>WASDE, USDA.</t>
    </r>
  </si>
  <si>
    <t>Cuadro Nº 3</t>
  </si>
  <si>
    <t>Años</t>
  </si>
  <si>
    <t>Argentina</t>
  </si>
  <si>
    <t>Australia</t>
  </si>
  <si>
    <t>Canadá</t>
  </si>
  <si>
    <t>Unión Europea</t>
  </si>
  <si>
    <t>Kazajistán</t>
  </si>
  <si>
    <t>Rusia</t>
  </si>
  <si>
    <t>Ucrania</t>
  </si>
  <si>
    <t>EE.UU.</t>
  </si>
  <si>
    <t>China</t>
  </si>
  <si>
    <t>India</t>
  </si>
  <si>
    <t>Mundo</t>
  </si>
  <si>
    <t>Mundo sin China</t>
  </si>
  <si>
    <t>Importaciones</t>
  </si>
  <si>
    <r>
      <t xml:space="preserve">Fuente: elaborado por Odepa con información de </t>
    </r>
    <r>
      <rPr>
        <i/>
        <sz val="9"/>
        <rFont val="Arial"/>
        <family val="2"/>
      </rPr>
      <t>WASDE, USDA</t>
    </r>
    <r>
      <rPr>
        <sz val="9"/>
        <rFont val="Arial"/>
        <family val="2"/>
      </rPr>
      <t>.</t>
    </r>
  </si>
  <si>
    <t>Cuadro Nº 4</t>
  </si>
  <si>
    <t>Chile. Superficie, producción y rendimiento nacional de trigo panadero y candeal</t>
  </si>
  <si>
    <t>Año agrícola</t>
  </si>
  <si>
    <t>Trigo panadero</t>
  </si>
  <si>
    <t>Trigo candeal</t>
  </si>
  <si>
    <t>Superficie 
(miles de hectáreas)</t>
  </si>
  <si>
    <t>Producción 
(miles de toneladas)</t>
  </si>
  <si>
    <t>Rendimiento 
(qqm/
hectárea)</t>
  </si>
  <si>
    <t>2011/12</t>
  </si>
  <si>
    <t>2014/15</t>
  </si>
  <si>
    <t>2015/16</t>
  </si>
  <si>
    <t>2016/17</t>
  </si>
  <si>
    <t>2017/18</t>
  </si>
  <si>
    <t>2019/20</t>
  </si>
  <si>
    <t>2021/22</t>
  </si>
  <si>
    <t>Fuente: elaborado por Odepa con información de INE.</t>
  </si>
  <si>
    <t>Cuadro Nº 5</t>
  </si>
  <si>
    <t>Chile. Superficie, producción y rendimiento regional de trigo panadero 
(Coquimbo a Los Lagos)</t>
  </si>
  <si>
    <t>Región</t>
  </si>
  <si>
    <t>Superficie (hectáreas)</t>
  </si>
  <si>
    <t>Producción (toneladas)</t>
  </si>
  <si>
    <t>Rendimiento (quintales/ hectárea)</t>
  </si>
  <si>
    <t>Valparaíso</t>
  </si>
  <si>
    <t>Metropolitana</t>
  </si>
  <si>
    <t>O'Higgins</t>
  </si>
  <si>
    <t>Maule</t>
  </si>
  <si>
    <t>Ñuble</t>
  </si>
  <si>
    <t>Bío Bío</t>
  </si>
  <si>
    <t>La Araucanía</t>
  </si>
  <si>
    <t>Los Ríos</t>
  </si>
  <si>
    <t>Los Lagos</t>
  </si>
  <si>
    <t>Otras</t>
  </si>
  <si>
    <t>País</t>
  </si>
  <si>
    <t>Coquimbo</t>
  </si>
  <si>
    <t xml:space="preserve">Fuente: elaborado por Odepa con información del INE.  </t>
  </si>
  <si>
    <t>Cuadro Nº 6</t>
  </si>
  <si>
    <t>Chile. Superficie, producción y rendimiento regional de trigo candeal 
(Valparaíso a La Araucanía)</t>
  </si>
  <si>
    <t xml:space="preserve">Fuente: elaborado por Odepa con información del INE. </t>
  </si>
  <si>
    <t>Cuadro Nº 7</t>
  </si>
  <si>
    <t>Trigo invierno (secano)</t>
  </si>
  <si>
    <t>Trigo primavera (riego)</t>
  </si>
  <si>
    <t>Trigo primavera (secano)</t>
  </si>
  <si>
    <t xml:space="preserve">Rdto qqm/ha </t>
  </si>
  <si>
    <r>
      <t xml:space="preserve">Mano de obra </t>
    </r>
    <r>
      <rPr>
        <b/>
        <vertAlign val="superscript"/>
        <sz val="12"/>
        <color rgb="FFFF0000"/>
        <rFont val="Arial"/>
        <family val="2"/>
      </rPr>
      <t>1</t>
    </r>
  </si>
  <si>
    <r>
      <t xml:space="preserve">Maquinaria </t>
    </r>
    <r>
      <rPr>
        <b/>
        <vertAlign val="superscript"/>
        <sz val="12"/>
        <color rgb="FFFF0000"/>
        <rFont val="Arial"/>
        <family val="2"/>
      </rPr>
      <t>1</t>
    </r>
  </si>
  <si>
    <r>
      <t xml:space="preserve">Insumos </t>
    </r>
    <r>
      <rPr>
        <b/>
        <vertAlign val="superscript"/>
        <sz val="12"/>
        <color rgb="FFFF0000"/>
        <rFont val="Arial"/>
        <family val="2"/>
      </rPr>
      <t>1</t>
    </r>
    <r>
      <rPr>
        <vertAlign val="superscript"/>
        <sz val="10"/>
        <rFont val="Arial"/>
        <family val="2"/>
      </rPr>
      <t xml:space="preserve"> </t>
    </r>
  </si>
  <si>
    <r>
      <t xml:space="preserve">Otros costos </t>
    </r>
    <r>
      <rPr>
        <b/>
        <vertAlign val="superscript"/>
        <sz val="12"/>
        <color rgb="FFFF0000"/>
        <rFont val="Arial"/>
        <family val="2"/>
      </rPr>
      <t>2</t>
    </r>
  </si>
  <si>
    <t>Total costos</t>
  </si>
  <si>
    <t xml:space="preserve">Precio promedio trigo intermedio regional </t>
  </si>
  <si>
    <t xml:space="preserve">Ingreso por hectárea </t>
  </si>
  <si>
    <t>Margen neto por hectárea</t>
  </si>
  <si>
    <t>Trigo</t>
  </si>
  <si>
    <r>
      <t xml:space="preserve">                              Rdto. (qqm/ha)
Precio ($/qqm) </t>
    </r>
    <r>
      <rPr>
        <b/>
        <vertAlign val="superscript"/>
        <sz val="12"/>
        <color rgb="FFFF0000"/>
        <rFont val="Arial"/>
        <family val="2"/>
      </rPr>
      <t>3</t>
    </r>
  </si>
  <si>
    <t>Intermedio</t>
  </si>
  <si>
    <r>
      <t xml:space="preserve">Precio de equilibrio </t>
    </r>
    <r>
      <rPr>
        <b/>
        <vertAlign val="superscript"/>
        <sz val="12"/>
        <color rgb="FFFF0000"/>
        <rFont val="Arial"/>
        <family val="2"/>
      </rPr>
      <t>4</t>
    </r>
  </si>
  <si>
    <t>Nota:</t>
  </si>
  <si>
    <t>(2) Costo financiero de los insumos e imprevistos. No incluye arriendo del predio ni su administración.</t>
  </si>
  <si>
    <t>(4) Representa el precio de venta mínimo para cubrir los costos totales de producción con ese rendimiento y calidad.</t>
  </si>
  <si>
    <t>Cuadro Nº 8</t>
  </si>
  <si>
    <t>Chile. Producción, importación y disponibilidad aparente de trigo panadero</t>
  </si>
  <si>
    <t>(toneladas)</t>
  </si>
  <si>
    <t>Año</t>
  </si>
  <si>
    <t>Variación  anual</t>
  </si>
  <si>
    <t>Importación*</t>
  </si>
  <si>
    <r>
      <rPr>
        <b/>
        <i/>
        <sz val="10"/>
        <rFont val="Arial"/>
        <family val="2"/>
      </rPr>
      <t xml:space="preserve">Stocks </t>
    </r>
    <r>
      <rPr>
        <b/>
        <sz val="10"/>
        <rFont val="Arial"/>
        <family val="2"/>
      </rPr>
      <t>(inicial-final)</t>
    </r>
  </si>
  <si>
    <t>Exportación</t>
  </si>
  <si>
    <t>Disponibilidad aparente</t>
  </si>
  <si>
    <t xml:space="preserve"> (%)</t>
  </si>
  <si>
    <t>-</t>
  </si>
  <si>
    <r>
      <rPr>
        <b/>
        <sz val="11"/>
        <rFont val="Arial"/>
        <family val="2"/>
      </rPr>
      <t>*Se excluye trigo importado destinado a uso forrajero.</t>
    </r>
    <r>
      <rPr>
        <sz val="9"/>
        <rFont val="Arial"/>
        <family val="2"/>
      </rPr>
      <t xml:space="preserve">                     
</t>
    </r>
    <r>
      <rPr>
        <b/>
        <sz val="9"/>
        <rFont val="Arial"/>
        <family val="2"/>
      </rPr>
      <t>Fuente: estadísticas de producción elaboradas por Odepa con información del INE e importación con información del Servicio Nacional de Aduanas.</t>
    </r>
  </si>
  <si>
    <t>Cuadro Nº 9</t>
  </si>
  <si>
    <t>Chile. Evolución mensual de las importaciones de trigo (panadero y candeal)</t>
  </si>
  <si>
    <t xml:space="preserve">Año/Mes </t>
  </si>
  <si>
    <t xml:space="preserve">Febrero </t>
  </si>
  <si>
    <t>Noviembre</t>
  </si>
  <si>
    <t>Diciembre</t>
  </si>
  <si>
    <t>Total</t>
  </si>
  <si>
    <t>Cuadro Nº 10</t>
  </si>
  <si>
    <t>Otros</t>
  </si>
  <si>
    <t>Mes</t>
  </si>
  <si>
    <t>Enero</t>
  </si>
  <si>
    <t>Febrero</t>
  </si>
  <si>
    <t>Marzo</t>
  </si>
  <si>
    <t>Abril</t>
  </si>
  <si>
    <t>Mayo</t>
  </si>
  <si>
    <t>Junio</t>
  </si>
  <si>
    <t>Julio</t>
  </si>
  <si>
    <t>Agosto</t>
  </si>
  <si>
    <t>Septiembre</t>
  </si>
  <si>
    <t>Octubre</t>
  </si>
  <si>
    <t xml:space="preserve">Diciembre </t>
  </si>
  <si>
    <t xml:space="preserve">Participación </t>
  </si>
  <si>
    <r>
      <rPr>
        <b/>
        <sz val="10"/>
        <rFont val="Arial"/>
        <family val="2"/>
      </rPr>
      <t>*Se excluye trigo destinado a uso forrajero.</t>
    </r>
    <r>
      <rPr>
        <sz val="9"/>
        <rFont val="Arial"/>
        <family val="2"/>
      </rPr>
      <t xml:space="preserve">
Fuente: elaborado por Odepa con información del Servicio Nacional de Aduanas.</t>
    </r>
  </si>
  <si>
    <t>Cuadro Nº 11</t>
  </si>
  <si>
    <t>Suave</t>
  </si>
  <si>
    <t>Fuerte</t>
  </si>
  <si>
    <t>Participación</t>
  </si>
  <si>
    <r>
      <rPr>
        <b/>
        <sz val="9"/>
        <rFont val="Arial"/>
        <family val="2"/>
      </rPr>
      <t>Se excluye trigo destinado a uso forrajero.</t>
    </r>
    <r>
      <rPr>
        <sz val="9"/>
        <rFont val="Arial"/>
        <family val="2"/>
      </rPr>
      <t xml:space="preserve">
Fuente: elaborado por Odepa con información del Servicio Nacional de Aduanas.</t>
    </r>
  </si>
  <si>
    <t>Cuadro Nº 12</t>
  </si>
  <si>
    <t>Glosas arancelarias</t>
  </si>
  <si>
    <t>10019941 
(Pan Argentino)</t>
  </si>
  <si>
    <t>10019942 
(Pan Argentino)
10019952 (Canadian)</t>
  </si>
  <si>
    <t>10019993 (Los demás)
10019953 (Canadian)
10019913 (HRW)
10019943 
(Pan Argentino)
10019933 (SW)</t>
  </si>
  <si>
    <t>10019949 
(Los demás Trigo Pan Argentino)
10019999 
(Los demás trigos y morcajo)</t>
  </si>
  <si>
    <t>Tipo de trigo</t>
  </si>
  <si>
    <r>
      <rPr>
        <b/>
        <sz val="10"/>
        <rFont val="Arial"/>
        <family val="2"/>
      </rPr>
      <t xml:space="preserve">Se excluye trigo destinado a uso forrajero. </t>
    </r>
    <r>
      <rPr>
        <sz val="9"/>
        <rFont val="Arial"/>
        <family val="2"/>
      </rPr>
      <t xml:space="preserve">
Fuente: elaborado por Odepa con información del Servicio Nacional de Aduanas.</t>
    </r>
  </si>
  <si>
    <t>Cuadro Nº 13</t>
  </si>
  <si>
    <t>Chile. Costo promedio ponderado de las importaciones de trigo panadero por tipo</t>
  </si>
  <si>
    <t xml:space="preserve">($ / kilo nominal CIF)   </t>
  </si>
  <si>
    <t>Trigo Pan Argentino</t>
  </si>
  <si>
    <t>Canadian WRS</t>
  </si>
  <si>
    <t>CanadianTrigo pan</t>
  </si>
  <si>
    <t>TPArg</t>
  </si>
  <si>
    <r>
      <t xml:space="preserve">Fuente: elaborado por Odepa con información del Servicio Nacional de Aduanas.
</t>
    </r>
    <r>
      <rPr>
        <b/>
        <sz val="10"/>
        <rFont val="Arial"/>
        <family val="2"/>
      </rPr>
      <t>Nota: se excluye trigo destinado a uso forrajero.</t>
    </r>
  </si>
  <si>
    <r>
      <rPr>
        <b/>
        <sz val="10"/>
        <rFont val="Arial"/>
        <family val="2"/>
      </rPr>
      <t>Se excluye trigo destinado a uso forrajero.</t>
    </r>
    <r>
      <rPr>
        <sz val="9"/>
        <rFont val="Arial"/>
        <family val="2"/>
      </rPr>
      <t xml:space="preserve">
Fuente: elaborado por Odepa con información del Servicio Nacional de Aduanas.</t>
    </r>
  </si>
  <si>
    <t>Cuadro Nº 14</t>
  </si>
  <si>
    <t>(USD/ tonelada CIF)</t>
  </si>
  <si>
    <t>10019942 
(Pan Argentino)</t>
  </si>
  <si>
    <t>Cuadro Nº 15</t>
  </si>
  <si>
    <t>Chile.  Precios promedio nacionales informados por la industria</t>
  </si>
  <si>
    <t>($ / kilo nominal)</t>
  </si>
  <si>
    <t xml:space="preserve">Suave </t>
  </si>
  <si>
    <t>*</t>
  </si>
  <si>
    <t>Fuente: elaborado por Odepa con información de Cotrisa.</t>
  </si>
  <si>
    <t>Cuadro Nº 16</t>
  </si>
  <si>
    <t>Chile. Precios promedio informados por la industria para trigo intermedio, por regiones</t>
  </si>
  <si>
    <t>Región Metropolitana</t>
  </si>
  <si>
    <t>Región del Maule</t>
  </si>
  <si>
    <t>Región del Ñuble</t>
  </si>
  <si>
    <t>Región del Bío Bío</t>
  </si>
  <si>
    <t>Región de la Araucanía</t>
  </si>
  <si>
    <t>**</t>
  </si>
  <si>
    <t>Cuadro Nº 17</t>
  </si>
  <si>
    <t>Evolución de los precios en los mercados de Chile, Argentina y Estados Unidos</t>
  </si>
  <si>
    <t>(precios mensuales nominales expresados en $ / kg)</t>
  </si>
  <si>
    <t>Trigo SRW n° 2, FOB Golfo, EE.UU.</t>
  </si>
  <si>
    <t>CAI SRW Golfo</t>
  </si>
  <si>
    <t>CAI trigo panadero Argentina</t>
  </si>
  <si>
    <t>Precio promedio trigo intermedio RM</t>
  </si>
  <si>
    <t>Precio promedio trigo intermedio país</t>
  </si>
  <si>
    <t>Costo importación CIF Trigo Pan Argentino</t>
  </si>
  <si>
    <t xml:space="preserve">Fuente: elaborado por Odepa con antecedentes de Cotrisa, bolsas, Banco Central y Reuters.                                        </t>
  </si>
  <si>
    <t>4 de enero de 2021</t>
  </si>
  <si>
    <t>11 de enero de 2021</t>
  </si>
  <si>
    <t>19 de enero de 2021</t>
  </si>
  <si>
    <t>25 de enero de 2021</t>
  </si>
  <si>
    <t>1 de febrero de 2021</t>
  </si>
  <si>
    <t>8 de febrero de 2021</t>
  </si>
  <si>
    <t>16 de febrero de 2021</t>
  </si>
  <si>
    <t>22 de febrero de 2021</t>
  </si>
  <si>
    <t>1 de marzo de 2021</t>
  </si>
  <si>
    <t>8 de marzo de 2021</t>
  </si>
  <si>
    <t>15 de marzo de 2021</t>
  </si>
  <si>
    <t>22 de marzo de 2021</t>
  </si>
  <si>
    <t>29 de marzo de 2021</t>
  </si>
  <si>
    <t>5 de abril de 2021</t>
  </si>
  <si>
    <t>12 de abril de 2021</t>
  </si>
  <si>
    <t>19 de abril de 2021</t>
  </si>
  <si>
    <t>26 de abril de 2021</t>
  </si>
  <si>
    <t>3 de mayo de 2021</t>
  </si>
  <si>
    <t>10 de mayo de 2021</t>
  </si>
  <si>
    <t>17 de mayo de 2021</t>
  </si>
  <si>
    <t>24 de mayo de 2021</t>
  </si>
  <si>
    <t>1 de junio de 2021</t>
  </si>
  <si>
    <t>7 de junio de 2021</t>
  </si>
  <si>
    <t>14 de junio de 2021</t>
  </si>
  <si>
    <t>21 de junio de 2021</t>
  </si>
  <si>
    <t>28 de junio de 2021</t>
  </si>
  <si>
    <t>6 de julio de 2021</t>
  </si>
  <si>
    <t>Fuente: elaborado por Odepa con información de las Bolsas y Reuters.</t>
  </si>
  <si>
    <t>12 de julio de 2021</t>
  </si>
  <si>
    <t>19 de julio de 2021</t>
  </si>
  <si>
    <t>26 de julio de 2021</t>
  </si>
  <si>
    <t>2 de agosto de 2021</t>
  </si>
  <si>
    <t>9 de agosto de 2021</t>
  </si>
  <si>
    <t>16 de agosto de 2021</t>
  </si>
  <si>
    <t>23 de agosto de 2021</t>
  </si>
  <si>
    <t>30 de agosto de 2021</t>
  </si>
  <si>
    <t>7 de septiembre de 2021</t>
  </si>
  <si>
    <t>13 de septiembre de 2021</t>
  </si>
  <si>
    <t>20 de septiembre de 2021</t>
  </si>
  <si>
    <t>27 de septiembre de 2021</t>
  </si>
  <si>
    <t>4 de octubre de 2021</t>
  </si>
  <si>
    <t>11 de octubre de 2021</t>
  </si>
  <si>
    <t>18 de octubre de 2021</t>
  </si>
  <si>
    <t>25 de octubre de 2021</t>
  </si>
  <si>
    <t>1 de noviembre de 2021</t>
  </si>
  <si>
    <t>8 de noviembre de 2021</t>
  </si>
  <si>
    <t>15 de noviembre de 2021</t>
  </si>
  <si>
    <t>22 de noviembre de 2021</t>
  </si>
  <si>
    <t>29 de noviembre de 2021</t>
  </si>
  <si>
    <t>6 de diciembre de 2021</t>
  </si>
  <si>
    <t>13 de diciembre de 2021</t>
  </si>
  <si>
    <t>20 de diciembre de 2021</t>
  </si>
  <si>
    <t>27 de diciembre de 2021</t>
  </si>
  <si>
    <t>3 de enero de 2022</t>
  </si>
  <si>
    <t>10 de enero de 2022</t>
  </si>
  <si>
    <t>18 de enero de 2022</t>
  </si>
  <si>
    <t>24 de enero de 2022</t>
  </si>
  <si>
    <t>31 de enero de 2022</t>
  </si>
  <si>
    <t>7 de febrero de 2022</t>
  </si>
  <si>
    <t>14 de febrero de 2022</t>
  </si>
  <si>
    <t>22 de febrero de 2022</t>
  </si>
  <si>
    <t>28 de febrero de 2022</t>
  </si>
  <si>
    <t>7 de marzo de 2022</t>
  </si>
  <si>
    <t>14 de marzo de 2022</t>
  </si>
  <si>
    <t>21 de marzo de 2022</t>
  </si>
  <si>
    <t>28 de marzo de 2022</t>
  </si>
  <si>
    <t>4 de abril de 2022</t>
  </si>
  <si>
    <t>11 de abril de 2022</t>
  </si>
  <si>
    <t>18 de abril de 2022</t>
  </si>
  <si>
    <t>25 de abril de 2022</t>
  </si>
  <si>
    <t>2 de mayo de 2022</t>
  </si>
  <si>
    <t>9 de mayo de 2022</t>
  </si>
  <si>
    <t>16 de mayo de 2022</t>
  </si>
  <si>
    <t>Cuadro N° 18</t>
  </si>
  <si>
    <t>Chile. Molienda de trigo blanco y candeal por producto y subproductos</t>
  </si>
  <si>
    <t>Año y Mes</t>
  </si>
  <si>
    <t>Productos</t>
  </si>
  <si>
    <t>Subproductos</t>
  </si>
  <si>
    <t>Harina</t>
  </si>
  <si>
    <t>Sémola</t>
  </si>
  <si>
    <t>Semolín</t>
  </si>
  <si>
    <t>Otros*</t>
  </si>
  <si>
    <t>Harinilla</t>
  </si>
  <si>
    <t>Afrecho</t>
  </si>
  <si>
    <t>Afrechillo</t>
  </si>
  <si>
    <t>Primera</t>
  </si>
  <si>
    <t>Especial</t>
  </si>
  <si>
    <t>Otra</t>
  </si>
  <si>
    <t>Sept.</t>
  </si>
  <si>
    <t xml:space="preserve">Fuente: INE. </t>
  </si>
  <si>
    <t>Nota: Considera trigo nacional e importado.</t>
  </si>
  <si>
    <t>/P: cifras provisionales</t>
  </si>
  <si>
    <t>* : Corresponde a otros productos y subproductos del proceso de la molienda.</t>
  </si>
  <si>
    <t>Variación (%)</t>
  </si>
  <si>
    <t>Mensual</t>
  </si>
  <si>
    <t>En 12 meses</t>
  </si>
  <si>
    <t>Acumulada</t>
  </si>
  <si>
    <t>Cuadro N° 19</t>
  </si>
  <si>
    <t>O´Higgins</t>
  </si>
  <si>
    <t>Biobío</t>
  </si>
  <si>
    <t>Los Rios- Los Lagos</t>
  </si>
  <si>
    <t>RM</t>
  </si>
  <si>
    <t>Antofagasta-Coquimbo-Arica y Parinacota y Maule</t>
  </si>
  <si>
    <t>P: cifras provisionales</t>
  </si>
  <si>
    <t>Cuadro N° 20</t>
  </si>
  <si>
    <t>Regiones</t>
  </si>
  <si>
    <t>Arica, Tarapacá, Coquimbo y Maule</t>
  </si>
  <si>
    <t>Biobio</t>
  </si>
  <si>
    <t>Araucanía</t>
  </si>
  <si>
    <t>Los Ríos y Los Lagos</t>
  </si>
  <si>
    <t>Stock Inicial</t>
  </si>
  <si>
    <t xml:space="preserve">Stock Final </t>
  </si>
  <si>
    <t>Fuente: INE</t>
  </si>
  <si>
    <t xml:space="preserve">  </t>
  </si>
  <si>
    <t>Cuadro N° 21</t>
  </si>
  <si>
    <t>Cuadro N° 22</t>
  </si>
  <si>
    <t>Cuadro N° 23</t>
  </si>
  <si>
    <t>Cuadro N° 24</t>
  </si>
  <si>
    <t>Nacional</t>
  </si>
  <si>
    <t>Importado</t>
  </si>
  <si>
    <t>Cuadro Nº 25</t>
  </si>
  <si>
    <t>Variación mensual y a 12 meses índices precios a productor (IPP) de trigo</t>
  </si>
  <si>
    <t>(porcentaje)</t>
  </si>
  <si>
    <t>Mes/año</t>
  </si>
  <si>
    <t>Trigo productor</t>
  </si>
  <si>
    <t>12 meses</t>
  </si>
  <si>
    <t xml:space="preserve">Fuente: elaborado por Odepa con información de INE.                               </t>
  </si>
  <si>
    <t>Cuadro Nº 26</t>
  </si>
  <si>
    <t>Harina productor</t>
  </si>
  <si>
    <t>Cuadro Nº 27</t>
  </si>
  <si>
    <t>Variación mensual y a 12 meses índices precios a consumidor (IPC) de pan</t>
  </si>
  <si>
    <t>Pan consumidor</t>
  </si>
  <si>
    <t>CEREALES: MAÍZ</t>
  </si>
  <si>
    <t>TABLA DE CONTENIDO MAÍZ</t>
  </si>
  <si>
    <t xml:space="preserve">Proyecciones de producción y demanda mundial de maíz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</si>
  <si>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</si>
  <si>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</si>
  <si>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</si>
  <si>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</si>
  <si>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</si>
  <si>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</si>
  <si>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 xml:space="preserve">Chile. Producción, importación y  disponibilidad aparente de maíz grano </t>
  </si>
  <si>
    <t>Chile. Volumen de Importaciones de maíz</t>
  </si>
  <si>
    <t>Chile. Volumen de importaciones de maíz por principales países de origen</t>
  </si>
  <si>
    <t>Chile. Volumen de Importaciones de maíz y productos sustitutos</t>
  </si>
  <si>
    <t>N°12</t>
  </si>
  <si>
    <t>Chile. Costo promedio ponderado de las importaciones de maíz y sus sutitutos</t>
  </si>
  <si>
    <t>N°13</t>
  </si>
  <si>
    <t>Chile. Precios promedio nacionales informados por la industria</t>
  </si>
  <si>
    <t>N°14</t>
  </si>
  <si>
    <t>N°15</t>
  </si>
  <si>
    <t>Evolución de los precios en los mercados de Argentina, Estados Unidos y Chile</t>
  </si>
  <si>
    <t>Gráficos</t>
  </si>
  <si>
    <t>Proyecciones del balance mundial de oferta y demanda de maíz</t>
  </si>
  <si>
    <t>Producción y demanda mundial de maíz</t>
  </si>
  <si>
    <t xml:space="preserve">Chile. Evolución de la superficie sembrada, producción nacional de maíz para consumo  y rendimiento 
</t>
  </si>
  <si>
    <t>Chile. Producción, importación y disponibilidad aparente de maíz grano</t>
  </si>
  <si>
    <t>Chile. Evolución mensual de las importaciones de maíz</t>
  </si>
  <si>
    <t xml:space="preserve">Chile. Participación por país de origen en las importaciones de maíz  </t>
  </si>
  <si>
    <t>Chile.  Evolución del precio promedio nacional informado por la industria</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</si>
  <si>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</si>
  <si>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</si>
  <si>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</si>
  <si>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</si>
  <si>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</si>
  <si>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 xml:space="preserve">2018/19 </t>
  </si>
  <si>
    <t xml:space="preserve">2020/21 </t>
  </si>
  <si>
    <t>Fuente: elaborado por Odepa con información de WASDE, USDA.</t>
  </si>
  <si>
    <t xml:space="preserve">Cuadro Nº 3 </t>
  </si>
  <si>
    <t>Brasil</t>
  </si>
  <si>
    <r>
      <t xml:space="preserve">Fuente: elaborado por Odepa con información de </t>
    </r>
    <r>
      <rPr>
        <i/>
        <sz val="9"/>
        <rFont val="Arial"/>
        <family val="2"/>
      </rPr>
      <t>WASDE.</t>
    </r>
  </si>
  <si>
    <t>Chile. Superficie, producción y rendimiento nacional de maíz grano
(Coquimbo a Los Lagos)</t>
  </si>
  <si>
    <t>Temporada</t>
  </si>
  <si>
    <t>Rendimiento 
(qqm/ha)</t>
  </si>
  <si>
    <t>2010/11</t>
  </si>
  <si>
    <t xml:space="preserve">Fuente: elaborado por Odepa con información del Instituto Nacional de Estadísticas (INE). </t>
  </si>
  <si>
    <t xml:space="preserve">Fuente: elaborado por Odepa con información del Instituto Nacional de Estadísticas (INE). 
</t>
  </si>
  <si>
    <t>Chile. Superficie regional de maíz (Coquimbo a Los Lagos)
Incluye semilleros de maíz</t>
  </si>
  <si>
    <t>2019/2020</t>
  </si>
  <si>
    <t>2020/2021</t>
  </si>
  <si>
    <t>2021/2022</t>
  </si>
  <si>
    <t>Chile. Superficie, producción y rendimiento regional de maíz (Coquimbo a La Araucanía)
Sin semilleros de maíz</t>
  </si>
  <si>
    <t>Rendimiento (quintales/hectárea)</t>
  </si>
  <si>
    <t>Rendimiento quintales / hectárea</t>
  </si>
  <si>
    <t>Item</t>
  </si>
  <si>
    <t>Monto $/ha</t>
  </si>
  <si>
    <t>Mano de obra</t>
  </si>
  <si>
    <t>Maquinaria</t>
  </si>
  <si>
    <t>Insumos</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</si>
  <si>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</si>
  <si>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</si>
  <si>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</si>
  <si>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</si>
  <si>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</si>
  <si>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</si>
  <si>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 xml:space="preserve">(3) Incluye imprevistos, costo financiero, costo de oportunidad de la tierra (arriendo), administración, impuestos y contribuciones. </t>
  </si>
  <si>
    <t>(5) Representa el precio de venta mínimo para cubrir los costos totales de producción.</t>
  </si>
  <si>
    <t>Toneladas</t>
  </si>
  <si>
    <t>Variación  anual (%)</t>
  </si>
  <si>
    <t>Importación</t>
  </si>
  <si>
    <t>Fuente: elaborado por Odepa con información estimada del INE y Servicio Nacional de Aduanas.</t>
  </si>
  <si>
    <t>Chile. Volumen de importaciones de maíz grano</t>
  </si>
  <si>
    <t xml:space="preserve">Año </t>
  </si>
  <si>
    <t>Fuente: elaborado por Odepa con información del Servicio Nacional de Aduanas.</t>
  </si>
  <si>
    <t>Chile. Volumen de importaciones de maíz grano por principales países de origen</t>
  </si>
  <si>
    <t>Meses</t>
  </si>
  <si>
    <t>Paraguay</t>
  </si>
  <si>
    <t>Estados Unidos</t>
  </si>
  <si>
    <t>Participación año</t>
  </si>
  <si>
    <t xml:space="preserve">Fuente: elaborado por Odepa con información del Servicio Nacional de Aduanas.   </t>
  </si>
  <si>
    <t xml:space="preserve">        Septiembre 2015</t>
  </si>
  <si>
    <t>Chile. Volumen de Importaciones de maíz grano y productos sustitutos</t>
  </si>
  <si>
    <t>Código aduanas</t>
  </si>
  <si>
    <t>10059000 10059020 10059090</t>
  </si>
  <si>
    <t>10070090 10079010 10079090</t>
  </si>
  <si>
    <t>23099060 23099080</t>
  </si>
  <si>
    <t>Maíz grano</t>
  </si>
  <si>
    <t>Maíz partido</t>
  </si>
  <si>
    <t>Sorgo</t>
  </si>
  <si>
    <t>Preparaciones que contienen maíz</t>
  </si>
  <si>
    <t>2017</t>
  </si>
  <si>
    <t>2018</t>
  </si>
  <si>
    <t xml:space="preserve">2019 </t>
  </si>
  <si>
    <t>2020</t>
  </si>
  <si>
    <t>2021</t>
  </si>
  <si>
    <t>2022</t>
  </si>
  <si>
    <t>Chile. Costo promedio ponderado de las importaciones de maíz grano y productos sustitutos</t>
  </si>
  <si>
    <t xml:space="preserve">(USD CIF/ tonelada)   </t>
  </si>
  <si>
    <t>2019</t>
  </si>
  <si>
    <t xml:space="preserve">Fuente: elaborado por Odepa con información del Servicio Nacional de Aduanas. </t>
  </si>
  <si>
    <t>Chile.  Precios nominales promedio nacionales informados por la industria</t>
  </si>
  <si>
    <t>$/qqm</t>
  </si>
  <si>
    <t>Los precios pueden tener distintas condiciones de pago. 
Para más detalle ver en www.cotrisa.cl
Las celdas en blanco significa que no se publicaron precios en ese mes.
Fuente: elaborado por Odepa con información de Cotrisa.</t>
  </si>
  <si>
    <t xml:space="preserve">
Fuente: elaborado por Odepa con información de Cotrisa.
</t>
  </si>
  <si>
    <t>Chile: Precios nominales promedio informados por la industria, por regiones</t>
  </si>
  <si>
    <t xml:space="preserve">$/kilo </t>
  </si>
  <si>
    <t>Melipilla</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</si>
  <si>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</si>
  <si>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 xml:space="preserve">Región de Ñuble </t>
  </si>
  <si>
    <t>2023</t>
  </si>
  <si>
    <t/>
  </si>
  <si>
    <t>Los precios pueden tener distintas condiciones de pago. 
Para más detalle ver en www.cotrisa.cl.  
Las celdas en blanco significa que no se publicaron precios en ese mes.
Fuente: elaborado por Odepa con antecedentes de Cotrisa.</t>
  </si>
  <si>
    <t>(precios nominales expresados en $/ton )</t>
  </si>
  <si>
    <t>Maíz amarillo, FOB puerto argentino</t>
  </si>
  <si>
    <t>Maíz yellow N°2, FOB Golfo, EE.UU.</t>
  </si>
  <si>
    <t>Precio maíz nacional</t>
  </si>
  <si>
    <t>Costo de importación desde Argentina (Odepa)</t>
  </si>
  <si>
    <t>Costo de importación desde EE.UU. (Odepa)</t>
  </si>
  <si>
    <r>
      <t xml:space="preserve">Fuente: elaborado por Odepa con antecedentes de Cotrisa, bolsas y Reuters. 
</t>
    </r>
    <r>
      <rPr>
        <b/>
        <sz val="9"/>
        <rFont val="Arial"/>
        <family val="2"/>
      </rPr>
      <t xml:space="preserve">*Maíz amarillo, FOB puerto argentino y Maíz yellow N°2, FOB Golfo, EE.UU. </t>
    </r>
  </si>
  <si>
    <t>CEREALES: ARROZ</t>
  </si>
  <si>
    <t>TABLA DE CONTENIDO ARROZ</t>
  </si>
  <si>
    <t xml:space="preserve">  Nº 1</t>
  </si>
  <si>
    <t>Proyecciones del balance mundial de oferta y demanda de arroz</t>
  </si>
  <si>
    <t xml:space="preserve">  Nº 2</t>
  </si>
  <si>
    <t>Balance mundial de oferta y demanda de arroz</t>
  </si>
  <si>
    <t xml:space="preserve">  Nº 3</t>
  </si>
  <si>
    <t>Balance de los principales países exportadores</t>
  </si>
  <si>
    <t xml:space="preserve">  Nº 4</t>
  </si>
  <si>
    <t xml:space="preserve">Chile. Superficie, producción y rendimiento nacional de arroz </t>
  </si>
  <si>
    <t xml:space="preserve">  Nº 5</t>
  </si>
  <si>
    <t>Chile. Superficie, producción y rendimiento regional de arroz. Incluye semilleros de arroz</t>
  </si>
  <si>
    <t xml:space="preserve">  Nº 6</t>
  </si>
  <si>
    <t>Chile. Arroz - Costos por hectárea según rendimiento esperado ($/ha)</t>
  </si>
  <si>
    <t xml:space="preserve">  Nº 7</t>
  </si>
  <si>
    <t>Chile. Producción, importación y disponibilidad aparente de arroz elaborado</t>
  </si>
  <si>
    <t xml:space="preserve">  Nº 8</t>
  </si>
  <si>
    <t>Chile. Evolución mensual de las importaciones de arroz elaborado(toneladas)</t>
  </si>
  <si>
    <t xml:space="preserve">  Nº 9</t>
  </si>
  <si>
    <t>Chile. Importaciones de arroz por principales países de origen (toneladas)</t>
  </si>
  <si>
    <t xml:space="preserve">  Nº 10</t>
  </si>
  <si>
    <t>Chile. Importaciones de arroz por tipo (volumen)</t>
  </si>
  <si>
    <t xml:space="preserve">  Nº 11</t>
  </si>
  <si>
    <t>Chile. Importaciones de arroz por tipo (costo)</t>
  </si>
  <si>
    <t xml:space="preserve">  Nº 12</t>
  </si>
  <si>
    <t xml:space="preserve">  Nº 13</t>
  </si>
  <si>
    <t xml:space="preserve">  Nº 14</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</si>
  <si>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</si>
  <si>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</si>
  <si>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</si>
  <si>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</si>
  <si>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Producción, importación y disponibilidad aparente de arroz elaborado
</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</si>
  <si>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</si>
  <si>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</si>
  <si>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</si>
  <si>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</si>
  <si>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</si>
  <si>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</si>
  <si>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</si>
  <si>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</si>
  <si>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Evolución de los índices de precios a consumidor del arroz grado 2 en supermercados en la Región Metropolitana vs. CAI producto elaborado y CIF arroz grano partido &gt; al 5% pero &lt; =al 15% en peso</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</si>
  <si>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</si>
  <si>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</si>
  <si>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</si>
  <si>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</si>
  <si>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</si>
  <si>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</si>
  <si>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</si>
  <si>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</si>
  <si>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</si>
  <si>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</si>
  <si>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</si>
  <si>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</si>
  <si>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</si>
  <si>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</si>
  <si>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</si>
  <si>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</si>
  <si>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</si>
  <si>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</si>
  <si>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</si>
  <si>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</si>
  <si>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</si>
  <si>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</si>
  <si>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</si>
  <si>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</si>
  <si>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</si>
  <si>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</si>
  <si>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</si>
  <si>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</si>
  <si>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</si>
  <si>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</si>
  <si>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</si>
  <si>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</si>
  <si>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</si>
  <si>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</si>
  <si>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</si>
  <si>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Arroz: Balance de los principales países exportadores</t>
  </si>
  <si>
    <t>Birmania (Myanmar)</t>
  </si>
  <si>
    <t>Pakistán</t>
  </si>
  <si>
    <t>Tailandia</t>
  </si>
  <si>
    <t>Uruguay</t>
  </si>
  <si>
    <t>Vietnam</t>
  </si>
  <si>
    <r>
      <t xml:space="preserve">Fuente: elaborado por Odepa con información de </t>
    </r>
    <r>
      <rPr>
        <i/>
        <sz val="9"/>
        <rFont val="Arial"/>
        <family val="2"/>
      </rPr>
      <t>Wasde, USDA.</t>
    </r>
  </si>
  <si>
    <t>Chile. Superficie, producción y rendimiento nacional de arroz</t>
  </si>
  <si>
    <t>Superficie (miles de hectáreas)</t>
  </si>
  <si>
    <t>Producción (miles de toneladas)</t>
  </si>
  <si>
    <t>Rendimiento (qqm/ha)</t>
  </si>
  <si>
    <t>2008/09</t>
  </si>
  <si>
    <t>2009/10</t>
  </si>
  <si>
    <t>2017/2018</t>
  </si>
  <si>
    <t>2018/2019</t>
  </si>
  <si>
    <t xml:space="preserve"> Fuente: elaborado por Odepa con información del INE.  </t>
  </si>
  <si>
    <t>Arroz. Costos* de producción por hectárea según rendimiento esperado ($/ha)</t>
  </si>
  <si>
    <t>Región:</t>
  </si>
  <si>
    <t xml:space="preserve">Variedad: </t>
  </si>
  <si>
    <t>Diamante INIA, Zafiro - INIA</t>
  </si>
  <si>
    <t xml:space="preserve">Tecnología: </t>
  </si>
  <si>
    <t>Media</t>
  </si>
  <si>
    <t>Alta</t>
  </si>
  <si>
    <t xml:space="preserve">Tecnología de riego: </t>
  </si>
  <si>
    <t>Tradicional (pre germinado)</t>
  </si>
  <si>
    <t>Siembra en seco</t>
  </si>
  <si>
    <t>Ítem</t>
  </si>
  <si>
    <t>Costos directos</t>
  </si>
  <si>
    <t>imprevistos (5%)</t>
  </si>
  <si>
    <t>Costos indirectos (tasa interés 1,5%)</t>
  </si>
  <si>
    <t>Para mayores detalles y análisis de sensibilidad: https://www.odepa.gob.cl/fichas-de-costo/ficha-de-costo-del-arroz-region-del-maule</t>
  </si>
  <si>
    <t>Importación total (elaborado)</t>
  </si>
  <si>
    <t>Exportación total</t>
  </si>
  <si>
    <t>Variación anual 
%</t>
  </si>
  <si>
    <t>Imp+Nac-Exp</t>
  </si>
  <si>
    <t xml:space="preserve">Fuente: elaborado por Odepa con información estimada del INE y Servicio Nacional de Aduanas. 
</t>
  </si>
  <si>
    <t>Chile. Evolución mensual de las importaciones de arroz elaborado (toneladas)</t>
  </si>
  <si>
    <t>Chile. Importaciones de arroz por tipo</t>
  </si>
  <si>
    <t>Volumen (toneladas)</t>
  </si>
  <si>
    <t>10061000
10061090</t>
  </si>
  <si>
    <t>10062000</t>
  </si>
  <si>
    <t>10063010</t>
  </si>
  <si>
    <t>10063020</t>
  </si>
  <si>
    <t>10063090</t>
  </si>
  <si>
    <t>10063010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</si>
  <si>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</si>
  <si>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</si>
  <si>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</si>
  <si>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</si>
  <si>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</si>
  <si>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</si>
  <si>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</si>
  <si>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</si>
  <si>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t>
  </si>
  <si>
    <t>Costo promedio ponderado de las importaciones efectuadas</t>
  </si>
  <si>
    <t xml:space="preserve">(USD / tonelada CIF)   </t>
  </si>
  <si>
    <t>Arroz semi o blanqueado, grano partido &gt; que 5% pero &lt; que 15% en peso</t>
  </si>
  <si>
    <r>
      <t xml:space="preserve">$ nominales/tonelada de arroz </t>
    </r>
    <r>
      <rPr>
        <b/>
        <i/>
        <sz val="10"/>
        <rFont val="Arial"/>
        <family val="2"/>
      </rPr>
      <t>paddy</t>
    </r>
  </si>
  <si>
    <t>Chile. Precios promedio de arroz paddy informados por la industria región del Maule</t>
  </si>
  <si>
    <t>$ nominales/kilo</t>
  </si>
  <si>
    <t>VII Región del Maule</t>
  </si>
  <si>
    <t xml:space="preserve">Evolución de los precios en los mercados de Tailandia y Chile </t>
  </si>
  <si>
    <t>(precios mensuales expresados en USD/ton)</t>
  </si>
  <si>
    <t>Arroz elaborado 5% grano partido, FOB Bangkok, Tailandia</t>
  </si>
  <si>
    <t>Arroz elaborado 10% grano partido, FOB Bangkok, Tailandia</t>
  </si>
  <si>
    <t>Arroz elaborado 15 % grano partido, FOB Bangkok, Tailandia</t>
  </si>
  <si>
    <r>
      <t xml:space="preserve">Precio promedio nacional </t>
    </r>
    <r>
      <rPr>
        <b/>
        <i/>
        <sz val="9"/>
        <rFont val="Arial"/>
        <family val="2"/>
      </rPr>
      <t>paddy</t>
    </r>
  </si>
  <si>
    <t xml:space="preserve">Costo de importación CIF*  </t>
  </si>
  <si>
    <t xml:space="preserve">Costo de importación CIF* (convertido a paddy)  </t>
  </si>
  <si>
    <t>Costo de importación CAI (Odepa)</t>
  </si>
  <si>
    <t>* Importaciones totales de arroz según Aduanas durante el mes en curso
**Costo alternativo de importación de arroz elaborado transformado a arroz paddy (48%). 
Las celdas en blanco significa que no se publicaron precios en ese mes.
Fuente: elaborado por Odepa con antecedentes de Cotrisa, bolsas y Reuters.</t>
  </si>
  <si>
    <t xml:space="preserve">
          Fuente: elaborado por Odepa con antecedentes de Cotrisa, bolsas y Reuters.
</t>
  </si>
  <si>
    <t>Fecha</t>
  </si>
  <si>
    <t>(Precios mensuales nominales con IVA en $ / kilo)</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</si>
  <si>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</si>
  <si>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</si>
  <si>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</si>
  <si>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</si>
  <si>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</si>
  <si>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</si>
  <si>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</si>
  <si>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r>
      <rPr>
        <sz val="9"/>
        <rFont val="Arial"/>
        <family val="2"/>
      </rPr>
      <t>Fuente:</t>
    </r>
    <r>
      <rPr>
        <i/>
        <sz val="9"/>
        <rFont val="Arial"/>
        <family val="2"/>
      </rPr>
      <t xml:space="preserve"> </t>
    </r>
    <r>
      <rPr>
        <sz val="9"/>
        <rFont val="Arial"/>
        <family val="2"/>
      </rPr>
      <t>elaborado por Odepa.</t>
    </r>
  </si>
  <si>
    <t>Costo importación real (USD/ton)</t>
  </si>
  <si>
    <t>Valos dólar ($/USD)</t>
  </si>
  <si>
    <t>Costo importación real ($/ton)</t>
  </si>
  <si>
    <t>Costo de importación CAI (Odepa) $/qq</t>
  </si>
  <si>
    <t>Precio promedio arroz grano ancho ($/kg)</t>
  </si>
  <si>
    <t>Precio promedio arroz grano delgado ($/kg)</t>
  </si>
  <si>
    <t xml:space="preserve"> Indice  Costo importación CIF</t>
  </si>
  <si>
    <t>Indice Costo de importación CAI (Odepa)</t>
  </si>
  <si>
    <t>Indice Precio promedio arroz grano ancho grado 2</t>
  </si>
  <si>
    <t>Indice Precio promedio arroz grano delgado grano 2</t>
  </si>
  <si>
    <t>Producción (rdto. ind. 50 - 56%)</t>
  </si>
  <si>
    <t>2022/23</t>
  </si>
  <si>
    <t>2022/2023</t>
  </si>
  <si>
    <t>Años agrícolas 2008/09 a 2022/23</t>
  </si>
  <si>
    <t>Variación mensual y a 12 meses índices precios a productor (IPP) de harina de trigo</t>
  </si>
  <si>
    <r>
      <t>Chile. Trigo panadero - Costos por hectárea al establecimiento cultivo 2023 y según rendimiento esperado ($/ha)</t>
    </r>
    <r>
      <rPr>
        <b/>
        <vertAlign val="superscript"/>
        <sz val="10"/>
        <rFont val="Arial"/>
        <family val="2"/>
      </rPr>
      <t xml:space="preserve"> .</t>
    </r>
  </si>
  <si>
    <t>Araucanía temporada 2023/24</t>
  </si>
  <si>
    <t>Análisis de sensibilidad Trigo invierno secano (75 qqm/ha) Margen neto ($/ha)</t>
  </si>
  <si>
    <t>Fuente: elaboración propia sobre la base de estructuras de costos Odepa</t>
  </si>
  <si>
    <t>(1) Los costos de mano de obra; maquinaria e insumos corresponden aproximadamente a los nominales observados entorno a la siembra 2023</t>
  </si>
  <si>
    <t xml:space="preserve">(3) El precio del trigo utilizado en el análisis de sensibilidad corresponde al precio promedio regional semana del 22 a 28 enero 2024 (precios informados por Cotrisa). </t>
  </si>
  <si>
    <t>Período 2012 - 2023</t>
  </si>
  <si>
    <r>
      <t>Chile. Maíz - Temporada 2023/2024 - Costos por hectárea al establecimiento del cultivo en 2023 y según rendimiento esperado ($/ha)</t>
    </r>
    <r>
      <rPr>
        <b/>
        <vertAlign val="superscript"/>
        <sz val="10"/>
        <rFont val="Arial"/>
        <family val="2"/>
      </rPr>
      <t xml:space="preserve"> 1</t>
    </r>
  </si>
  <si>
    <t>(1) Los costos son estimados a mayo 2023</t>
  </si>
  <si>
    <t>(2) El precio a productor utilizado en el análisis de sensibilidad corresponde al precio promedio de la Región de O´Higgins cosecha 2023</t>
  </si>
  <si>
    <t>(4)  El cuadro de sensibilidad considera una tecnología media con precios cosecha 2023</t>
  </si>
  <si>
    <t xml:space="preserve">Fuente: elaboración propia sobre la base de estructuras de costos </t>
  </si>
  <si>
    <t>Tecnología media - región de O´Higgins</t>
  </si>
  <si>
    <t>Período 2010 - 2023</t>
  </si>
  <si>
    <r>
      <t xml:space="preserve">Fuente: elaborado por Odepa. 
</t>
    </r>
    <r>
      <rPr>
        <b/>
        <sz val="10"/>
        <rFont val="Arial"/>
        <family val="2"/>
      </rPr>
      <t>* Los costos son lo más cercano al momento del establecimiento del cultivo en 2023</t>
    </r>
  </si>
  <si>
    <t xml:space="preserve"> Temporada: 2023 - 2024</t>
  </si>
  <si>
    <t>Período 2011 - 2023</t>
  </si>
  <si>
    <t>Var. % 2024/2023</t>
  </si>
  <si>
    <t>2021 - 2024</t>
  </si>
  <si>
    <t>Período 2019 - 2024</t>
  </si>
  <si>
    <t>2021-2024</t>
  </si>
  <si>
    <t>Período 2021 - 2024</t>
  </si>
  <si>
    <t>Período 2018-2024</t>
  </si>
  <si>
    <t>2024*</t>
  </si>
  <si>
    <t>Período 2017 - 2024</t>
  </si>
  <si>
    <t>Período 2018 - 2024</t>
  </si>
  <si>
    <t>2024</t>
  </si>
  <si>
    <t>Var. %     2024 / 2023</t>
  </si>
  <si>
    <t>Período 2015 - 2024</t>
  </si>
  <si>
    <t>2024/P</t>
  </si>
  <si>
    <t>Período 2015-2024</t>
  </si>
  <si>
    <t>Período 2020 - 2024</t>
  </si>
  <si>
    <t>0**</t>
  </si>
  <si>
    <t>**: Durante febrero de 2024, no hubo producción en esta línea de producto, ya que se realizaron mantenciones programadas.</t>
  </si>
  <si>
    <t>57A</t>
  </si>
  <si>
    <t>57B</t>
  </si>
  <si>
    <t>Cuadro N° 16</t>
  </si>
  <si>
    <t xml:space="preserve">  Nº 15</t>
  </si>
  <si>
    <t xml:space="preserve">  N° 16</t>
  </si>
  <si>
    <t>Evolución de los precios en los mercados de Tailandia, Vietnam y Chile (USD/ton)</t>
  </si>
  <si>
    <t>(precios mensuales expresados en $/quintal)</t>
  </si>
  <si>
    <t>Evolución de los precios en los mercados de Tailandia, Vietnam y Chile ($/quintal)</t>
  </si>
  <si>
    <t xml:space="preserve">  Nº 10.1</t>
  </si>
  <si>
    <t xml:space="preserve">  Nº 10.2</t>
  </si>
  <si>
    <t>Tipo de cambio</t>
  </si>
  <si>
    <t>Proyección mensual del balance mundial de oferta y demanda de trigo temporada 2024/25</t>
  </si>
  <si>
    <t>2024/25 proyectado</t>
  </si>
  <si>
    <t>2023/24 estimado</t>
  </si>
  <si>
    <t xml:space="preserve">2022/23 </t>
  </si>
  <si>
    <t>2023/2024 Estimado</t>
  </si>
  <si>
    <t>2024/2025 Proyectado</t>
  </si>
  <si>
    <t>Proyecciones del balance mundial de oferta y demanda de maíz temporada 2024/25 en cada mes</t>
  </si>
  <si>
    <t>2023/2024 (estimado)</t>
  </si>
  <si>
    <t>2024/2025 (proyectado)</t>
  </si>
  <si>
    <t>Proyecciones del balance mundial de oferta y demanda de arroz temporada 2024/25 en cada mes</t>
  </si>
  <si>
    <t xml:space="preserve">Las celdas en blanco significan que no se publicaron precios en ese mes. 
Fuente: elaborado por Odepa con información de Cotrisa. 
</t>
  </si>
  <si>
    <t>*Los precios pueden tener distintas condiciones de pago. Para más detalle ver en www.cotrisa.cl. 
Las celdas en blanco significa que no se publicaron precios en ese mes. 
No hay información de precios de otras regiones.
Fuente: elaborado por Odepa con información de Cotrisa.</t>
  </si>
  <si>
    <t>Indice Costo alternativo de importación CAI (Odepa)</t>
  </si>
  <si>
    <t>Indice  Costo importación CIF (Aduanas)</t>
  </si>
  <si>
    <t>Indice Precio promedio arroz grano ancho grado 2 en RM</t>
  </si>
  <si>
    <t>Indice Precio promedio arroz grano delgado grano 2 en RM</t>
  </si>
  <si>
    <r>
      <rPr>
        <b/>
        <sz val="10"/>
        <rFont val="Arial"/>
        <family val="2"/>
      </rPr>
      <t>*Incluye trigo panadero y candeal. Se excluye trigo destinado a uso forrajero.</t>
    </r>
    <r>
      <rPr>
        <sz val="9"/>
        <rFont val="Arial"/>
        <family val="2"/>
      </rPr>
      <t xml:space="preserve">
A mayo 2024 se han importado 10.947 toneladas de trigo por empresas con giro pecuario.
Fuente: elaborado por Odepa con información del Servicio Nacional de Aduanas.                                </t>
    </r>
  </si>
  <si>
    <t>2023/24</t>
  </si>
  <si>
    <t>Años agrícolas 2011/12 a 2022/24</t>
  </si>
  <si>
    <t>Años agrícolas 2021/22 - 2023/24</t>
  </si>
  <si>
    <t>Años agrícolas 2010/11 a 2023/24</t>
  </si>
  <si>
    <t>2023/2024</t>
  </si>
  <si>
    <t>Años agrícolas 2021/22 a 2023/24</t>
  </si>
  <si>
    <t>Años agrícolas 2021/22 a 2023/2024</t>
  </si>
  <si>
    <t>Años agrícolas 2017/18 a 2023/24</t>
  </si>
  <si>
    <t>Julio 2024 Trigo</t>
  </si>
  <si>
    <t xml:space="preserve">La variación del IPP de trigo (agricultura y ganadería) a julio 2024 (año base 2019)
</t>
  </si>
  <si>
    <t>Julio 2024 Harina de Trigo</t>
  </si>
  <si>
    <t>La variación del IPP de la harina de trigo (industria manufacturera) a julio 2024 (año base 2019)</t>
  </si>
  <si>
    <t>Julio 2024 Pan</t>
  </si>
  <si>
    <t>La variación del IPC del pan a julio 2024 (nueva base = 2023)
Variación acumulada (enero-julio 2024) 3,1%</t>
  </si>
  <si>
    <t>Agosto 2024</t>
  </si>
  <si>
    <t>Avance información general al 31 de julio 2024
Avance información precios futuros al 26 de agosto 2024
Avance información balanza mundial al 12 de agosto 2024</t>
  </si>
  <si>
    <t>Agosto 2024 (millones de toneladas)</t>
  </si>
  <si>
    <r>
      <t xml:space="preserve">Fuente: elaborado por Odepa con información de Cotrisa al 31 de julio 2024.
</t>
    </r>
    <r>
      <rPr>
        <b/>
        <sz val="9"/>
        <rFont val="Arial"/>
        <family val="2"/>
      </rPr>
      <t xml:space="preserve">* poderes de compra sin movimiento.
</t>
    </r>
    <r>
      <rPr>
        <sz val="9"/>
        <rFont val="Arial"/>
        <family val="2"/>
      </rPr>
      <t>Para más detalle ver en www.cotrisa.cl</t>
    </r>
  </si>
  <si>
    <t xml:space="preserve">*Los precios pueden tener distintas condiciones de pago.
** poderes de compra sin movimiento.
Para más detalle ver en www.cotrisa.cl    
Fuente: elaborado por Odepa con información de Cotrisa al 31 de julio 2024 
</t>
  </si>
  <si>
    <t>Chile. Stock trigo sucio blanco (toneladas)</t>
  </si>
  <si>
    <t>Chile. Volumen trigo blanco nacional comprado regional (toneladas)</t>
  </si>
  <si>
    <t>Chile. Volumen trigo blanco importado comprado regional (toneladas)</t>
  </si>
  <si>
    <t>Chile. Volumen trigo blanco comprado a terceros regional - nacional e importado (toneladas)</t>
  </si>
  <si>
    <r>
      <t xml:space="preserve">Fuente: elaborado por Odepa con información del Servicio Nacional de Aduanas.
</t>
    </r>
    <r>
      <rPr>
        <b/>
        <sz val="9"/>
        <rFont val="Arial"/>
        <family val="2"/>
      </rPr>
      <t>* en el periodo enero - julio 2024</t>
    </r>
  </si>
  <si>
    <r>
      <t xml:space="preserve">Fuente: elaborado por Odepa con información del Servicio Nacional de Aduanas. 
</t>
    </r>
    <r>
      <rPr>
        <b/>
        <sz val="9"/>
        <rFont val="Arial"/>
        <family val="2"/>
      </rPr>
      <t>*Corresponde al promedio del periodo enero - julio 2024</t>
    </r>
  </si>
  <si>
    <t xml:space="preserve">* Cifras acumuladas en el periodo enero - julio 2024
Fuente: elaborado por Odepa con información del Servicio Nacional de Aduanas.
</t>
  </si>
  <si>
    <t>* promedio en el periodo enero - julio 2024
Fuente: elaborado por Odepa con información del Servicio Nacional de Aduanas.</t>
  </si>
  <si>
    <r>
      <t xml:space="preserve">Basado en proyecciones realizadas por el Departamento de Agricultura de Estados Unidos (USDA), a través del informe World Agricultural Supply and Demand Estimates (WASDE) y antecedentes del Servicio Nacional de Aduanas.
</t>
    </r>
    <r>
      <rPr>
        <b/>
        <sz val="9.5"/>
        <rFont val="Arial"/>
        <family val="2"/>
      </rPr>
      <t>Trigo:</t>
    </r>
    <r>
      <rPr>
        <sz val="9.5"/>
        <rFont val="Arial"/>
        <family val="2"/>
      </rPr>
      <t xml:space="preserve">
Para la temporada 2024/25 se proyectan niveles de producción mundial históricos, estimandose un crecimiento de 0,8% respecto a la temporada precedente. Esto explicado por el aumento de la producción en gran parte de las zonas geográficas relevantes, reportandose potenciales caídas de producción en Rusia y Ucrania.
Por su parte, para la demanda mundial de grano se espera un incremento de 0,7%. El comercio mundial (exportaciones) disminuirían 2,7% en volumen.
Con relación a los mercados de importación relevantes para Chile: Argentina incrementaría su producción en 13,6% al igual que sus exportaciones en 40,2%. Canadá aumentaría la producción 9,5% sin variación en las exportaciones respecto a la temporada precedente y finalmente EE. UU incrementaría su producción en 9,4% al igual que las exportaciones en 16,7%.
</t>
    </r>
    <r>
      <rPr>
        <b/>
        <sz val="9.5"/>
        <rFont val="Arial"/>
        <family val="2"/>
      </rPr>
      <t>Maíz:</t>
    </r>
    <r>
      <rPr>
        <sz val="9.5"/>
        <rFont val="Arial"/>
        <family val="2"/>
      </rPr>
      <t xml:space="preserve">
Para la temporada 2024/25 se estima una caída de 0,3% en la producción mundial de maíz, explicado por una importante disminución de 16% de la producción de Ucrania y 1% en Estados Unidos. Por su parte, las exportaciones disminuyen 5%. La demanda mundial de maíz no presenta variaciones respecto a la temporada anterior.
Respecto a los mercados de importación relevantes para Chile: Argentina y EE. UU. dismiurían su producción en 2% y 1% respectivamente.
Por su parte las exportaciones de Argentina se incrementarían en 3% y EE. UU en 2%.
</t>
    </r>
    <r>
      <rPr>
        <b/>
        <sz val="9.5"/>
        <rFont val="Arial"/>
        <family val="2"/>
      </rPr>
      <t>Arroz:</t>
    </r>
    <r>
      <rPr>
        <sz val="9.5"/>
        <rFont val="Arial"/>
        <family val="2"/>
      </rPr>
      <t xml:space="preserve">
Para la temporada 2024/25 se proyecta una expansión de 1,4% en la producción mundial de arroz, siendo superior al incremento de la demanda mundial de 0,7% para 2024/25. En relación con las exportaciones, que representan en volumen el 10% de la producción mundial, disminuirían en 0,2% 
Con relación a los mercados de importación relevantes para Chile: Argentina y Paraguay  incrementarían su producción en 9,1% y 4,7% respectivamente, Uruguay 16,7% y Pakistan 1,3%.
Respecto a las exportaciones, Argentina, Paraguay y Uruguay aumentaran sus envios al exterior en 14,3%; 6,3% y 17,6% respectivamente. Por su parte, Pakistan reduciría sus exportaciones en 7,8%.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</si>
</sst>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0_);_(* \(#,##0\);_(* &quot;-&quot;_);_(@_)"/>
    <numFmt numFmtId="169" formatCode="_(&quot;$&quot;* #,##0.00_);_(&quot;$&quot;* \(#,##0.00\);_(&quot;$&quot;* &quot;-&quot;??_);_(@_)"/>
    <numFmt numFmtId="170" formatCode="_(* #,##0.00_);_(* \(#,##0.00\);_(* &quot;-&quot;??_);_(@_)"/>
    <numFmt numFmtId="171" formatCode="_-&quot;$&quot;\ * #,##0.00_-;\-&quot;$&quot;\ * #,##0.00_-;_-&quot;$&quot;\ * &quot;-&quot;??_-;_-@_-"/>
    <numFmt numFmtId="172" formatCode="mm/yy"/>
    <numFmt numFmtId="173" formatCode="0.0"/>
    <numFmt numFmtId="174" formatCode="0.0_)"/>
    <numFmt numFmtId="175" formatCode="0.0%"/>
    <numFmt numFmtId="176" formatCode="#,##0.0"/>
    <numFmt numFmtId="177" formatCode="_-* #,##0_-;\-* #,##0_-;_-* \-_-;_-@_-"/>
    <numFmt numFmtId="178" formatCode="_-* #,##0.00_-;\-* #,##0.00_-;_-* \-??_-;_-@_-"/>
    <numFmt numFmtId="179" formatCode="_(* #,##0.0_);_(* \(#,##0.0\);_(* &quot;-&quot;_);_(@_)"/>
    <numFmt numFmtId="180" formatCode="_-* #,##0_-;\-* #,##0_-;_-* \-??_-;_-@_-"/>
    <numFmt numFmtId="181" formatCode="dd/mm/yy;@"/>
    <numFmt numFmtId="182" formatCode="_-* #,##0.00\ _p_t_a_-;\-* #,##0.00\ _p_t_a_-;_-* &quot;-&quot;??\ _p_t_a_-;_-@_-"/>
    <numFmt numFmtId="183" formatCode="#,##0.00_ ;\-#,##0.00\ "/>
    <numFmt numFmtId="184" formatCode="#,##0_);\(#,##0\)"/>
    <numFmt numFmtId="185" formatCode="0.000"/>
    <numFmt numFmtId="186" formatCode="_-* #,##0_-;\-* #,##0_-;_-* &quot;-&quot;??_-;_-@_-"/>
    <numFmt numFmtId="187" formatCode="0.00\ "/>
    <numFmt numFmtId="188" formatCode="0.00_)"/>
    <numFmt numFmtId="189" formatCode="_(* #,##0_);_(* \(#,##0\);_(* &quot;-&quot;??_);_(@_)"/>
    <numFmt numFmtId="190" formatCode="d/m/yy;@"/>
    <numFmt numFmtId="191" formatCode="_-* #,##0.0_-;\-* #,##0.0_-;_-* \-??_-;_-@_-"/>
    <numFmt numFmtId="192" formatCode="[$-1010C0A]#,##0;\-#,##0"/>
    <numFmt numFmtId="193" formatCode="_ * #,##0.0_ ;_ * \-#,##0.0_ ;_ * &quot;-&quot;?_ ;_ @_ "/>
    <numFmt numFmtId="194" formatCode="[$-10C0A]#,###,##0"/>
    <numFmt numFmtId="195" formatCode="[$-10C0A]0.0"/>
    <numFmt numFmtId="196" formatCode="##0.0;\-##0.0;0.0;"/>
    <numFmt numFmtId="197" formatCode="#,##0.000"/>
    <numFmt numFmtId="198" formatCode="_ * #,##0.000000_ ;_ * \-#,##0.000000_ ;_ * &quot;-&quot;??????_ ;_ @_ "/>
    <numFmt numFmtId="199" formatCode="0.0000"/>
    <numFmt numFmtId="200" formatCode="#,##0_ ;\-#,##0\ "/>
    <numFmt numFmtId="201" formatCode="[$-C0A]mmm\-yy;@"/>
    <numFmt numFmtId="202" formatCode="mmm/yyyy;@"/>
    <numFmt numFmtId="203" formatCode="[$-10C0A]#,##0;\-#,##0"/>
    <numFmt numFmtId="204" formatCode="#,##0.0;\-#,##0.0"/>
    <numFmt numFmtId="205" formatCode="dd/mm/yyyy;@"/>
    <numFmt numFmtId="206" formatCode="_-* #,##0.0_-;\-* #,##0.0_-;_-* \-_-;_-@_-"/>
    <numFmt numFmtId="207" formatCode="_-* #,##0.00_-;\-* #,##0.00_-;_-* \-_-;_-@_-"/>
    <numFmt numFmtId="208" formatCode="[$-10C0A]#,##0.0;\-#,##0.0"/>
    <numFmt numFmtId="209" formatCode="[$-10C0A]#,##0;\(#,##0\)"/>
    <numFmt numFmtId="210" formatCode="&quot;$&quot;#,##0"/>
  </numFmts>
  <fonts count="240">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b/>
      <i/>
      <sz val="10"/>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2"/>
      <name val="Arial MT"/>
    </font>
    <font>
      <sz val="10"/>
      <name val="Arial"/>
      <family val="2"/>
    </font>
    <font>
      <sz val="10"/>
      <name val="Verdana"/>
      <family val="2"/>
    </font>
    <font>
      <sz val="10"/>
      <name val="Arial"/>
      <family val="2"/>
    </font>
    <font>
      <sz val="11"/>
      <color indexed="8"/>
      <name val="Arial"/>
      <family val="2"/>
    </font>
    <font>
      <u/>
      <sz val="11"/>
      <color indexed="12"/>
      <name val="Arial MT"/>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10"/>
      <color indexed="8"/>
      <name val="Arial"/>
      <family val="2"/>
    </font>
    <font>
      <sz val="10"/>
      <name val="Arial"/>
      <family val="2"/>
    </font>
    <font>
      <b/>
      <sz val="10"/>
      <color indexed="9"/>
      <name val="Arial"/>
      <family val="2"/>
    </font>
    <font>
      <sz val="10"/>
      <name val="Arial"/>
      <family val="2"/>
    </font>
    <font>
      <sz val="9"/>
      <color indexed="9"/>
      <name val="Arial"/>
      <family val="2"/>
    </font>
    <font>
      <sz val="10"/>
      <color indexed="9"/>
      <name val="Arial"/>
      <family val="2"/>
    </font>
    <font>
      <u/>
      <sz val="10"/>
      <color indexed="12"/>
      <name val="Arial MT"/>
      <family val="2"/>
    </font>
    <font>
      <b/>
      <sz val="9"/>
      <color indexed="10"/>
      <name val="Arial"/>
      <family val="2"/>
    </font>
    <font>
      <sz val="14"/>
      <color indexed="8"/>
      <name val="Arial MT"/>
      <family val="2"/>
    </font>
    <font>
      <b/>
      <sz val="10"/>
      <color indexed="8"/>
      <name val="Verdana"/>
      <family val="2"/>
    </font>
    <font>
      <b/>
      <sz val="9"/>
      <color indexed="9"/>
      <name val="Arial"/>
      <family val="2"/>
    </font>
    <font>
      <sz val="14"/>
      <color indexed="10"/>
      <name val="Arial MT"/>
      <family val="2"/>
    </font>
    <font>
      <sz val="8"/>
      <color indexed="8"/>
      <name val="Arial"/>
      <family val="2"/>
    </font>
    <font>
      <sz val="9"/>
      <color indexed="8"/>
      <name val="Arial MT"/>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10"/>
      <color indexed="12"/>
      <name val="Verdana"/>
      <family val="2"/>
    </font>
    <font>
      <b/>
      <sz val="12"/>
      <color indexed="63"/>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name val="Arial"/>
      <family val="2"/>
      <scheme val="minor"/>
    </font>
    <font>
      <sz val="9"/>
      <color theme="0"/>
      <name val="Arial"/>
      <family val="2"/>
    </font>
    <font>
      <b/>
      <sz val="10"/>
      <color theme="1"/>
      <name val="Arial"/>
      <family val="2"/>
      <scheme val="minor"/>
    </font>
    <font>
      <b/>
      <sz val="10"/>
      <color theme="0"/>
      <name val="Arial"/>
      <family val="2"/>
    </font>
    <font>
      <sz val="11"/>
      <color rgb="FF000000"/>
      <name val="Calibri"/>
      <family val="2"/>
    </font>
    <font>
      <sz val="10"/>
      <color rgb="FF000000"/>
      <name val="Arial"/>
      <family val="2"/>
      <scheme val="minor"/>
    </font>
    <font>
      <sz val="10"/>
      <color rgb="FFFF0000"/>
      <name val="Arial"/>
      <family val="2"/>
    </font>
    <font>
      <sz val="10"/>
      <name val="Arial"/>
      <family val="2"/>
    </font>
    <font>
      <b/>
      <sz val="11"/>
      <name val="Arial"/>
      <family val="2"/>
    </font>
    <font>
      <u/>
      <sz val="10"/>
      <color theme="10"/>
      <name val="Arial MT"/>
      <family val="2"/>
    </font>
    <font>
      <b/>
      <sz val="10"/>
      <name val="Arial MT"/>
    </font>
    <font>
      <sz val="10"/>
      <color rgb="FF000000"/>
      <name val="Arial"/>
      <family val="2"/>
    </font>
    <font>
      <sz val="11"/>
      <name val="Calibri"/>
      <family val="2"/>
    </font>
    <font>
      <sz val="14"/>
      <color rgb="FFFF0000"/>
      <name val="Arial MT"/>
      <family val="2"/>
    </font>
    <font>
      <sz val="8"/>
      <color theme="0"/>
      <name val="Verdana"/>
      <family val="2"/>
    </font>
    <font>
      <sz val="10"/>
      <name val="Arial"/>
      <family val="2"/>
      <scheme val="major"/>
    </font>
    <font>
      <sz val="9"/>
      <color rgb="FFFF0000"/>
      <name val="Arial"/>
      <family val="2"/>
    </font>
    <font>
      <u/>
      <sz val="11"/>
      <name val="Arial MT"/>
      <family val="2"/>
    </font>
    <font>
      <sz val="10"/>
      <name val="Arial"/>
      <family val="2"/>
    </font>
    <font>
      <sz val="14"/>
      <color theme="0"/>
      <name val="Arial MT"/>
      <family val="2"/>
    </font>
    <font>
      <sz val="10"/>
      <color theme="0"/>
      <name val="Arial"/>
      <family val="2"/>
      <scheme val="minor"/>
    </font>
    <font>
      <b/>
      <sz val="9"/>
      <color rgb="FF000000"/>
      <name val="Arial MT"/>
      <family val="2"/>
    </font>
    <font>
      <sz val="9"/>
      <name val="Arial"/>
      <family val="2"/>
      <scheme val="major"/>
    </font>
    <font>
      <b/>
      <sz val="10"/>
      <color theme="0"/>
      <name val="Arial"/>
      <family val="2"/>
      <scheme val="minor"/>
    </font>
    <font>
      <sz val="14"/>
      <color theme="0"/>
      <name val="Arial"/>
      <family val="2"/>
      <scheme val="minor"/>
    </font>
    <font>
      <sz val="11"/>
      <color theme="0"/>
      <name val="Arial"/>
      <family val="2"/>
      <scheme val="minor"/>
    </font>
    <font>
      <sz val="9"/>
      <color theme="0"/>
      <name val="Arial"/>
      <family val="2"/>
      <scheme val="minor"/>
    </font>
    <font>
      <b/>
      <sz val="11"/>
      <color theme="1"/>
      <name val="Arial"/>
      <family val="2"/>
      <scheme val="minor"/>
    </font>
    <font>
      <u/>
      <sz val="11"/>
      <color theme="10"/>
      <name val="Arial"/>
      <family val="2"/>
      <scheme val="minor"/>
    </font>
    <font>
      <sz val="11"/>
      <color rgb="FFFF0000"/>
      <name val="Arial"/>
      <family val="2"/>
      <scheme val="minor"/>
    </font>
    <font>
      <sz val="11"/>
      <color indexed="8"/>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rgb="FF9C6500"/>
      <name val="Arial"/>
      <family val="2"/>
      <scheme val="minor"/>
    </font>
    <font>
      <b/>
      <sz val="18"/>
      <color theme="3"/>
      <name val="Arial"/>
      <family val="2"/>
      <scheme val="major"/>
    </font>
    <font>
      <sz val="10"/>
      <name val="Arial"/>
      <family val="2"/>
    </font>
    <font>
      <b/>
      <sz val="10"/>
      <color rgb="FFFF0000"/>
      <name val="Arial"/>
      <family val="2"/>
    </font>
    <font>
      <b/>
      <vertAlign val="superscript"/>
      <sz val="12"/>
      <color rgb="FFFF0000"/>
      <name val="Arial"/>
      <family val="2"/>
    </font>
    <font>
      <sz val="9"/>
      <color theme="1"/>
      <name val="Arial"/>
      <family val="2"/>
    </font>
    <font>
      <b/>
      <sz val="25"/>
      <name val="Arial"/>
      <family val="2"/>
    </font>
    <font>
      <b/>
      <sz val="18"/>
      <color indexed="8"/>
      <name val="Arial"/>
      <family val="2"/>
    </font>
    <font>
      <b/>
      <sz val="12"/>
      <color indexed="8"/>
      <name val="Arial"/>
      <family val="2"/>
    </font>
    <font>
      <sz val="12"/>
      <name val="Arial MT"/>
      <family val="2"/>
    </font>
    <font>
      <b/>
      <sz val="15"/>
      <color indexed="8"/>
      <name val="Arial"/>
      <family val="2"/>
    </font>
    <font>
      <sz val="13"/>
      <name val="Arial"/>
      <family val="2"/>
    </font>
    <font>
      <sz val="13"/>
      <color indexed="8"/>
      <name val="Arial"/>
      <family val="2"/>
    </font>
    <font>
      <sz val="13"/>
      <color theme="1"/>
      <name val="Arial"/>
      <family val="2"/>
    </font>
    <font>
      <b/>
      <sz val="10"/>
      <color rgb="FFFF3300"/>
      <name val="Arial"/>
      <family val="2"/>
    </font>
    <font>
      <sz val="10"/>
      <color rgb="FFFF3300"/>
      <name val="Arial"/>
      <family val="2"/>
    </font>
    <font>
      <sz val="9"/>
      <color rgb="FFFF3300"/>
      <name val="Arial"/>
      <family val="2"/>
    </font>
    <font>
      <sz val="8"/>
      <color rgb="FFFF3300"/>
      <name val="Arial"/>
      <family val="2"/>
    </font>
    <font>
      <b/>
      <sz val="10"/>
      <color theme="1"/>
      <name val="Arial"/>
      <family val="2"/>
    </font>
    <font>
      <sz val="11"/>
      <color theme="0"/>
      <name val="Arial MT"/>
      <family val="2"/>
    </font>
    <font>
      <sz val="10"/>
      <color rgb="FFFF0000"/>
      <name val="Arial MT"/>
      <family val="2"/>
    </font>
    <font>
      <sz val="10"/>
      <color theme="0"/>
      <name val="Arial MT"/>
      <family val="2"/>
    </font>
    <font>
      <sz val="8"/>
      <color rgb="FFFF0000"/>
      <name val="Arial"/>
      <family val="2"/>
    </font>
    <font>
      <b/>
      <sz val="9"/>
      <color rgb="FFFF0000"/>
      <name val="Arial"/>
      <family val="2"/>
    </font>
    <font>
      <b/>
      <sz val="10"/>
      <name val="Arial"/>
      <family val="2"/>
      <scheme val="minor"/>
    </font>
    <font>
      <b/>
      <sz val="10"/>
      <color rgb="FF000000"/>
      <name val="Arial"/>
      <family val="2"/>
      <scheme val="minor"/>
    </font>
    <font>
      <sz val="14"/>
      <color theme="1"/>
      <name val="Arial MT"/>
      <family val="2"/>
    </font>
    <font>
      <b/>
      <sz val="9.5"/>
      <color indexed="8"/>
      <name val="Arial"/>
      <family val="2"/>
    </font>
    <font>
      <sz val="9.5"/>
      <color indexed="8"/>
      <name val="Arial"/>
      <family val="2"/>
    </font>
    <font>
      <sz val="9.5"/>
      <name val="Arial"/>
      <family val="2"/>
    </font>
    <font>
      <b/>
      <sz val="14"/>
      <color indexed="8"/>
      <name val="Arial"/>
      <family val="2"/>
    </font>
    <font>
      <sz val="28"/>
      <color rgb="FFFF0000"/>
      <name val="Arial"/>
      <family val="2"/>
    </font>
    <font>
      <b/>
      <sz val="9"/>
      <color indexed="8"/>
      <name val="Arial"/>
      <family val="2"/>
    </font>
    <font>
      <sz val="10"/>
      <name val="Arial "/>
    </font>
    <font>
      <sz val="11"/>
      <color rgb="FFFF3300"/>
      <name val="Arial MT"/>
      <family val="2"/>
    </font>
    <font>
      <sz val="11"/>
      <color rgb="FFFF0000"/>
      <name val="Arial MT"/>
      <family val="2"/>
    </font>
    <font>
      <b/>
      <sz val="9.5"/>
      <name val="Arial"/>
      <family val="2"/>
    </font>
    <font>
      <sz val="8"/>
      <color theme="0"/>
      <name val="Arial"/>
      <family val="2"/>
    </font>
    <font>
      <sz val="8"/>
      <color rgb="FFFF0000"/>
      <name val="Verdana"/>
      <family val="2"/>
    </font>
    <font>
      <b/>
      <sz val="8"/>
      <color rgb="FFFF0000"/>
      <name val="Verdana"/>
      <family val="2"/>
    </font>
    <font>
      <sz val="11"/>
      <name val="Arial"/>
      <family val="2"/>
    </font>
    <font>
      <sz val="10"/>
      <color theme="1"/>
      <name val="Arial MT"/>
      <family val="2"/>
    </font>
    <font>
      <b/>
      <sz val="10"/>
      <color rgb="FFC00000"/>
      <name val="Arial"/>
      <family val="2"/>
      <scheme val="minor"/>
    </font>
    <font>
      <b/>
      <sz val="10"/>
      <color rgb="FFC00000"/>
      <name val="Arial"/>
      <family val="2"/>
    </font>
    <font>
      <sz val="10"/>
      <color rgb="FFC00000"/>
      <name val="Arial"/>
      <family val="2"/>
      <scheme val="minor"/>
    </font>
    <font>
      <sz val="10"/>
      <color rgb="FFC00000"/>
      <name val="Arial"/>
      <family val="2"/>
    </font>
    <font>
      <sz val="14"/>
      <color rgb="FFC00000"/>
      <name val="Arial"/>
      <family val="2"/>
      <scheme val="minor"/>
    </font>
    <font>
      <sz val="11"/>
      <color rgb="FFC00000"/>
      <name val="Arial"/>
      <family val="2"/>
      <scheme val="minor"/>
    </font>
    <font>
      <sz val="14"/>
      <color rgb="FFC00000"/>
      <name val="Arial MT"/>
      <family val="2"/>
    </font>
    <font>
      <sz val="9"/>
      <color rgb="FFC00000"/>
      <name val="Arial"/>
      <family val="2"/>
      <scheme val="minor"/>
    </font>
    <font>
      <sz val="9"/>
      <color rgb="FFC00000"/>
      <name val="Arial"/>
      <family val="2"/>
    </font>
    <font>
      <b/>
      <sz val="9"/>
      <color rgb="FFC00000"/>
      <name val="Arial"/>
      <family val="2"/>
      <scheme val="minor"/>
    </font>
  </fonts>
  <fills count="87">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
      <patternFill patternType="solid">
        <fgColor rgb="FFC6EF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s>
  <cellStyleXfs count="3063">
    <xf numFmtId="0" fontId="0" fillId="0" borderId="0"/>
    <xf numFmtId="0" fontId="13" fillId="2" borderId="0" applyNumberFormat="0" applyBorder="0" applyAlignment="0" applyProtection="0"/>
    <xf numFmtId="0" fontId="13" fillId="3"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3" borderId="0" applyNumberFormat="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21" fillId="54" borderId="0" applyNumberFormat="0" applyBorder="0" applyAlignment="0" applyProtection="0"/>
    <xf numFmtId="188" fontId="13" fillId="3" borderId="0" applyBorder="0" applyAlignment="0" applyProtection="0"/>
    <xf numFmtId="188" fontId="51" fillId="3" borderId="0" applyBorder="0" applyAlignment="0" applyProtection="0"/>
    <xf numFmtId="188" fontId="13" fillId="3" borderId="0" applyBorder="0" applyAlignment="0" applyProtection="0"/>
    <xf numFmtId="188" fontId="51" fillId="3" borderId="0" applyBorder="0" applyAlignment="0" applyProtection="0"/>
    <xf numFmtId="188" fontId="13" fillId="3" borderId="0" applyBorder="0" applyAlignment="0" applyProtection="0"/>
    <xf numFmtId="188" fontId="13" fillId="3"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3" fillId="7" borderId="0" applyNumberFormat="0" applyBorder="0" applyAlignment="0" applyProtection="0"/>
    <xf numFmtId="0" fontId="13" fillId="8"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8" borderId="0" applyNumberFormat="0" applyBorder="0" applyAlignment="0" applyProtection="0"/>
    <xf numFmtId="188" fontId="13" fillId="8" borderId="0" applyBorder="0" applyAlignment="0" applyProtection="0"/>
    <xf numFmtId="188" fontId="51" fillId="8" borderId="0" applyBorder="0" applyAlignment="0" applyProtection="0"/>
    <xf numFmtId="188" fontId="13" fillId="8" borderId="0" applyBorder="0" applyAlignment="0" applyProtection="0"/>
    <xf numFmtId="188" fontId="51" fillId="8" borderId="0" applyBorder="0" applyAlignment="0" applyProtection="0"/>
    <xf numFmtId="188" fontId="13" fillId="8" borderId="0" applyBorder="0" applyAlignment="0" applyProtection="0"/>
    <xf numFmtId="0" fontId="121" fillId="10"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3" fillId="11" borderId="0" applyNumberFormat="0" applyBorder="0" applyAlignment="0" applyProtection="0"/>
    <xf numFmtId="0" fontId="13" fillId="12" borderId="0" applyNumberFormat="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0" fontId="13" fillId="12"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21" fillId="14" borderId="0" applyNumberFormat="0" applyBorder="0" applyAlignment="0" applyProtection="0"/>
    <xf numFmtId="188" fontId="13" fillId="12" borderId="0" applyBorder="0" applyAlignment="0" applyProtection="0"/>
    <xf numFmtId="188" fontId="51" fillId="12" borderId="0" applyBorder="0" applyAlignment="0" applyProtection="0"/>
    <xf numFmtId="188" fontId="13" fillId="12" borderId="0" applyBorder="0" applyAlignment="0" applyProtection="0"/>
    <xf numFmtId="188" fontId="51" fillId="12" borderId="0" applyBorder="0" applyAlignment="0" applyProtection="0"/>
    <xf numFmtId="188" fontId="13" fillId="12" borderId="0" applyBorder="0" applyAlignment="0" applyProtection="0"/>
    <xf numFmtId="188" fontId="13" fillId="12"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2" borderId="0" applyNumberFormat="0" applyBorder="0" applyAlignment="0" applyProtection="0"/>
    <xf numFmtId="0" fontId="13" fillId="15"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15" borderId="0" applyNumberFormat="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21" fillId="16" borderId="0" applyNumberFormat="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13" fillId="1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3" fillId="17" borderId="0" applyNumberFormat="0" applyBorder="0" applyAlignment="0" applyProtection="0"/>
    <xf numFmtId="0" fontId="13" fillId="18" borderId="0" applyNumberFormat="0" applyBorder="0" applyAlignment="0" applyProtection="0"/>
    <xf numFmtId="187" fontId="13" fillId="18" borderId="0" applyBorder="0" applyAlignment="0" applyProtection="0"/>
    <xf numFmtId="187" fontId="51" fillId="18" borderId="0" applyBorder="0" applyAlignment="0" applyProtection="0"/>
    <xf numFmtId="187" fontId="13" fillId="18" borderId="0" applyBorder="0" applyAlignment="0" applyProtection="0"/>
    <xf numFmtId="187" fontId="51" fillId="18" borderId="0" applyBorder="0" applyAlignment="0" applyProtection="0"/>
    <xf numFmtId="187" fontId="13" fillId="18" borderId="0" applyBorder="0" applyAlignment="0" applyProtection="0"/>
    <xf numFmtId="0" fontId="13" fillId="18" borderId="0" applyNumberFormat="0" applyBorder="0" applyAlignment="0" applyProtection="0"/>
    <xf numFmtId="188" fontId="13" fillId="18" borderId="0" applyBorder="0" applyAlignment="0" applyProtection="0"/>
    <xf numFmtId="188" fontId="51" fillId="18" borderId="0" applyBorder="0" applyAlignment="0" applyProtection="0"/>
    <xf numFmtId="188" fontId="13" fillId="18" borderId="0" applyBorder="0" applyAlignment="0" applyProtection="0"/>
    <xf numFmtId="188" fontId="51" fillId="18" borderId="0" applyBorder="0" applyAlignment="0" applyProtection="0"/>
    <xf numFmtId="188" fontId="13" fillId="18" borderId="0" applyBorder="0" applyAlignment="0" applyProtection="0"/>
    <xf numFmtId="0" fontId="121" fillId="6" borderId="0" applyNumberFormat="0" applyBorder="0" applyAlignment="0" applyProtection="0"/>
    <xf numFmtId="187" fontId="51" fillId="18" borderId="0" applyBorder="0" applyAlignment="0" applyProtection="0"/>
    <xf numFmtId="187" fontId="13" fillId="18" borderId="0" applyBorder="0" applyAlignment="0" applyProtection="0"/>
    <xf numFmtId="187" fontId="13" fillId="18" borderId="0" applyBorder="0" applyAlignment="0" applyProtection="0"/>
    <xf numFmtId="0" fontId="13" fillId="11" borderId="0" applyNumberFormat="0" applyBorder="0" applyAlignment="0" applyProtection="0"/>
    <xf numFmtId="0" fontId="13" fillId="9"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9" borderId="0" applyNumberFormat="0" applyBorder="0" applyAlignment="0" applyProtection="0"/>
    <xf numFmtId="188" fontId="13" fillId="9" borderId="0" applyBorder="0" applyAlignment="0" applyProtection="0"/>
    <xf numFmtId="188" fontId="51" fillId="9" borderId="0" applyBorder="0" applyAlignment="0" applyProtection="0"/>
    <xf numFmtId="188" fontId="13" fillId="9" borderId="0" applyBorder="0" applyAlignment="0" applyProtection="0"/>
    <xf numFmtId="188" fontId="51" fillId="9" borderId="0" applyBorder="0" applyAlignment="0" applyProtection="0"/>
    <xf numFmtId="188" fontId="13" fillId="9" borderId="0" applyBorder="0" applyAlignment="0" applyProtection="0"/>
    <xf numFmtId="0" fontId="121" fillId="19"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3" fillId="20" borderId="0" applyNumberFormat="0" applyBorder="0" applyAlignment="0" applyProtection="0"/>
    <xf numFmtId="0" fontId="13" fillId="21" borderId="0" applyNumberFormat="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0" fontId="13" fillId="21" borderId="0" applyNumberFormat="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0" fontId="121" fillId="6" borderId="0" applyNumberFormat="0" applyBorder="0" applyAlignment="0" applyProtection="0"/>
    <xf numFmtId="187" fontId="51" fillId="22" borderId="0" applyBorder="0" applyAlignment="0" applyProtection="0"/>
    <xf numFmtId="187" fontId="13" fillId="22" borderId="0" applyBorder="0" applyAlignment="0" applyProtection="0"/>
    <xf numFmtId="187" fontId="13" fillId="22" borderId="0" applyBorder="0" applyAlignment="0" applyProtection="0"/>
    <xf numFmtId="0" fontId="13" fillId="7" borderId="0" applyNumberFormat="0" applyBorder="0" applyAlignment="0" applyProtection="0"/>
    <xf numFmtId="0" fontId="13" fillId="23" borderId="0" applyNumberFormat="0" applyBorder="0" applyAlignment="0" applyProtection="0"/>
    <xf numFmtId="187" fontId="13" fillId="23" borderId="0" applyBorder="0" applyAlignment="0" applyProtection="0"/>
    <xf numFmtId="187" fontId="51" fillId="23" borderId="0" applyBorder="0" applyAlignment="0" applyProtection="0"/>
    <xf numFmtId="187" fontId="13" fillId="23" borderId="0" applyBorder="0" applyAlignment="0" applyProtection="0"/>
    <xf numFmtId="187" fontId="51" fillId="23" borderId="0" applyBorder="0" applyAlignment="0" applyProtection="0"/>
    <xf numFmtId="187" fontId="13" fillId="23" borderId="0" applyBorder="0" applyAlignment="0" applyProtection="0"/>
    <xf numFmtId="0" fontId="13" fillId="23" borderId="0" applyNumberFormat="0" applyBorder="0" applyAlignment="0" applyProtection="0"/>
    <xf numFmtId="188" fontId="13" fillId="23" borderId="0" applyBorder="0" applyAlignment="0" applyProtection="0"/>
    <xf numFmtId="188" fontId="51" fillId="23" borderId="0" applyBorder="0" applyAlignment="0" applyProtection="0"/>
    <xf numFmtId="188" fontId="13" fillId="23" borderId="0" applyBorder="0" applyAlignment="0" applyProtection="0"/>
    <xf numFmtId="188" fontId="51" fillId="23" borderId="0" applyBorder="0" applyAlignment="0" applyProtection="0"/>
    <xf numFmtId="188" fontId="13" fillId="23" borderId="0" applyBorder="0" applyAlignment="0" applyProtection="0"/>
    <xf numFmtId="0" fontId="121" fillId="10" borderId="0" applyNumberFormat="0" applyBorder="0" applyAlignment="0" applyProtection="0"/>
    <xf numFmtId="187" fontId="51" fillId="23" borderId="0" applyBorder="0" applyAlignment="0" applyProtection="0"/>
    <xf numFmtId="187" fontId="13" fillId="23" borderId="0" applyBorder="0" applyAlignment="0" applyProtection="0"/>
    <xf numFmtId="187" fontId="13" fillId="23" borderId="0" applyBorder="0" applyAlignment="0" applyProtection="0"/>
    <xf numFmtId="0" fontId="13" fillId="13" borderId="0" applyNumberFormat="0" applyBorder="0" applyAlignment="0" applyProtection="0"/>
    <xf numFmtId="0" fontId="13" fillId="24" borderId="0" applyNumberFormat="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0" fontId="13" fillId="24" borderId="0" applyNumberFormat="0" applyBorder="0" applyAlignment="0" applyProtection="0"/>
    <xf numFmtId="188" fontId="13" fillId="24" borderId="0" applyBorder="0" applyAlignment="0" applyProtection="0"/>
    <xf numFmtId="188" fontId="51" fillId="24" borderId="0" applyBorder="0" applyAlignment="0" applyProtection="0"/>
    <xf numFmtId="188" fontId="13" fillId="24" borderId="0" applyBorder="0" applyAlignment="0" applyProtection="0"/>
    <xf numFmtId="188" fontId="51" fillId="24" borderId="0" applyBorder="0" applyAlignment="0" applyProtection="0"/>
    <xf numFmtId="188" fontId="13" fillId="24" borderId="0" applyBorder="0" applyAlignment="0" applyProtection="0"/>
    <xf numFmtId="0" fontId="121" fillId="14" borderId="0" applyNumberFormat="0" applyBorder="0" applyAlignment="0" applyProtection="0"/>
    <xf numFmtId="187" fontId="51" fillId="13" borderId="0" applyBorder="0" applyAlignment="0" applyProtection="0"/>
    <xf numFmtId="187" fontId="13" fillId="13" borderId="0" applyBorder="0" applyAlignment="0" applyProtection="0"/>
    <xf numFmtId="187" fontId="13" fillId="13" borderId="0" applyBorder="0" applyAlignment="0" applyProtection="0"/>
    <xf numFmtId="0" fontId="13" fillId="20" borderId="0" applyNumberFormat="0" applyBorder="0" applyAlignment="0" applyProtection="0"/>
    <xf numFmtId="0" fontId="13" fillId="15" borderId="0" applyNumberFormat="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0" fontId="13" fillId="15" borderId="0" applyNumberFormat="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0" fontId="121" fillId="25" borderId="0" applyNumberFormat="0" applyBorder="0" applyAlignment="0" applyProtection="0"/>
    <xf numFmtId="187" fontId="51" fillId="22" borderId="0" applyBorder="0" applyAlignment="0" applyProtection="0"/>
    <xf numFmtId="187" fontId="13" fillId="22" borderId="0" applyBorder="0" applyAlignment="0" applyProtection="0"/>
    <xf numFmtId="187" fontId="13" fillId="22" borderId="0" applyBorder="0" applyAlignment="0" applyProtection="0"/>
    <xf numFmtId="0" fontId="13" fillId="26" borderId="0" applyNumberFormat="0" applyBorder="0" applyAlignment="0" applyProtection="0"/>
    <xf numFmtId="0" fontId="13" fillId="21" borderId="0" applyNumberFormat="0" applyBorder="0" applyAlignment="0" applyProtection="0"/>
    <xf numFmtId="187" fontId="13" fillId="21" borderId="0" applyBorder="0" applyAlignment="0" applyProtection="0"/>
    <xf numFmtId="187" fontId="51" fillId="21" borderId="0" applyBorder="0" applyAlignment="0" applyProtection="0"/>
    <xf numFmtId="187" fontId="13" fillId="21" borderId="0" applyBorder="0" applyAlignment="0" applyProtection="0"/>
    <xf numFmtId="187" fontId="51" fillId="21" borderId="0" applyBorder="0" applyAlignment="0" applyProtection="0"/>
    <xf numFmtId="187" fontId="13" fillId="21" borderId="0" applyBorder="0" applyAlignment="0" applyProtection="0"/>
    <xf numFmtId="0" fontId="13" fillId="21" borderId="0" applyNumberFormat="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0" fontId="121" fillId="6" borderId="0" applyNumberFormat="0" applyBorder="0" applyAlignment="0" applyProtection="0"/>
    <xf numFmtId="187" fontId="51" fillId="21" borderId="0" applyBorder="0" applyAlignment="0" applyProtection="0"/>
    <xf numFmtId="187" fontId="13" fillId="21" borderId="0" applyBorder="0" applyAlignment="0" applyProtection="0"/>
    <xf numFmtId="187" fontId="13" fillId="21" borderId="0" applyBorder="0" applyAlignment="0" applyProtection="0"/>
    <xf numFmtId="0" fontId="13" fillId="13" borderId="0" applyNumberFormat="0" applyBorder="0" applyAlignment="0" applyProtection="0"/>
    <xf numFmtId="0" fontId="13" fillId="27"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27" borderId="0" applyNumberFormat="0" applyBorder="0" applyAlignment="0" applyProtection="0"/>
    <xf numFmtId="188" fontId="13" fillId="27" borderId="0" applyBorder="0" applyAlignment="0" applyProtection="0"/>
    <xf numFmtId="188" fontId="51" fillId="27" borderId="0" applyBorder="0" applyAlignment="0" applyProtection="0"/>
    <xf numFmtId="188" fontId="13" fillId="27" borderId="0" applyBorder="0" applyAlignment="0" applyProtection="0"/>
    <xf numFmtId="188" fontId="51" fillId="27" borderId="0" applyBorder="0" applyAlignment="0" applyProtection="0"/>
    <xf numFmtId="188" fontId="13" fillId="27" borderId="0" applyBorder="0" applyAlignment="0" applyProtection="0"/>
    <xf numFmtId="0" fontId="121" fillId="19"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4" fillId="28" borderId="0" applyNumberFormat="0" applyBorder="0" applyAlignment="0" applyProtection="0"/>
    <xf numFmtId="0" fontId="14" fillId="29" borderId="0" applyNumberFormat="0" applyBorder="0" applyAlignment="0" applyProtection="0"/>
    <xf numFmtId="187" fontId="14" fillId="28" borderId="0" applyBorder="0" applyAlignment="0" applyProtection="0"/>
    <xf numFmtId="0" fontId="14" fillId="29" borderId="0" applyNumberFormat="0" applyBorder="0" applyAlignment="0" applyProtection="0"/>
    <xf numFmtId="188" fontId="14" fillId="29" borderId="0" applyBorder="0" applyAlignment="0" applyProtection="0"/>
    <xf numFmtId="0" fontId="122" fillId="30" borderId="0" applyNumberFormat="0" applyBorder="0" applyAlignment="0" applyProtection="0"/>
    <xf numFmtId="0" fontId="14" fillId="7" borderId="0" applyNumberFormat="0" applyBorder="0" applyAlignment="0" applyProtection="0"/>
    <xf numFmtId="0" fontId="14" fillId="23" borderId="0" applyNumberFormat="0" applyBorder="0" applyAlignment="0" applyProtection="0"/>
    <xf numFmtId="187" fontId="14" fillId="23" borderId="0" applyBorder="0" applyAlignment="0" applyProtection="0"/>
    <xf numFmtId="0" fontId="14" fillId="23" borderId="0" applyNumberFormat="0" applyBorder="0" applyAlignment="0" applyProtection="0"/>
    <xf numFmtId="188" fontId="14" fillId="23" borderId="0" applyBorder="0" applyAlignment="0" applyProtection="0"/>
    <xf numFmtId="0" fontId="122" fillId="10" borderId="0" applyNumberFormat="0" applyBorder="0" applyAlignment="0" applyProtection="0"/>
    <xf numFmtId="0" fontId="14" fillId="13" borderId="0" applyNumberFormat="0" applyBorder="0" applyAlignment="0" applyProtection="0"/>
    <xf numFmtId="0" fontId="14" fillId="24" borderId="0" applyNumberFormat="0" applyBorder="0" applyAlignment="0" applyProtection="0"/>
    <xf numFmtId="187" fontId="14" fillId="13" borderId="0" applyBorder="0" applyAlignment="0" applyProtection="0"/>
    <xf numFmtId="0" fontId="14" fillId="24" borderId="0" applyNumberFormat="0" applyBorder="0" applyAlignment="0" applyProtection="0"/>
    <xf numFmtId="188" fontId="14" fillId="24" borderId="0" applyBorder="0" applyAlignment="0" applyProtection="0"/>
    <xf numFmtId="0" fontId="122" fillId="14"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187" fontId="14" fillId="22" borderId="0" applyBorder="0" applyAlignment="0" applyProtection="0"/>
    <xf numFmtId="0" fontId="14" fillId="31" borderId="0" applyNumberFormat="0" applyBorder="0" applyAlignment="0" applyProtection="0"/>
    <xf numFmtId="188" fontId="14" fillId="31" borderId="0" applyBorder="0" applyAlignment="0" applyProtection="0"/>
    <xf numFmtId="0" fontId="122" fillId="32"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87" fontId="14" fillId="28" borderId="0" applyBorder="0" applyAlignment="0" applyProtection="0"/>
    <xf numFmtId="0" fontId="14" fillId="28" borderId="0" applyNumberFormat="0" applyBorder="0" applyAlignment="0" applyProtection="0"/>
    <xf numFmtId="188" fontId="14" fillId="28" borderId="0" applyBorder="0" applyAlignment="0" applyProtection="0"/>
    <xf numFmtId="0" fontId="122" fillId="30" borderId="0" applyNumberFormat="0" applyBorder="0" applyAlignment="0" applyProtection="0"/>
    <xf numFmtId="0" fontId="14" fillId="7" borderId="0" applyNumberFormat="0" applyBorder="0" applyAlignment="0" applyProtection="0"/>
    <xf numFmtId="0" fontId="14" fillId="33" borderId="0" applyNumberFormat="0" applyBorder="0" applyAlignment="0" applyProtection="0"/>
    <xf numFmtId="187" fontId="14" fillId="9" borderId="0" applyBorder="0" applyAlignment="0" applyProtection="0"/>
    <xf numFmtId="0" fontId="14" fillId="33" borderId="0" applyNumberFormat="0" applyBorder="0" applyAlignment="0" applyProtection="0"/>
    <xf numFmtId="188" fontId="14" fillId="33" borderId="0" applyBorder="0" applyAlignment="0" applyProtection="0"/>
    <xf numFmtId="0" fontId="122" fillId="34" borderId="0" applyNumberFormat="0" applyBorder="0" applyAlignment="0" applyProtection="0"/>
    <xf numFmtId="0" fontId="15" fillId="12" borderId="0" applyNumberFormat="0" applyBorder="0" applyAlignment="0" applyProtection="0"/>
    <xf numFmtId="187" fontId="15" fillId="12" borderId="0" applyBorder="0" applyAlignment="0" applyProtection="0"/>
    <xf numFmtId="0" fontId="15" fillId="12" borderId="0" applyNumberFormat="0" applyBorder="0" applyAlignment="0" applyProtection="0"/>
    <xf numFmtId="188" fontId="15" fillId="12" borderId="0" applyBorder="0" applyAlignment="0" applyProtection="0"/>
    <xf numFmtId="0" fontId="123" fillId="14" borderId="0" applyNumberFormat="0" applyBorder="0" applyAlignment="0" applyProtection="0"/>
    <xf numFmtId="0" fontId="123" fillId="14" borderId="0" applyNumberFormat="0" applyBorder="0" applyAlignment="0" applyProtection="0"/>
    <xf numFmtId="0" fontId="16" fillId="5" borderId="1" applyNumberFormat="0" applyAlignment="0" applyProtection="0"/>
    <xf numFmtId="0" fontId="16" fillId="22" borderId="1" applyNumberFormat="0" applyAlignment="0" applyProtection="0"/>
    <xf numFmtId="187" fontId="16" fillId="4" borderId="1" applyAlignment="0" applyProtection="0"/>
    <xf numFmtId="187" fontId="16" fillId="4" borderId="1" applyAlignment="0" applyProtection="0"/>
    <xf numFmtId="0" fontId="16" fillId="22" borderId="1" applyNumberFormat="0" applyAlignment="0" applyProtection="0"/>
    <xf numFmtId="187" fontId="16" fillId="5" borderId="1" applyAlignment="0" applyProtection="0"/>
    <xf numFmtId="187" fontId="16" fillId="5" borderId="1" applyAlignment="0" applyProtection="0"/>
    <xf numFmtId="0" fontId="124" fillId="35" borderId="2" applyNumberFormat="0" applyAlignment="0" applyProtection="0"/>
    <xf numFmtId="188" fontId="16" fillId="22" borderId="1" applyAlignment="0" applyProtection="0"/>
    <xf numFmtId="188" fontId="16" fillId="22" borderId="1" applyAlignment="0" applyProtection="0"/>
    <xf numFmtId="188" fontId="16" fillId="22" borderId="1" applyAlignment="0" applyProtection="0"/>
    <xf numFmtId="0" fontId="17" fillId="36" borderId="3" applyNumberFormat="0" applyAlignment="0" applyProtection="0"/>
    <xf numFmtId="0" fontId="17" fillId="37" borderId="3" applyNumberFormat="0" applyAlignment="0" applyProtection="0"/>
    <xf numFmtId="187" fontId="17" fillId="37" borderId="3" applyAlignment="0" applyProtection="0"/>
    <xf numFmtId="187" fontId="17" fillId="37" borderId="3" applyAlignment="0" applyProtection="0"/>
    <xf numFmtId="187" fontId="117" fillId="37" borderId="3" applyAlignment="0" applyProtection="0"/>
    <xf numFmtId="0" fontId="17" fillId="37" borderId="3" applyNumberFormat="0" applyAlignment="0" applyProtection="0"/>
    <xf numFmtId="188" fontId="17" fillId="37" borderId="3" applyAlignment="0" applyProtection="0"/>
    <xf numFmtId="188" fontId="17" fillId="37" borderId="3" applyAlignment="0" applyProtection="0"/>
    <xf numFmtId="188" fontId="117" fillId="37" borderId="3" applyAlignment="0" applyProtection="0"/>
    <xf numFmtId="0" fontId="125" fillId="38" borderId="40" applyNumberFormat="0" applyAlignment="0" applyProtection="0"/>
    <xf numFmtId="0" fontId="18" fillId="0" borderId="4" applyNumberFormat="0" applyFill="0" applyAlignment="0" applyProtection="0"/>
    <xf numFmtId="0" fontId="18" fillId="0" borderId="4" applyNumberFormat="0" applyFill="0" applyAlignment="0" applyProtection="0"/>
    <xf numFmtId="187" fontId="18" fillId="0" borderId="4" applyFill="0" applyAlignment="0" applyProtection="0"/>
    <xf numFmtId="0" fontId="18" fillId="0" borderId="4" applyNumberFormat="0" applyFill="0" applyAlignment="0" applyProtection="0"/>
    <xf numFmtId="188" fontId="18" fillId="0" borderId="4" applyFill="0" applyAlignment="0" applyProtection="0"/>
    <xf numFmtId="0" fontId="126" fillId="0" borderId="41" applyNumberFormat="0" applyFill="0" applyAlignment="0" applyProtection="0"/>
    <xf numFmtId="169"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127" fillId="0" borderId="5" applyNumberFormat="0" applyFill="0" applyAlignment="0" applyProtection="0"/>
    <xf numFmtId="0" fontId="19" fillId="0" borderId="0" applyNumberFormat="0" applyFill="0" applyBorder="0" applyAlignment="0" applyProtection="0"/>
    <xf numFmtId="0" fontId="43" fillId="0" borderId="0" applyNumberFormat="0" applyFill="0" applyBorder="0" applyAlignment="0" applyProtection="0"/>
    <xf numFmtId="187" fontId="19" fillId="0" borderId="0" applyFill="0" applyBorder="0" applyAlignment="0" applyProtection="0"/>
    <xf numFmtId="0" fontId="43" fillId="0" borderId="0" applyNumberFormat="0" applyFill="0" applyBorder="0" applyAlignment="0" applyProtection="0"/>
    <xf numFmtId="188" fontId="43" fillId="0" borderId="0" applyFill="0" applyBorder="0" applyAlignment="0" applyProtection="0"/>
    <xf numFmtId="0" fontId="128" fillId="0" borderId="0" applyNumberFormat="0" applyFill="0" applyBorder="0" applyAlignment="0" applyProtection="0"/>
    <xf numFmtId="0" fontId="14" fillId="28" borderId="0" applyNumberFormat="0" applyBorder="0" applyAlignment="0" applyProtection="0"/>
    <xf numFmtId="0" fontId="14" fillId="39" borderId="0" applyNumberFormat="0" applyBorder="0" applyAlignment="0" applyProtection="0"/>
    <xf numFmtId="187" fontId="14" fillId="28" borderId="0" applyBorder="0" applyAlignment="0" applyProtection="0"/>
    <xf numFmtId="0" fontId="14" fillId="39" borderId="0" applyNumberFormat="0" applyBorder="0" applyAlignment="0" applyProtection="0"/>
    <xf numFmtId="188" fontId="14" fillId="39" borderId="0" applyBorder="0" applyAlignment="0" applyProtection="0"/>
    <xf numFmtId="0" fontId="122"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187" fontId="14" fillId="41" borderId="0" applyBorder="0" applyAlignment="0" applyProtection="0"/>
    <xf numFmtId="0" fontId="14" fillId="41" borderId="0" applyNumberFormat="0" applyBorder="0" applyAlignment="0" applyProtection="0"/>
    <xf numFmtId="188" fontId="14" fillId="41" borderId="0" applyBorder="0" applyAlignment="0" applyProtection="0"/>
    <xf numFmtId="0" fontId="122" fillId="10"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187" fontId="14" fillId="42" borderId="0" applyBorder="0" applyAlignment="0" applyProtection="0"/>
    <xf numFmtId="0" fontId="14" fillId="42" borderId="0" applyNumberFormat="0" applyBorder="0" applyAlignment="0" applyProtection="0"/>
    <xf numFmtId="188" fontId="14" fillId="42" borderId="0" applyBorder="0" applyAlignment="0" applyProtection="0"/>
    <xf numFmtId="0" fontId="122" fillId="43" borderId="0" applyNumberFormat="0" applyBorder="0" applyAlignment="0" applyProtection="0"/>
    <xf numFmtId="0" fontId="14" fillId="44" borderId="0" applyNumberFormat="0" applyBorder="0" applyAlignment="0" applyProtection="0"/>
    <xf numFmtId="0" fontId="14" fillId="31" borderId="0" applyNumberFormat="0" applyBorder="0" applyAlignment="0" applyProtection="0"/>
    <xf numFmtId="187" fontId="14" fillId="45" borderId="0" applyBorder="0" applyAlignment="0" applyProtection="0"/>
    <xf numFmtId="0" fontId="14" fillId="31" borderId="0" applyNumberFormat="0" applyBorder="0" applyAlignment="0" applyProtection="0"/>
    <xf numFmtId="188" fontId="14" fillId="31" borderId="0" applyBorder="0" applyAlignment="0" applyProtection="0"/>
    <xf numFmtId="0" fontId="122" fillId="46"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87" fontId="14" fillId="28" borderId="0" applyBorder="0" applyAlignment="0" applyProtection="0"/>
    <xf numFmtId="0" fontId="14" fillId="28" borderId="0" applyNumberFormat="0" applyBorder="0" applyAlignment="0" applyProtection="0"/>
    <xf numFmtId="188" fontId="14" fillId="28" borderId="0" applyBorder="0" applyAlignment="0" applyProtection="0"/>
    <xf numFmtId="0" fontId="122"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187" fontId="14" fillId="49" borderId="0" applyBorder="0" applyAlignment="0" applyProtection="0"/>
    <xf numFmtId="0" fontId="14" fillId="49" borderId="0" applyNumberFormat="0" applyBorder="0" applyAlignment="0" applyProtection="0"/>
    <xf numFmtId="188" fontId="14" fillId="49" borderId="0" applyBorder="0" applyAlignment="0" applyProtection="0"/>
    <xf numFmtId="0" fontId="122" fillId="50" borderId="0" applyNumberFormat="0" applyBorder="0" applyAlignment="0" applyProtection="0"/>
    <xf numFmtId="0" fontId="20" fillId="13" borderId="1" applyNumberFormat="0" applyAlignment="0" applyProtection="0"/>
    <xf numFmtId="0" fontId="20" fillId="9" borderId="1" applyNumberFormat="0" applyAlignment="0" applyProtection="0"/>
    <xf numFmtId="187" fontId="20" fillId="9" borderId="1" applyAlignment="0" applyProtection="0"/>
    <xf numFmtId="187" fontId="20" fillId="9" borderId="1" applyAlignment="0" applyProtection="0"/>
    <xf numFmtId="0" fontId="20" fillId="9" borderId="1" applyNumberFormat="0" applyAlignment="0" applyProtection="0"/>
    <xf numFmtId="188" fontId="20" fillId="9" borderId="1" applyAlignment="0" applyProtection="0"/>
    <xf numFmtId="188" fontId="20" fillId="9" borderId="1" applyAlignment="0" applyProtection="0"/>
    <xf numFmtId="0" fontId="129" fillId="51" borderId="2" applyNumberFormat="0" applyAlignment="0" applyProtection="0"/>
    <xf numFmtId="0" fontId="51" fillId="0" borderId="0"/>
    <xf numFmtId="0" fontId="130" fillId="0" borderId="0" applyNumberFormat="0" applyFill="0" applyBorder="0" applyAlignment="0" applyProtection="0"/>
    <xf numFmtId="0" fontId="38" fillId="0" borderId="0" applyNumberFormat="0" applyFill="0" applyBorder="0" applyAlignment="0" applyProtection="0">
      <alignment vertical="top"/>
      <protection locked="0"/>
    </xf>
    <xf numFmtId="0" fontId="42" fillId="0" borderId="0" applyNumberFormat="0" applyFill="0" applyBorder="0" applyAlignment="0" applyProtection="0"/>
    <xf numFmtId="188" fontId="52" fillId="0" borderId="0" applyFill="0" applyBorder="0" applyAlignment="0" applyProtection="0"/>
    <xf numFmtId="188" fontId="52" fillId="0" borderId="0" applyFill="0" applyBorder="0" applyAlignment="0" applyProtection="0"/>
    <xf numFmtId="188" fontId="52" fillId="0" borderId="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alignment vertical="top"/>
      <protection locked="0"/>
    </xf>
    <xf numFmtId="0" fontId="132" fillId="0" borderId="0" applyNumberFormat="0" applyFill="0" applyBorder="0" applyAlignment="0" applyProtection="0"/>
    <xf numFmtId="0" fontId="21" fillId="52" borderId="0" applyNumberFormat="0" applyBorder="0" applyAlignment="0" applyProtection="0"/>
    <xf numFmtId="0" fontId="21" fillId="8" borderId="0" applyNumberFormat="0" applyBorder="0" applyAlignment="0" applyProtection="0"/>
    <xf numFmtId="187" fontId="21" fillId="8" borderId="0" applyBorder="0" applyAlignment="0" applyProtection="0"/>
    <xf numFmtId="0" fontId="21" fillId="8" borderId="0" applyNumberFormat="0" applyBorder="0" applyAlignment="0" applyProtection="0"/>
    <xf numFmtId="188" fontId="21" fillId="8" borderId="0" applyBorder="0" applyAlignment="0" applyProtection="0"/>
    <xf numFmtId="0" fontId="133" fillId="55" borderId="0" applyNumberFormat="0" applyBorder="0" applyAlignment="0" applyProtection="0"/>
    <xf numFmtId="178" fontId="37" fillId="0" borderId="0" applyFill="0" applyBorder="0" applyAlignment="0" applyProtection="0"/>
    <xf numFmtId="177" fontId="37" fillId="0" borderId="0" applyFill="0" applyBorder="0" applyAlignment="0" applyProtection="0"/>
    <xf numFmtId="166" fontId="86"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6" fontId="11" fillId="0" borderId="0" applyFont="0" applyFill="0" applyBorder="0" applyAlignment="0" applyProtection="0"/>
    <xf numFmtId="166" fontId="86" fillId="0" borderId="0" applyFont="0" applyFill="0" applyBorder="0" applyAlignment="0" applyProtection="0"/>
    <xf numFmtId="166" fontId="11" fillId="0" borderId="0" applyFont="0" applyFill="0" applyBorder="0" applyAlignment="0" applyProtection="0"/>
    <xf numFmtId="186" fontId="12" fillId="0" borderId="0" applyFont="0" applyFill="0" applyBorder="0" applyAlignment="0" applyProtection="0"/>
    <xf numFmtId="177" fontId="37" fillId="0" borderId="0" applyFill="0" applyBorder="0" applyAlignment="0" applyProtection="0"/>
    <xf numFmtId="164" fontId="12" fillId="0" borderId="0" applyFont="0" applyFill="0" applyBorder="0" applyAlignment="0" applyProtection="0"/>
    <xf numFmtId="168" fontId="86" fillId="0" borderId="0" applyFont="0" applyFill="0" applyBorder="0" applyAlignment="0" applyProtection="0"/>
    <xf numFmtId="168"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82" fontId="24" fillId="0" borderId="0" applyFont="0" applyFill="0" applyBorder="0" applyAlignment="0" applyProtection="0"/>
    <xf numFmtId="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82"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65" fontId="8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0" fontId="22" fillId="13" borderId="0" applyNumberFormat="0" applyBorder="0" applyAlignment="0" applyProtection="0"/>
    <xf numFmtId="0" fontId="22" fillId="13" borderId="0" applyNumberFormat="0" applyBorder="0" applyAlignment="0" applyProtection="0"/>
    <xf numFmtId="187" fontId="22" fillId="13" borderId="0" applyBorder="0" applyAlignment="0" applyProtection="0"/>
    <xf numFmtId="0" fontId="22" fillId="13" borderId="0" applyNumberFormat="0" applyBorder="0" applyAlignment="0" applyProtection="0"/>
    <xf numFmtId="188" fontId="22" fillId="13" borderId="0" applyBorder="0" applyAlignment="0" applyProtection="0"/>
    <xf numFmtId="0" fontId="134" fillId="56" borderId="0" applyNumberFormat="0" applyBorder="0" applyAlignment="0" applyProtection="0"/>
    <xf numFmtId="0" fontId="23" fillId="0" borderId="0"/>
    <xf numFmtId="0" fontId="56" fillId="0" borderId="0"/>
    <xf numFmtId="0" fontId="121" fillId="0" borderId="0"/>
    <xf numFmtId="0" fontId="121" fillId="0" borderId="0"/>
    <xf numFmtId="0" fontId="121" fillId="0" borderId="0"/>
    <xf numFmtId="0" fontId="119" fillId="0" borderId="0"/>
    <xf numFmtId="0" fontId="11" fillId="0" borderId="0"/>
    <xf numFmtId="0" fontId="121" fillId="0" borderId="0"/>
    <xf numFmtId="0" fontId="121" fillId="0" borderId="0"/>
    <xf numFmtId="0" fontId="55" fillId="0" borderId="0"/>
    <xf numFmtId="0" fontId="12" fillId="0" borderId="0"/>
    <xf numFmtId="0" fontId="12" fillId="0" borderId="0"/>
    <xf numFmtId="0" fontId="121" fillId="0" borderId="0"/>
    <xf numFmtId="0" fontId="58" fillId="0" borderId="0">
      <alignment wrapText="1"/>
    </xf>
    <xf numFmtId="0" fontId="12" fillId="0" borderId="0">
      <alignment wrapText="1"/>
    </xf>
    <xf numFmtId="0" fontId="59" fillId="0" borderId="0">
      <alignment wrapText="1"/>
    </xf>
    <xf numFmtId="0" fontId="12" fillId="0" borderId="0"/>
    <xf numFmtId="0" fontId="12" fillId="0" borderId="0">
      <alignment wrapText="1"/>
    </xf>
    <xf numFmtId="0" fontId="61" fillId="0" borderId="0"/>
    <xf numFmtId="0" fontId="12" fillId="0" borderId="0"/>
    <xf numFmtId="0" fontId="62" fillId="0" borderId="0">
      <alignment wrapText="1"/>
    </xf>
    <xf numFmtId="0" fontId="121" fillId="0" borderId="0"/>
    <xf numFmtId="0" fontId="12" fillId="0" borderId="0">
      <alignment wrapText="1"/>
    </xf>
    <xf numFmtId="0" fontId="24" fillId="0" borderId="0"/>
    <xf numFmtId="0" fontId="12" fillId="0" borderId="0"/>
    <xf numFmtId="0" fontId="121" fillId="0" borderId="0"/>
    <xf numFmtId="0" fontId="121" fillId="0" borderId="0"/>
    <xf numFmtId="0" fontId="12" fillId="0" borderId="0">
      <alignment wrapText="1"/>
    </xf>
    <xf numFmtId="0" fontId="12" fillId="0" borderId="0">
      <alignment wrapText="1"/>
    </xf>
    <xf numFmtId="0" fontId="12" fillId="0" borderId="0"/>
    <xf numFmtId="0" fontId="12" fillId="0" borderId="0"/>
    <xf numFmtId="0" fontId="135" fillId="0" borderId="0"/>
    <xf numFmtId="0" fontId="56" fillId="0" borderId="0"/>
    <xf numFmtId="0" fontId="56" fillId="0" borderId="0"/>
    <xf numFmtId="187" fontId="53" fillId="0" borderId="0"/>
    <xf numFmtId="0" fontId="12" fillId="0" borderId="0"/>
    <xf numFmtId="0" fontId="136" fillId="0" borderId="0"/>
    <xf numFmtId="0" fontId="13" fillId="0" borderId="0"/>
    <xf numFmtId="0" fontId="13" fillId="0" borderId="0"/>
    <xf numFmtId="0" fontId="31" fillId="0" borderId="0"/>
    <xf numFmtId="0" fontId="63" fillId="0" borderId="0">
      <alignment wrapText="1"/>
    </xf>
    <xf numFmtId="0" fontId="12" fillId="0" borderId="0"/>
    <xf numFmtId="0" fontId="12" fillId="0" borderId="0">
      <alignment wrapText="1"/>
    </xf>
    <xf numFmtId="0" fontId="64" fillId="0" borderId="0"/>
    <xf numFmtId="0" fontId="12" fillId="0" borderId="0"/>
    <xf numFmtId="0" fontId="67" fillId="0" borderId="0"/>
    <xf numFmtId="0" fontId="12" fillId="0" borderId="0"/>
    <xf numFmtId="0" fontId="137" fillId="0" borderId="0"/>
    <xf numFmtId="0" fontId="72" fillId="0" borderId="0"/>
    <xf numFmtId="0" fontId="12" fillId="0" borderId="0"/>
    <xf numFmtId="0" fontId="83" fillId="0" borderId="0"/>
    <xf numFmtId="0" fontId="12" fillId="0" borderId="0"/>
    <xf numFmtId="0" fontId="85" fillId="0" borderId="0"/>
    <xf numFmtId="0" fontId="12" fillId="0" borderId="0"/>
    <xf numFmtId="0" fontId="138" fillId="0" borderId="0"/>
    <xf numFmtId="0" fontId="24" fillId="0" borderId="0"/>
    <xf numFmtId="0" fontId="12" fillId="0" borderId="0"/>
    <xf numFmtId="187" fontId="53" fillId="0" borderId="0"/>
    <xf numFmtId="0" fontId="12" fillId="0" borderId="0"/>
    <xf numFmtId="0" fontId="121" fillId="0" borderId="0"/>
    <xf numFmtId="0" fontId="121" fillId="0" borderId="0"/>
    <xf numFmtId="0" fontId="12" fillId="0" borderId="0"/>
    <xf numFmtId="0" fontId="135" fillId="0" borderId="0"/>
    <xf numFmtId="0" fontId="139" fillId="0" borderId="0"/>
    <xf numFmtId="0" fontId="139" fillId="0" borderId="0"/>
    <xf numFmtId="0" fontId="24" fillId="0" borderId="0"/>
    <xf numFmtId="0" fontId="121" fillId="0" borderId="0"/>
    <xf numFmtId="0" fontId="121" fillId="0" borderId="0"/>
    <xf numFmtId="0" fontId="121" fillId="0" borderId="0"/>
    <xf numFmtId="0" fontId="12" fillId="0" borderId="0"/>
    <xf numFmtId="0" fontId="1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24" fillId="0" borderId="0"/>
    <xf numFmtId="0" fontId="121" fillId="0" borderId="0"/>
    <xf numFmtId="0" fontId="12"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187"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24" fillId="0" borderId="0"/>
    <xf numFmtId="188" fontId="53" fillId="0" borderId="0"/>
    <xf numFmtId="0" fontId="12" fillId="0" borderId="0"/>
    <xf numFmtId="0" fontId="24" fillId="0" borderId="0"/>
    <xf numFmtId="0" fontId="12" fillId="0" borderId="0"/>
    <xf numFmtId="187" fontId="53" fillId="0" borderId="0"/>
    <xf numFmtId="0" fontId="24" fillId="0" borderId="0"/>
    <xf numFmtId="0" fontId="12" fillId="0" borderId="0"/>
    <xf numFmtId="188" fontId="53" fillId="0" borderId="0"/>
    <xf numFmtId="0" fontId="121" fillId="0" borderId="0"/>
    <xf numFmtId="0" fontId="37" fillId="0" borderId="0"/>
    <xf numFmtId="0" fontId="12" fillId="0" borderId="0"/>
    <xf numFmtId="0" fontId="31" fillId="0" borderId="0"/>
    <xf numFmtId="0" fontId="37" fillId="11" borderId="6" applyNumberFormat="0" applyAlignment="0" applyProtection="0"/>
    <xf numFmtId="0" fontId="13" fillId="4" borderId="6" applyNumberFormat="0" applyAlignment="0" applyProtection="0"/>
    <xf numFmtId="187" fontId="53" fillId="13" borderId="6" applyAlignment="0" applyProtection="0"/>
    <xf numFmtId="187" fontId="53" fillId="13" borderId="6" applyAlignment="0" applyProtection="0"/>
    <xf numFmtId="0" fontId="13" fillId="4" borderId="6" applyNumberFormat="0" applyAlignment="0" applyProtection="0"/>
    <xf numFmtId="187" fontId="53" fillId="4" borderId="6" applyAlignment="0" applyProtection="0"/>
    <xf numFmtId="187" fontId="53" fillId="4" borderId="6" applyAlignment="0" applyProtection="0"/>
    <xf numFmtId="0" fontId="86" fillId="57" borderId="7" applyNumberFormat="0" applyFont="0" applyAlignment="0" applyProtection="0"/>
    <xf numFmtId="188" fontId="53" fillId="4" borderId="6" applyAlignment="0" applyProtection="0"/>
    <xf numFmtId="188" fontId="53" fillId="4" borderId="6" applyAlignment="0" applyProtection="0"/>
    <xf numFmtId="188" fontId="53" fillId="4" borderId="6" applyAlignment="0" applyProtection="0"/>
    <xf numFmtId="0" fontId="11" fillId="57" borderId="7" applyNumberFormat="0" applyFont="0" applyAlignment="0" applyProtection="0"/>
    <xf numFmtId="9" fontId="88"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37" fillId="0" borderId="0" applyFill="0" applyBorder="0" applyAlignment="0" applyProtection="0"/>
    <xf numFmtId="9" fontId="86" fillId="0" borderId="0" applyFont="0" applyFill="0" applyBorder="0" applyAlignment="0" applyProtection="0"/>
    <xf numFmtId="9" fontId="37" fillId="0" borderId="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24"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0" fontId="25" fillId="5" borderId="8" applyNumberFormat="0" applyAlignment="0" applyProtection="0"/>
    <xf numFmtId="0" fontId="25" fillId="22" borderId="8" applyNumberFormat="0" applyAlignment="0" applyProtection="0"/>
    <xf numFmtId="187" fontId="25" fillId="4" borderId="8" applyAlignment="0" applyProtection="0"/>
    <xf numFmtId="187" fontId="25" fillId="4" borderId="8" applyAlignment="0" applyProtection="0"/>
    <xf numFmtId="0" fontId="25" fillId="22" borderId="8" applyNumberFormat="0" applyAlignment="0" applyProtection="0"/>
    <xf numFmtId="187" fontId="25" fillId="5" borderId="8" applyAlignment="0" applyProtection="0"/>
    <xf numFmtId="187" fontId="25" fillId="5" borderId="8" applyAlignment="0" applyProtection="0"/>
    <xf numFmtId="0" fontId="140" fillId="35" borderId="42" applyNumberFormat="0" applyAlignment="0" applyProtection="0"/>
    <xf numFmtId="188" fontId="25" fillId="22" borderId="8" applyAlignment="0" applyProtection="0"/>
    <xf numFmtId="188" fontId="25" fillId="22" borderId="8" applyAlignment="0" applyProtection="0"/>
    <xf numFmtId="188" fontId="25" fillId="22" borderId="8" applyAlignment="0" applyProtection="0"/>
    <xf numFmtId="196" fontId="12" fillId="0" borderId="0" applyFill="0" applyBorder="0" applyProtection="0">
      <alignment horizontal="right" vertical="center" wrapText="1"/>
    </xf>
    <xf numFmtId="0" fontId="26" fillId="0" borderId="0" applyNumberFormat="0" applyFill="0" applyBorder="0" applyAlignment="0" applyProtection="0"/>
    <xf numFmtId="0" fontId="26" fillId="0" borderId="0" applyNumberFormat="0" applyFill="0" applyBorder="0" applyAlignment="0" applyProtection="0"/>
    <xf numFmtId="187" fontId="26" fillId="0" borderId="0" applyFill="0" applyBorder="0" applyAlignment="0" applyProtection="0"/>
    <xf numFmtId="0" fontId="26" fillId="0" borderId="0" applyNumberFormat="0" applyFill="0" applyBorder="0" applyAlignment="0" applyProtection="0"/>
    <xf numFmtId="188" fontId="26" fillId="0" borderId="0" applyFill="0" applyBorder="0" applyAlignment="0" applyProtection="0"/>
    <xf numFmtId="0" fontId="14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87" fontId="27" fillId="0" borderId="0" applyFill="0" applyBorder="0" applyAlignment="0" applyProtection="0"/>
    <xf numFmtId="0" fontId="27" fillId="0" borderId="0" applyNumberFormat="0" applyFill="0" applyBorder="0" applyAlignment="0" applyProtection="0"/>
    <xf numFmtId="188" fontId="27" fillId="0" borderId="0" applyFill="0" applyBorder="0" applyAlignment="0" applyProtection="0"/>
    <xf numFmtId="0" fontId="89" fillId="0" borderId="0" applyNumberFormat="0" applyFill="0" applyBorder="0" applyAlignment="0" applyProtection="0"/>
    <xf numFmtId="0" fontId="28" fillId="0" borderId="0" applyNumberFormat="0" applyFill="0" applyBorder="0" applyAlignment="0" applyProtection="0"/>
    <xf numFmtId="0" fontId="45" fillId="0" borderId="9" applyNumberFormat="0" applyFill="0" applyAlignment="0" applyProtection="0"/>
    <xf numFmtId="187" fontId="54" fillId="0" borderId="10" applyFill="0" applyAlignment="0" applyProtection="0"/>
    <xf numFmtId="0" fontId="45" fillId="0" borderId="9" applyNumberFormat="0" applyFill="0" applyAlignment="0" applyProtection="0"/>
    <xf numFmtId="188" fontId="45" fillId="0" borderId="9" applyFill="0" applyAlignment="0" applyProtection="0"/>
    <xf numFmtId="0" fontId="127" fillId="0" borderId="5" applyNumberFormat="0" applyFill="0" applyAlignment="0" applyProtection="0"/>
    <xf numFmtId="0" fontId="29" fillId="0" borderId="11" applyNumberFormat="0" applyFill="0" applyAlignment="0" applyProtection="0"/>
    <xf numFmtId="0" fontId="46" fillId="0" borderId="11" applyNumberFormat="0" applyFill="0" applyAlignment="0" applyProtection="0"/>
    <xf numFmtId="187" fontId="29" fillId="0" borderId="11" applyFill="0" applyAlignment="0" applyProtection="0"/>
    <xf numFmtId="0" fontId="46" fillId="0" borderId="11" applyNumberFormat="0" applyFill="0" applyAlignment="0" applyProtection="0"/>
    <xf numFmtId="188" fontId="46" fillId="0" borderId="11" applyFill="0" applyAlignment="0" applyProtection="0"/>
    <xf numFmtId="0" fontId="142" fillId="0" borderId="12" applyNumberFormat="0" applyFill="0" applyAlignment="0" applyProtection="0"/>
    <xf numFmtId="0" fontId="19" fillId="0" borderId="13" applyNumberFormat="0" applyFill="0" applyAlignment="0" applyProtection="0"/>
    <xf numFmtId="0" fontId="43" fillId="0" borderId="14" applyNumberFormat="0" applyFill="0" applyAlignment="0" applyProtection="0"/>
    <xf numFmtId="187" fontId="19" fillId="0" borderId="13" applyFill="0" applyAlignment="0" applyProtection="0"/>
    <xf numFmtId="0" fontId="43" fillId="0" borderId="14" applyNumberFormat="0" applyFill="0" applyAlignment="0" applyProtection="0"/>
    <xf numFmtId="188" fontId="43" fillId="0" borderId="14" applyFill="0" applyAlignment="0" applyProtection="0"/>
    <xf numFmtId="0" fontId="128" fillId="0" borderId="15" applyNumberFormat="0" applyFill="0" applyAlignment="0" applyProtection="0"/>
    <xf numFmtId="0" fontId="44" fillId="0" borderId="0" applyNumberFormat="0" applyFill="0" applyBorder="0" applyAlignment="0" applyProtection="0"/>
    <xf numFmtId="187" fontId="28" fillId="0" borderId="0" applyFill="0" applyBorder="0" applyAlignment="0" applyProtection="0"/>
    <xf numFmtId="0" fontId="44" fillId="0" borderId="0" applyNumberFormat="0" applyFill="0" applyBorder="0" applyAlignment="0" applyProtection="0"/>
    <xf numFmtId="188" fontId="44" fillId="0" borderId="0" applyFill="0" applyBorder="0" applyAlignment="0" applyProtection="0"/>
    <xf numFmtId="0" fontId="143" fillId="0" borderId="0" applyNumberFormat="0" applyFill="0" applyBorder="0" applyAlignment="0" applyProtection="0"/>
    <xf numFmtId="0" fontId="30" fillId="0" borderId="16" applyNumberFormat="0" applyFill="0" applyAlignment="0" applyProtection="0"/>
    <xf numFmtId="0" fontId="30" fillId="0" borderId="17" applyNumberFormat="0" applyFill="0" applyAlignment="0" applyProtection="0"/>
    <xf numFmtId="187" fontId="30" fillId="0" borderId="16" applyFill="0" applyAlignment="0" applyProtection="0"/>
    <xf numFmtId="187" fontId="30" fillId="0" borderId="16" applyFill="0" applyAlignment="0" applyProtection="0"/>
    <xf numFmtId="187" fontId="118" fillId="0" borderId="16" applyFill="0" applyAlignment="0" applyProtection="0"/>
    <xf numFmtId="187" fontId="118" fillId="0" borderId="16" applyFill="0" applyAlignment="0" applyProtection="0"/>
    <xf numFmtId="0" fontId="30" fillId="0" borderId="17" applyNumberFormat="0" applyFill="0" applyAlignment="0" applyProtection="0"/>
    <xf numFmtId="188" fontId="30" fillId="0" borderId="17" applyFill="0" applyAlignment="0" applyProtection="0"/>
    <xf numFmtId="188" fontId="30" fillId="0" borderId="17" applyFill="0" applyAlignment="0" applyProtection="0"/>
    <xf numFmtId="188" fontId="118" fillId="0" borderId="17" applyFill="0" applyAlignment="0" applyProtection="0"/>
    <xf numFmtId="188" fontId="118" fillId="0" borderId="17" applyFill="0" applyAlignment="0" applyProtection="0"/>
    <xf numFmtId="0" fontId="144" fillId="0" borderId="18" applyNumberFormat="0" applyFill="0" applyAlignment="0" applyProtection="0"/>
    <xf numFmtId="0" fontId="10" fillId="0" borderId="0"/>
    <xf numFmtId="0" fontId="153" fillId="0" borderId="0"/>
    <xf numFmtId="0" fontId="9" fillId="0" borderId="0"/>
    <xf numFmtId="0" fontId="164" fillId="0" borderId="0"/>
    <xf numFmtId="0" fontId="8" fillId="0" borderId="0"/>
    <xf numFmtId="0" fontId="7" fillId="0" borderId="0"/>
    <xf numFmtId="0" fontId="6" fillId="0" borderId="0"/>
    <xf numFmtId="0" fontId="22" fillId="51"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132" fillId="0" borderId="0" applyNumberFormat="0" applyFill="0" applyBorder="0" applyAlignment="0" applyProtection="0">
      <alignment vertical="top"/>
      <protection locked="0"/>
    </xf>
    <xf numFmtId="41" fontId="12" fillId="0" borderId="0" applyFont="0" applyFill="0" applyBorder="0" applyAlignment="0" applyProtection="0"/>
    <xf numFmtId="43" fontId="12" fillId="0" borderId="0" applyFont="0" applyFill="0" applyBorder="0" applyAlignment="0" applyProtection="0"/>
    <xf numFmtId="0" fontId="4" fillId="0" borderId="0"/>
    <xf numFmtId="41"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77" fillId="0" borderId="43" applyNumberFormat="0" applyFill="0" applyAlignment="0" applyProtection="0"/>
    <xf numFmtId="0" fontId="178" fillId="0" borderId="44" applyNumberFormat="0" applyFill="0" applyAlignment="0" applyProtection="0"/>
    <xf numFmtId="0" fontId="179" fillId="0" borderId="45" applyNumberFormat="0" applyFill="0" applyAlignment="0" applyProtection="0"/>
    <xf numFmtId="0" fontId="180" fillId="60" borderId="0" applyNumberFormat="0" applyBorder="0" applyAlignment="0" applyProtection="0"/>
    <xf numFmtId="0" fontId="181" fillId="55" borderId="0" applyNumberFormat="0" applyBorder="0" applyAlignment="0" applyProtection="0"/>
    <xf numFmtId="0" fontId="188" fillId="56" borderId="0" applyNumberFormat="0" applyBorder="0" applyAlignment="0" applyProtection="0"/>
    <xf numFmtId="0" fontId="182" fillId="61" borderId="46" applyNumberFormat="0" applyAlignment="0" applyProtection="0"/>
    <xf numFmtId="0" fontId="183" fillId="62" borderId="42" applyNumberFormat="0" applyAlignment="0" applyProtection="0"/>
    <xf numFmtId="0" fontId="184" fillId="62" borderId="46" applyNumberFormat="0" applyAlignment="0" applyProtection="0"/>
    <xf numFmtId="0" fontId="185" fillId="0" borderId="41" applyNumberFormat="0" applyFill="0" applyAlignment="0" applyProtection="0"/>
    <xf numFmtId="0" fontId="186" fillId="63" borderId="40" applyNumberFormat="0" applyAlignment="0" applyProtection="0"/>
    <xf numFmtId="0" fontId="175" fillId="0" borderId="0" applyNumberFormat="0" applyFill="0" applyBorder="0" applyAlignment="0" applyProtection="0"/>
    <xf numFmtId="0" fontId="187" fillId="0" borderId="0" applyNumberFormat="0" applyFill="0" applyBorder="0" applyAlignment="0" applyProtection="0"/>
    <xf numFmtId="0" fontId="173" fillId="0" borderId="48" applyNumberFormat="0" applyFill="0" applyAlignment="0" applyProtection="0"/>
    <xf numFmtId="0" fontId="171" fillId="64" borderId="0" applyNumberFormat="0" applyBorder="0" applyAlignment="0" applyProtection="0"/>
    <xf numFmtId="0" fontId="4" fillId="65" borderId="0" applyNumberFormat="0" applyBorder="0" applyAlignment="0" applyProtection="0"/>
    <xf numFmtId="0" fontId="174" fillId="0" borderId="0" applyNumberFormat="0" applyFill="0" applyBorder="0" applyAlignment="0" applyProtection="0"/>
    <xf numFmtId="0" fontId="171" fillId="67"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171" fillId="70" borderId="0" applyNumberFormat="0" applyBorder="0" applyAlignment="0" applyProtection="0"/>
    <xf numFmtId="0" fontId="171" fillId="71"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165" fontId="4" fillId="0" borderId="0" applyFont="0" applyFill="0" applyBorder="0" applyAlignment="0" applyProtection="0"/>
    <xf numFmtId="0" fontId="171" fillId="74" borderId="0" applyNumberFormat="0" applyBorder="0" applyAlignment="0" applyProtection="0"/>
    <xf numFmtId="0" fontId="171" fillId="75"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80" borderId="0" applyNumberFormat="0" applyBorder="0" applyAlignment="0" applyProtection="0"/>
    <xf numFmtId="0" fontId="4" fillId="81" borderId="0" applyNumberFormat="0" applyBorder="0" applyAlignment="0" applyProtection="0"/>
    <xf numFmtId="0" fontId="4" fillId="0" borderId="0"/>
    <xf numFmtId="0" fontId="171" fillId="82" borderId="0" applyNumberFormat="0" applyBorder="0" applyAlignment="0" applyProtection="0"/>
    <xf numFmtId="0" fontId="4" fillId="8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5" borderId="0" applyNumberFormat="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4" fillId="0" borderId="0" applyFont="0" applyFill="0" applyBorder="0" applyAlignment="0" applyProtection="0"/>
    <xf numFmtId="0" fontId="4" fillId="54" borderId="0" applyNumberFormat="0" applyBorder="0" applyAlignment="0" applyProtection="0"/>
    <xf numFmtId="0" fontId="171" fillId="66" borderId="0" applyNumberFormat="0" applyBorder="0" applyAlignment="0" applyProtection="0"/>
    <xf numFmtId="0" fontId="171" fillId="78" borderId="0" applyNumberFormat="0" applyBorder="0" applyAlignment="0" applyProtection="0"/>
    <xf numFmtId="167" fontId="4" fillId="0" borderId="0" applyFont="0" applyFill="0" applyBorder="0" applyAlignment="0" applyProtection="0"/>
    <xf numFmtId="0" fontId="171" fillId="83" borderId="0" applyNumberFormat="0" applyBorder="0" applyAlignment="0" applyProtection="0"/>
    <xf numFmtId="0" fontId="176" fillId="0" borderId="0"/>
    <xf numFmtId="0" fontId="171" fillId="86" borderId="0" applyNumberFormat="0" applyBorder="0" applyAlignment="0" applyProtection="0"/>
    <xf numFmtId="41"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0" fontId="179" fillId="0" borderId="0" applyNumberFormat="0" applyFill="0" applyBorder="0" applyAlignment="0" applyProtection="0"/>
    <xf numFmtId="0" fontId="4" fillId="57" borderId="47" applyNumberFormat="0" applyFont="0" applyAlignment="0" applyProtection="0"/>
    <xf numFmtId="167" fontId="4" fillId="0" borderId="0" applyFont="0" applyFill="0" applyBorder="0" applyAlignment="0" applyProtection="0"/>
    <xf numFmtId="0" fontId="171" fillId="79" borderId="0" applyNumberFormat="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189" fillId="0" borderId="0" applyNumberFormat="0" applyFill="0" applyBorder="0" applyAlignment="0" applyProtection="0"/>
    <xf numFmtId="9" fontId="4" fillId="0" borderId="0" applyFont="0" applyFill="0" applyBorder="0" applyAlignment="0" applyProtection="0"/>
    <xf numFmtId="0" fontId="176" fillId="0" borderId="0"/>
    <xf numFmtId="0" fontId="12" fillId="0" borderId="0"/>
    <xf numFmtId="0" fontId="12" fillId="0" borderId="0"/>
    <xf numFmtId="0" fontId="3" fillId="0" borderId="0"/>
    <xf numFmtId="41" fontId="3" fillId="0" borderId="0" applyFont="0" applyFill="0" applyBorder="0" applyAlignment="0" applyProtection="0"/>
    <xf numFmtId="0" fontId="2" fillId="0" borderId="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90" fillId="0" borderId="0"/>
    <xf numFmtId="41" fontId="1" fillId="0" borderId="0" applyFont="0" applyFill="0" applyBorder="0" applyAlignment="0" applyProtection="0"/>
    <xf numFmtId="0" fontId="1" fillId="0" borderId="0"/>
  </cellStyleXfs>
  <cellXfs count="1082">
    <xf numFmtId="0" fontId="0" fillId="0" borderId="0" xfId="0"/>
    <xf numFmtId="0" fontId="34" fillId="0" borderId="0" xfId="0" applyFont="1"/>
    <xf numFmtId="0" fontId="35" fillId="0" borderId="0" xfId="0" applyFont="1"/>
    <xf numFmtId="3" fontId="35" fillId="0" borderId="0" xfId="0" applyNumberFormat="1" applyFont="1"/>
    <xf numFmtId="0" fontId="34" fillId="0" borderId="0" xfId="0" applyFont="1" applyAlignment="1">
      <alignment horizontal="center"/>
    </xf>
    <xf numFmtId="173" fontId="34" fillId="0" borderId="0" xfId="0" applyNumberFormat="1" applyFont="1"/>
    <xf numFmtId="0" fontId="34" fillId="0" borderId="0" xfId="0" applyFont="1" applyAlignment="1">
      <alignment horizontal="left"/>
    </xf>
    <xf numFmtId="2" fontId="32" fillId="0" borderId="0" xfId="0" applyNumberFormat="1" applyFont="1"/>
    <xf numFmtId="0" fontId="24" fillId="0" borderId="0" xfId="0" applyFont="1" applyAlignment="1">
      <alignment vertical="center"/>
    </xf>
    <xf numFmtId="4" fontId="34" fillId="0" borderId="0" xfId="0" applyNumberFormat="1" applyFont="1"/>
    <xf numFmtId="37" fontId="34" fillId="0" borderId="0" xfId="0" applyNumberFormat="1" applyFont="1"/>
    <xf numFmtId="9" fontId="37" fillId="0" borderId="0" xfId="1900"/>
    <xf numFmtId="3" fontId="34" fillId="0" borderId="0" xfId="0" applyNumberFormat="1" applyFont="1"/>
    <xf numFmtId="9" fontId="32" fillId="0" borderId="0" xfId="1900" applyFont="1"/>
    <xf numFmtId="0" fontId="24" fillId="0" borderId="0" xfId="0" applyFont="1"/>
    <xf numFmtId="0" fontId="39" fillId="0" borderId="0" xfId="0" applyFont="1"/>
    <xf numFmtId="0" fontId="40" fillId="0" borderId="0" xfId="0" applyFont="1"/>
    <xf numFmtId="0" fontId="39" fillId="0" borderId="0" xfId="0" applyFont="1" applyAlignment="1">
      <alignment horizontal="center"/>
    </xf>
    <xf numFmtId="0" fontId="33" fillId="0" borderId="0" xfId="0" applyFont="1"/>
    <xf numFmtId="0" fontId="39" fillId="0" borderId="0" xfId="0" applyFont="1" applyAlignment="1">
      <alignment vertical="center"/>
    </xf>
    <xf numFmtId="0" fontId="90" fillId="0" borderId="0" xfId="0" applyFont="1"/>
    <xf numFmtId="0" fontId="91" fillId="0" borderId="0" xfId="0" applyFont="1"/>
    <xf numFmtId="0" fontId="12" fillId="0" borderId="0" xfId="0" applyFont="1"/>
    <xf numFmtId="3" fontId="39" fillId="0" borderId="0" xfId="0" applyNumberFormat="1" applyFont="1"/>
    <xf numFmtId="0" fontId="12" fillId="0" borderId="19" xfId="0" applyFont="1" applyBorder="1" applyAlignment="1">
      <alignment horizontal="left"/>
    </xf>
    <xf numFmtId="3" fontId="36" fillId="0" borderId="0" xfId="0" applyNumberFormat="1" applyFont="1"/>
    <xf numFmtId="4" fontId="12" fillId="0" borderId="0" xfId="0" applyNumberFormat="1" applyFont="1"/>
    <xf numFmtId="175" fontId="36" fillId="0" borderId="0" xfId="1900" applyNumberFormat="1" applyFont="1" applyAlignment="1">
      <alignment vertical="center"/>
    </xf>
    <xf numFmtId="0" fontId="12" fillId="0" borderId="0" xfId="0" quotePrefix="1" applyFont="1" applyAlignment="1">
      <alignment vertical="center"/>
    </xf>
    <xf numFmtId="0" fontId="34" fillId="0" borderId="0" xfId="0" applyFont="1" applyAlignment="1">
      <alignment vertical="center" wrapText="1"/>
    </xf>
    <xf numFmtId="183" fontId="34" fillId="0" borderId="0" xfId="0" applyNumberFormat="1" applyFont="1"/>
    <xf numFmtId="0" fontId="39" fillId="0" borderId="0" xfId="0" applyFont="1" applyAlignment="1">
      <alignment horizontal="center" vertical="center"/>
    </xf>
    <xf numFmtId="0" fontId="12" fillId="0" borderId="19" xfId="0" applyFont="1" applyBorder="1" applyAlignment="1">
      <alignment horizontal="center" wrapText="1"/>
    </xf>
    <xf numFmtId="0" fontId="12" fillId="0" borderId="19" xfId="1882" quotePrefix="1" applyFont="1" applyBorder="1" applyAlignment="1">
      <alignment vertical="center"/>
    </xf>
    <xf numFmtId="0" fontId="12" fillId="0" borderId="0" xfId="1882" applyFont="1" applyAlignment="1">
      <alignment vertical="center"/>
    </xf>
    <xf numFmtId="0" fontId="12" fillId="0" borderId="0" xfId="0" applyFont="1" applyAlignment="1">
      <alignment vertical="center" wrapText="1"/>
    </xf>
    <xf numFmtId="178" fontId="32" fillId="0" borderId="0" xfId="1152" applyFont="1" applyBorder="1"/>
    <xf numFmtId="3" fontId="32" fillId="0" borderId="0" xfId="0" applyNumberFormat="1" applyFont="1"/>
    <xf numFmtId="0" fontId="12" fillId="0" borderId="0" xfId="0" applyFont="1" applyAlignment="1">
      <alignment vertical="center"/>
    </xf>
    <xf numFmtId="190" fontId="12" fillId="0" borderId="0" xfId="0" applyNumberFormat="1" applyFont="1" applyAlignment="1">
      <alignment wrapText="1"/>
    </xf>
    <xf numFmtId="0" fontId="92" fillId="0" borderId="0" xfId="1224" applyFont="1" applyAlignment="1">
      <alignment vertical="center"/>
    </xf>
    <xf numFmtId="0" fontId="93" fillId="0" borderId="0" xfId="0" applyFont="1" applyAlignment="1">
      <alignment vertical="center"/>
    </xf>
    <xf numFmtId="0" fontId="12" fillId="0" borderId="21" xfId="0" applyFont="1" applyBorder="1" applyAlignment="1">
      <alignment horizontal="center" vertical="center"/>
    </xf>
    <xf numFmtId="189" fontId="12" fillId="0" borderId="19" xfId="1152" applyNumberFormat="1" applyFont="1" applyFill="1" applyBorder="1" applyAlignment="1">
      <alignment horizontal="center" vertical="center"/>
    </xf>
    <xf numFmtId="3" fontId="12" fillId="0" borderId="19" xfId="0" applyNumberFormat="1" applyFont="1" applyBorder="1" applyAlignment="1">
      <alignment horizontal="center"/>
    </xf>
    <xf numFmtId="0" fontId="12" fillId="0" borderId="19" xfId="0" applyFont="1" applyBorder="1"/>
    <xf numFmtId="0" fontId="12" fillId="0" borderId="22" xfId="0" applyFont="1" applyBorder="1" applyAlignment="1">
      <alignment wrapText="1"/>
    </xf>
    <xf numFmtId="0" fontId="34" fillId="0" borderId="0" xfId="0" applyFont="1" applyAlignment="1">
      <alignment vertical="center"/>
    </xf>
    <xf numFmtId="2" fontId="34" fillId="0" borderId="0" xfId="0" applyNumberFormat="1" applyFont="1" applyAlignment="1">
      <alignment vertical="center"/>
    </xf>
    <xf numFmtId="0" fontId="12" fillId="0" borderId="19" xfId="0" applyFont="1" applyBorder="1" applyAlignment="1">
      <alignment horizontal="center" vertical="center"/>
    </xf>
    <xf numFmtId="0" fontId="12" fillId="0" borderId="19" xfId="0" applyFont="1" applyBorder="1" applyAlignment="1">
      <alignment horizontal="center"/>
    </xf>
    <xf numFmtId="0" fontId="12" fillId="0" borderId="19" xfId="0" applyFont="1" applyBorder="1" applyAlignment="1">
      <alignment horizontal="left" vertical="center"/>
    </xf>
    <xf numFmtId="173" fontId="36" fillId="0" borderId="0" xfId="1900" applyNumberFormat="1" applyFont="1" applyAlignment="1">
      <alignment vertical="center"/>
    </xf>
    <xf numFmtId="173" fontId="12" fillId="0" borderId="0" xfId="1882" applyNumberFormat="1" applyFont="1" applyAlignment="1">
      <alignment vertical="center"/>
    </xf>
    <xf numFmtId="173" fontId="47" fillId="0" borderId="0" xfId="1900" applyNumberFormat="1" applyFont="1" applyBorder="1"/>
    <xf numFmtId="0" fontId="12" fillId="0" borderId="19" xfId="0" applyFont="1" applyBorder="1" applyAlignment="1">
      <alignment horizontal="left" wrapText="1"/>
    </xf>
    <xf numFmtId="2" fontId="36" fillId="0" borderId="0" xfId="1900" applyNumberFormat="1" applyFont="1" applyAlignment="1">
      <alignment vertical="center"/>
    </xf>
    <xf numFmtId="0" fontId="35" fillId="0" borderId="0" xfId="0" applyFont="1" applyAlignment="1">
      <alignment wrapText="1"/>
    </xf>
    <xf numFmtId="0" fontId="94" fillId="0" borderId="0" xfId="0" applyFont="1"/>
    <xf numFmtId="0" fontId="95" fillId="0" borderId="0" xfId="0" applyFont="1" applyAlignment="1">
      <alignment wrapText="1"/>
    </xf>
    <xf numFmtId="0" fontId="96" fillId="0" borderId="0" xfId="0" applyFont="1"/>
    <xf numFmtId="0" fontId="97" fillId="0" borderId="0" xfId="0" applyFont="1"/>
    <xf numFmtId="37" fontId="12" fillId="0" borderId="19" xfId="0" applyNumberFormat="1" applyFont="1" applyBorder="1" applyAlignment="1">
      <alignment horizontal="center" vertical="center"/>
    </xf>
    <xf numFmtId="175" fontId="36" fillId="0" borderId="19" xfId="1900" applyNumberFormat="1" applyFont="1" applyBorder="1" applyAlignment="1" applyProtection="1">
      <alignment horizontal="center" vertical="center"/>
    </xf>
    <xf numFmtId="184" fontId="12" fillId="0" borderId="19" xfId="0" applyNumberFormat="1" applyFont="1" applyBorder="1" applyAlignment="1">
      <alignment horizontal="center" vertical="center"/>
    </xf>
    <xf numFmtId="3" fontId="12" fillId="0" borderId="19" xfId="0" applyNumberFormat="1" applyFont="1" applyBorder="1" applyAlignment="1">
      <alignment horizontal="center" vertical="center"/>
    </xf>
    <xf numFmtId="180" fontId="37" fillId="0" borderId="0" xfId="1152" applyNumberFormat="1"/>
    <xf numFmtId="0" fontId="60" fillId="0" borderId="0" xfId="0" applyFont="1" applyAlignment="1">
      <alignment horizontal="justify" vertical="center" wrapText="1"/>
    </xf>
    <xf numFmtId="0" fontId="34" fillId="0" borderId="0" xfId="1882" applyFont="1"/>
    <xf numFmtId="175" fontId="12" fillId="0" borderId="0" xfId="0" applyNumberFormat="1" applyFont="1"/>
    <xf numFmtId="0" fontId="98" fillId="0" borderId="0" xfId="1136" applyFont="1" applyBorder="1" applyAlignment="1" applyProtection="1">
      <alignment horizontal="center" vertical="center"/>
    </xf>
    <xf numFmtId="0" fontId="95" fillId="0" borderId="0" xfId="0" applyFont="1" applyAlignment="1">
      <alignment horizontal="center" wrapText="1"/>
    </xf>
    <xf numFmtId="0" fontId="65" fillId="0" borderId="0" xfId="1265" applyFont="1" applyAlignment="1" applyProtection="1">
      <alignment horizontal="right" wrapText="1" readingOrder="1"/>
      <protection locked="0"/>
    </xf>
    <xf numFmtId="192" fontId="66" fillId="0" borderId="0" xfId="0" applyNumberFormat="1" applyFont="1" applyAlignment="1">
      <alignment vertical="top" wrapText="1"/>
    </xf>
    <xf numFmtId="174" fontId="12" fillId="0" borderId="19" xfId="0" applyNumberFormat="1" applyFont="1" applyBorder="1" applyAlignment="1">
      <alignment horizontal="center" vertical="center"/>
    </xf>
    <xf numFmtId="195" fontId="69" fillId="53" borderId="0" xfId="1267" applyNumberFormat="1" applyFont="1" applyFill="1" applyAlignment="1" applyProtection="1">
      <alignment horizontal="right" vertical="top" wrapText="1" readingOrder="1"/>
      <protection locked="0"/>
    </xf>
    <xf numFmtId="0" fontId="68" fillId="0" borderId="0" xfId="1267" applyFont="1" applyAlignment="1" applyProtection="1">
      <alignment horizontal="center" vertical="top" wrapText="1" readingOrder="1"/>
      <protection locked="0"/>
    </xf>
    <xf numFmtId="194" fontId="69" fillId="53" borderId="0" xfId="1267" applyNumberFormat="1" applyFont="1" applyFill="1" applyAlignment="1" applyProtection="1">
      <alignment horizontal="right" vertical="top" wrapText="1" readingOrder="1"/>
      <protection locked="0"/>
    </xf>
    <xf numFmtId="9" fontId="32" fillId="0" borderId="0" xfId="1900" applyFont="1" applyFill="1" applyBorder="1" applyAlignment="1">
      <alignment vertical="center"/>
    </xf>
    <xf numFmtId="194" fontId="69" fillId="0" borderId="0" xfId="1267" applyNumberFormat="1" applyFont="1" applyAlignment="1" applyProtection="1">
      <alignment horizontal="right" vertical="top" wrapText="1" readingOrder="1"/>
      <protection locked="0"/>
    </xf>
    <xf numFmtId="194" fontId="68" fillId="0" borderId="0" xfId="1267" applyNumberFormat="1" applyFont="1" applyAlignment="1" applyProtection="1">
      <alignment horizontal="right" vertical="top" wrapText="1" readingOrder="1"/>
      <protection locked="0"/>
    </xf>
    <xf numFmtId="195" fontId="69" fillId="0" borderId="0" xfId="1267" applyNumberFormat="1" applyFont="1" applyAlignment="1" applyProtection="1">
      <alignment horizontal="right" vertical="top" wrapText="1" readingOrder="1"/>
      <protection locked="0"/>
    </xf>
    <xf numFmtId="0" fontId="69" fillId="0" borderId="0" xfId="1267" applyFont="1" applyAlignment="1" applyProtection="1">
      <alignment vertical="top" wrapText="1" readingOrder="1"/>
      <protection locked="0"/>
    </xf>
    <xf numFmtId="195" fontId="68" fillId="0" borderId="0" xfId="1267" applyNumberFormat="1" applyFont="1" applyAlignment="1" applyProtection="1">
      <alignment horizontal="right" vertical="top" wrapText="1" readingOrder="1"/>
      <protection locked="0"/>
    </xf>
    <xf numFmtId="3" fontId="39" fillId="0" borderId="0" xfId="0" applyNumberFormat="1" applyFont="1" applyAlignment="1">
      <alignment vertical="center"/>
    </xf>
    <xf numFmtId="173" fontId="39" fillId="0" borderId="0" xfId="0" applyNumberFormat="1" applyFont="1" applyAlignment="1">
      <alignment vertical="center"/>
    </xf>
    <xf numFmtId="9" fontId="36" fillId="0" borderId="0" xfId="1900" applyFont="1" applyFill="1" applyBorder="1" applyAlignment="1">
      <alignment vertical="center"/>
    </xf>
    <xf numFmtId="0" fontId="99" fillId="0" borderId="0" xfId="0" applyFont="1"/>
    <xf numFmtId="173" fontId="99" fillId="0" borderId="0" xfId="0" applyNumberFormat="1" applyFont="1"/>
    <xf numFmtId="176" fontId="0" fillId="0" borderId="0" xfId="0" applyNumberFormat="1"/>
    <xf numFmtId="9" fontId="90" fillId="0" borderId="0" xfId="0" applyNumberFormat="1" applyFont="1"/>
    <xf numFmtId="197" fontId="12" fillId="0" borderId="0" xfId="0" applyNumberFormat="1" applyFont="1"/>
    <xf numFmtId="3" fontId="12" fillId="0" borderId="0" xfId="0" applyNumberFormat="1" applyFont="1"/>
    <xf numFmtId="0" fontId="37" fillId="0" borderId="0" xfId="1152" applyNumberFormat="1"/>
    <xf numFmtId="0" fontId="0" fillId="0" borderId="0" xfId="0" applyAlignment="1">
      <alignment wrapText="1"/>
    </xf>
    <xf numFmtId="3" fontId="12" fillId="0" borderId="0" xfId="1165" applyNumberFormat="1" applyFont="1" applyFill="1" applyBorder="1" applyAlignment="1">
      <alignment horizontal="center" vertical="center"/>
    </xf>
    <xf numFmtId="176" fontId="12" fillId="0" borderId="0" xfId="1165" applyNumberFormat="1" applyFont="1" applyFill="1" applyBorder="1" applyAlignment="1">
      <alignment horizontal="center" vertical="center"/>
    </xf>
    <xf numFmtId="0" fontId="39" fillId="0" borderId="0" xfId="0" applyFont="1" applyAlignment="1">
      <alignment horizontal="center" vertical="center" wrapText="1"/>
    </xf>
    <xf numFmtId="17" fontId="101" fillId="0" borderId="0" xfId="1225" applyNumberFormat="1" applyFont="1" applyAlignment="1">
      <alignment horizontal="left" vertical="center"/>
    </xf>
    <xf numFmtId="0" fontId="39" fillId="0" borderId="0" xfId="1225" applyFont="1" applyAlignment="1">
      <alignment vertical="center"/>
    </xf>
    <xf numFmtId="0" fontId="39" fillId="0" borderId="19" xfId="0" applyFont="1" applyBorder="1" applyAlignment="1">
      <alignment horizontal="center" vertical="center" wrapText="1"/>
    </xf>
    <xf numFmtId="0" fontId="90" fillId="0" borderId="0" xfId="0" applyFont="1" applyAlignment="1">
      <alignment wrapText="1"/>
    </xf>
    <xf numFmtId="4" fontId="90" fillId="0" borderId="0" xfId="0" applyNumberFormat="1" applyFont="1"/>
    <xf numFmtId="0" fontId="65" fillId="0" borderId="0" xfId="1241" applyFont="1" applyAlignment="1" applyProtection="1">
      <alignment horizontal="right" vertical="top" wrapText="1" readingOrder="1"/>
      <protection locked="0"/>
    </xf>
    <xf numFmtId="0" fontId="65" fillId="0" borderId="0" xfId="1241" applyFont="1" applyAlignment="1" applyProtection="1">
      <alignment vertical="top" wrapText="1" readingOrder="1"/>
      <protection locked="0"/>
    </xf>
    <xf numFmtId="0" fontId="12" fillId="0" borderId="0" xfId="1241" applyAlignment="1">
      <alignment wrapText="1" readingOrder="1"/>
    </xf>
    <xf numFmtId="0" fontId="12" fillId="0" borderId="0" xfId="1241" applyAlignment="1">
      <alignment wrapText="1"/>
    </xf>
    <xf numFmtId="199" fontId="90" fillId="0" borderId="0" xfId="0" applyNumberFormat="1" applyFont="1"/>
    <xf numFmtId="0" fontId="12" fillId="0" borderId="0" xfId="1232" applyAlignment="1">
      <alignment wrapText="1"/>
    </xf>
    <xf numFmtId="0" fontId="65" fillId="0" borderId="0" xfId="1232" applyFont="1" applyAlignment="1" applyProtection="1">
      <alignment horizontal="right" vertical="top" wrapText="1" readingOrder="1"/>
      <protection locked="0"/>
    </xf>
    <xf numFmtId="4" fontId="90" fillId="0" borderId="0" xfId="0" applyNumberFormat="1" applyFont="1" applyAlignment="1">
      <alignment wrapText="1"/>
    </xf>
    <xf numFmtId="197" fontId="90" fillId="0" borderId="0" xfId="0" applyNumberFormat="1" applyFont="1"/>
    <xf numFmtId="173" fontId="91" fillId="0" borderId="0" xfId="0" applyNumberFormat="1" applyFont="1"/>
    <xf numFmtId="3" fontId="91" fillId="0" borderId="0" xfId="0" applyNumberFormat="1" applyFont="1"/>
    <xf numFmtId="0" fontId="39" fillId="53" borderId="19" xfId="0" applyFont="1" applyFill="1" applyBorder="1" applyAlignment="1">
      <alignment horizontal="center" vertical="center" wrapText="1"/>
    </xf>
    <xf numFmtId="0" fontId="34" fillId="0" borderId="0" xfId="0" applyFont="1" applyAlignment="1">
      <alignment horizontal="left" vertical="top" wrapText="1"/>
    </xf>
    <xf numFmtId="9" fontId="12" fillId="0" borderId="0" xfId="0" applyNumberFormat="1" applyFont="1"/>
    <xf numFmtId="4" fontId="34" fillId="0" borderId="0" xfId="0" applyNumberFormat="1" applyFont="1" applyAlignment="1">
      <alignment horizontal="center"/>
    </xf>
    <xf numFmtId="2" fontId="96" fillId="0" borderId="0" xfId="0" applyNumberFormat="1" applyFont="1"/>
    <xf numFmtId="3" fontId="96" fillId="0" borderId="0" xfId="0" applyNumberFormat="1" applyFont="1"/>
    <xf numFmtId="3" fontId="102" fillId="0" borderId="0" xfId="0" applyNumberFormat="1" applyFont="1"/>
    <xf numFmtId="173" fontId="102" fillId="0" borderId="0" xfId="0" applyNumberFormat="1" applyFont="1"/>
    <xf numFmtId="9" fontId="0" fillId="0" borderId="0" xfId="0" applyNumberFormat="1"/>
    <xf numFmtId="4" fontId="0" fillId="0" borderId="0" xfId="0" applyNumberFormat="1"/>
    <xf numFmtId="0" fontId="39" fillId="0" borderId="19" xfId="0" applyFont="1" applyBorder="1" applyAlignment="1">
      <alignment horizontal="center" vertical="center"/>
    </xf>
    <xf numFmtId="179" fontId="39" fillId="0" borderId="19" xfId="1153" applyNumberFormat="1" applyFont="1" applyBorder="1" applyAlignment="1">
      <alignment horizontal="center" vertical="center" wrapText="1"/>
    </xf>
    <xf numFmtId="200" fontId="37" fillId="0" borderId="0" xfId="1153" applyNumberFormat="1" applyAlignment="1">
      <alignment vertical="center"/>
    </xf>
    <xf numFmtId="3" fontId="12" fillId="0" borderId="0" xfId="1153" applyNumberFormat="1" applyFont="1" applyFill="1" applyBorder="1" applyAlignment="1">
      <alignment vertical="center"/>
    </xf>
    <xf numFmtId="3" fontId="12" fillId="0" borderId="0" xfId="0" applyNumberFormat="1" applyFont="1" applyAlignment="1">
      <alignment vertical="center"/>
    </xf>
    <xf numFmtId="3" fontId="12" fillId="0" borderId="19" xfId="1153" applyNumberFormat="1" applyFont="1" applyFill="1" applyBorder="1" applyAlignment="1">
      <alignment horizontal="center" vertical="center"/>
    </xf>
    <xf numFmtId="0" fontId="12" fillId="0" borderId="19" xfId="0" applyFont="1" applyBorder="1" applyAlignment="1">
      <alignment vertical="center"/>
    </xf>
    <xf numFmtId="0" fontId="90" fillId="0" borderId="0" xfId="0" applyFont="1" applyAlignment="1">
      <alignment vertical="center"/>
    </xf>
    <xf numFmtId="0" fontId="94" fillId="0" borderId="0" xfId="0" applyFont="1" applyAlignment="1">
      <alignment vertical="center"/>
    </xf>
    <xf numFmtId="0" fontId="97" fillId="0" borderId="0" xfId="0" applyFont="1" applyAlignment="1">
      <alignment vertical="center"/>
    </xf>
    <xf numFmtId="176" fontId="12" fillId="0" borderId="0" xfId="0" applyNumberFormat="1" applyFont="1" applyAlignment="1">
      <alignment vertical="center"/>
    </xf>
    <xf numFmtId="173" fontId="12" fillId="0" borderId="0" xfId="0" applyNumberFormat="1" applyFont="1" applyAlignment="1">
      <alignment vertical="center"/>
    </xf>
    <xf numFmtId="0" fontId="103" fillId="0" borderId="0" xfId="0" applyFont="1"/>
    <xf numFmtId="3" fontId="12" fillId="0" borderId="19" xfId="0" applyNumberFormat="1" applyFont="1" applyBorder="1" applyAlignment="1">
      <alignment horizontal="center" vertical="center" wrapText="1"/>
    </xf>
    <xf numFmtId="0" fontId="34" fillId="0" borderId="23" xfId="0" applyFont="1" applyBorder="1" applyAlignment="1">
      <alignment wrapText="1"/>
    </xf>
    <xf numFmtId="189" fontId="12" fillId="0" borderId="19" xfId="1152" applyNumberFormat="1" applyFont="1" applyFill="1" applyBorder="1" applyAlignment="1">
      <alignment horizontal="left" vertical="center"/>
    </xf>
    <xf numFmtId="0" fontId="104" fillId="0" borderId="0" xfId="0" applyFont="1" applyAlignment="1">
      <alignment horizontal="left" wrapText="1"/>
    </xf>
    <xf numFmtId="4" fontId="103" fillId="0" borderId="0" xfId="0" applyNumberFormat="1" applyFont="1"/>
    <xf numFmtId="175" fontId="36" fillId="0" borderId="19" xfId="1900" applyNumberFormat="1" applyFont="1" applyFill="1" applyBorder="1" applyAlignment="1" applyProtection="1">
      <alignment horizontal="center" vertical="center"/>
    </xf>
    <xf numFmtId="185" fontId="90" fillId="0" borderId="0" xfId="0" applyNumberFormat="1" applyFont="1"/>
    <xf numFmtId="175" fontId="36" fillId="53" borderId="19" xfId="1900" applyNumberFormat="1" applyFont="1" applyFill="1" applyBorder="1" applyAlignment="1" applyProtection="1">
      <alignment horizontal="center" vertical="center"/>
    </xf>
    <xf numFmtId="0" fontId="91" fillId="0" borderId="0" xfId="0" applyFont="1" applyAlignment="1">
      <alignment horizontal="right"/>
    </xf>
    <xf numFmtId="0" fontId="34" fillId="0" borderId="0" xfId="0" applyFont="1" applyAlignment="1">
      <alignment vertical="top" wrapText="1"/>
    </xf>
    <xf numFmtId="0" fontId="39" fillId="53" borderId="19" xfId="0" applyFont="1" applyFill="1" applyBorder="1" applyAlignment="1">
      <alignment horizontal="center" vertical="center"/>
    </xf>
    <xf numFmtId="3" fontId="12" fillId="53" borderId="19" xfId="0" applyNumberFormat="1" applyFont="1" applyFill="1" applyBorder="1" applyAlignment="1">
      <alignment horizontal="center" vertical="center"/>
    </xf>
    <xf numFmtId="172" fontId="39" fillId="0" borderId="0" xfId="0" applyNumberFormat="1" applyFont="1" applyAlignment="1">
      <alignment horizontal="center" vertical="center"/>
    </xf>
    <xf numFmtId="3" fontId="12" fillId="0" borderId="0" xfId="0" applyNumberFormat="1" applyFont="1" applyAlignment="1">
      <alignment horizontal="center" vertical="center"/>
    </xf>
    <xf numFmtId="0" fontId="34" fillId="0" borderId="0" xfId="0" applyFont="1" applyAlignment="1">
      <alignment horizontal="left" vertical="center" wrapText="1"/>
    </xf>
    <xf numFmtId="201" fontId="34" fillId="0" borderId="0" xfId="0" applyNumberFormat="1" applyFont="1" applyAlignment="1">
      <alignment horizontal="center"/>
    </xf>
    <xf numFmtId="2" fontId="34" fillId="0" borderId="0" xfId="0" applyNumberFormat="1" applyFont="1" applyAlignment="1">
      <alignment horizontal="center"/>
    </xf>
    <xf numFmtId="2" fontId="34" fillId="0" borderId="0" xfId="0" applyNumberFormat="1" applyFont="1"/>
    <xf numFmtId="177" fontId="34" fillId="0" borderId="0" xfId="0" applyNumberFormat="1" applyFont="1"/>
    <xf numFmtId="175" fontId="32" fillId="0" borderId="0" xfId="1900" applyNumberFormat="1" applyFont="1"/>
    <xf numFmtId="0" fontId="39" fillId="0" borderId="19" xfId="0" applyFont="1" applyBorder="1" applyAlignment="1">
      <alignment horizontal="center" wrapText="1"/>
    </xf>
    <xf numFmtId="0" fontId="12" fillId="0" borderId="0" xfId="1238"/>
    <xf numFmtId="0" fontId="65" fillId="0" borderId="24" xfId="1238" applyFont="1" applyBorder="1" applyAlignment="1" applyProtection="1">
      <alignment horizontal="right" vertical="top" wrapText="1" readingOrder="1"/>
      <protection locked="0"/>
    </xf>
    <xf numFmtId="0" fontId="78" fillId="0" borderId="0" xfId="1238" applyFont="1" applyAlignment="1" applyProtection="1">
      <alignment horizontal="left" wrapText="1" readingOrder="1"/>
      <protection locked="0"/>
    </xf>
    <xf numFmtId="0" fontId="78" fillId="0" borderId="25" xfId="1238" applyFont="1" applyBorder="1" applyAlignment="1" applyProtection="1">
      <alignment horizontal="left" wrapText="1" readingOrder="1"/>
      <protection locked="0"/>
    </xf>
    <xf numFmtId="0" fontId="79" fillId="0" borderId="0" xfId="1238" applyFont="1" applyAlignment="1" applyProtection="1">
      <alignment horizontal="center" wrapText="1" readingOrder="2"/>
      <protection locked="0"/>
    </xf>
    <xf numFmtId="0" fontId="65" fillId="0" borderId="0" xfId="0" applyFont="1" applyAlignment="1" applyProtection="1">
      <alignment horizontal="right" vertical="top" wrapText="1" readingOrder="1"/>
      <protection locked="0"/>
    </xf>
    <xf numFmtId="0" fontId="65" fillId="0" borderId="0" xfId="0" applyFont="1" applyAlignment="1" applyProtection="1">
      <alignment vertical="top" wrapText="1" readingOrder="1"/>
      <protection locked="0"/>
    </xf>
    <xf numFmtId="0" fontId="65" fillId="0" borderId="25" xfId="1238" applyFont="1" applyBorder="1" applyAlignment="1" applyProtection="1">
      <alignment vertical="top" wrapText="1" readingOrder="1"/>
      <protection locked="0"/>
    </xf>
    <xf numFmtId="0" fontId="65" fillId="0" borderId="0" xfId="1238" applyFont="1" applyAlignment="1" applyProtection="1">
      <alignment horizontal="right" vertical="top" wrapText="1" readingOrder="1"/>
      <protection locked="0"/>
    </xf>
    <xf numFmtId="0" fontId="65" fillId="0" borderId="0" xfId="1263" applyFont="1" applyAlignment="1" applyProtection="1">
      <alignment horizontal="right" vertical="top" wrapText="1" readingOrder="1"/>
      <protection locked="0"/>
    </xf>
    <xf numFmtId="0" fontId="65" fillId="0" borderId="0" xfId="1263" applyFont="1" applyAlignment="1" applyProtection="1">
      <alignment vertical="top" wrapText="1" readingOrder="1"/>
      <protection locked="0"/>
    </xf>
    <xf numFmtId="0" fontId="12" fillId="0" borderId="0" xfId="1263" applyAlignment="1">
      <alignment wrapText="1"/>
    </xf>
    <xf numFmtId="0" fontId="12" fillId="53" borderId="0" xfId="0" applyFont="1" applyFill="1"/>
    <xf numFmtId="0" fontId="12" fillId="0" borderId="0" xfId="1238" applyAlignment="1">
      <alignment wrapText="1"/>
    </xf>
    <xf numFmtId="4" fontId="91" fillId="0" borderId="0" xfId="0" applyNumberFormat="1" applyFont="1"/>
    <xf numFmtId="0" fontId="65" fillId="0" borderId="0" xfId="1238" applyFont="1" applyAlignment="1" applyProtection="1">
      <alignment horizontal="left" vertical="top" wrapText="1" readingOrder="1"/>
      <protection locked="0"/>
    </xf>
    <xf numFmtId="0" fontId="79" fillId="0" borderId="26" xfId="1238" applyFont="1" applyBorder="1" applyAlignment="1" applyProtection="1">
      <alignment vertical="top" wrapText="1" readingOrder="1"/>
      <protection locked="0"/>
    </xf>
    <xf numFmtId="0" fontId="79" fillId="0" borderId="27" xfId="1238" applyFont="1" applyBorder="1" applyAlignment="1" applyProtection="1">
      <alignment vertical="top" wrapText="1" readingOrder="1"/>
      <protection locked="0"/>
    </xf>
    <xf numFmtId="0" fontId="79" fillId="0" borderId="26" xfId="1238" applyFont="1" applyBorder="1" applyAlignment="1" applyProtection="1">
      <alignment horizontal="right" vertical="top" wrapText="1" readingOrder="1"/>
      <protection locked="0"/>
    </xf>
    <xf numFmtId="1" fontId="39" fillId="0" borderId="0" xfId="0" applyNumberFormat="1" applyFont="1"/>
    <xf numFmtId="9" fontId="39" fillId="0" borderId="0" xfId="0" applyNumberFormat="1" applyFont="1"/>
    <xf numFmtId="0" fontId="33" fillId="0" borderId="0" xfId="0" applyFont="1" applyAlignment="1">
      <alignment horizontal="center"/>
    </xf>
    <xf numFmtId="3" fontId="33" fillId="0" borderId="0" xfId="0" applyNumberFormat="1" applyFont="1"/>
    <xf numFmtId="173" fontId="33" fillId="0" borderId="0" xfId="0" applyNumberFormat="1" applyFont="1"/>
    <xf numFmtId="9" fontId="39" fillId="0" borderId="0" xfId="0" applyNumberFormat="1" applyFont="1" applyAlignment="1">
      <alignment vertical="center"/>
    </xf>
    <xf numFmtId="168" fontId="39" fillId="0" borderId="0" xfId="0" applyNumberFormat="1" applyFont="1" applyAlignment="1">
      <alignment vertical="center"/>
    </xf>
    <xf numFmtId="194" fontId="69" fillId="0" borderId="0" xfId="1241" applyNumberFormat="1" applyFont="1" applyAlignment="1" applyProtection="1">
      <alignment horizontal="right" vertical="top" wrapText="1" readingOrder="1"/>
      <protection locked="0"/>
    </xf>
    <xf numFmtId="195" fontId="69" fillId="0" borderId="0" xfId="1278" applyNumberFormat="1" applyFont="1" applyAlignment="1" applyProtection="1">
      <alignment horizontal="right" vertical="top" wrapText="1" readingOrder="1"/>
      <protection locked="0"/>
    </xf>
    <xf numFmtId="195" fontId="69" fillId="0" borderId="0" xfId="1241" applyNumberFormat="1" applyFont="1" applyAlignment="1" applyProtection="1">
      <alignment horizontal="right" vertical="top" wrapText="1" readingOrder="1"/>
      <protection locked="0"/>
    </xf>
    <xf numFmtId="0" fontId="39" fillId="0" borderId="21" xfId="0" applyFont="1" applyBorder="1" applyAlignment="1">
      <alignment horizontal="center" vertical="center" wrapText="1"/>
    </xf>
    <xf numFmtId="0" fontId="39" fillId="0" borderId="28" xfId="0" applyFont="1" applyBorder="1" applyAlignment="1">
      <alignment horizontal="center" vertical="center" wrapText="1"/>
    </xf>
    <xf numFmtId="37" fontId="12" fillId="0" borderId="19" xfId="0" applyNumberFormat="1" applyFont="1" applyBorder="1" applyAlignment="1">
      <alignment horizontal="center"/>
    </xf>
    <xf numFmtId="200" fontId="12" fillId="0" borderId="19" xfId="0" applyNumberFormat="1" applyFont="1" applyBorder="1" applyAlignment="1">
      <alignment horizontal="center"/>
    </xf>
    <xf numFmtId="173" fontId="36" fillId="0" borderId="19" xfId="1900" applyNumberFormat="1" applyFont="1" applyBorder="1" applyAlignment="1" applyProtection="1">
      <alignment horizontal="center"/>
    </xf>
    <xf numFmtId="0" fontId="34" fillId="0" borderId="0" xfId="0" applyFont="1" applyAlignment="1">
      <alignment horizontal="right"/>
    </xf>
    <xf numFmtId="175" fontId="36" fillId="0" borderId="0" xfId="1900" applyNumberFormat="1" applyFont="1"/>
    <xf numFmtId="0" fontId="39" fillId="0" borderId="19" xfId="0" applyFont="1" applyBorder="1" applyAlignment="1">
      <alignment horizontal="center"/>
    </xf>
    <xf numFmtId="0" fontId="105" fillId="0" borderId="0" xfId="1152" applyNumberFormat="1" applyFont="1"/>
    <xf numFmtId="1" fontId="47" fillId="0" borderId="0" xfId="1900" applyNumberFormat="1" applyFont="1"/>
    <xf numFmtId="0" fontId="39" fillId="0" borderId="19" xfId="0" applyFont="1" applyBorder="1" applyAlignment="1">
      <alignment horizontal="left"/>
    </xf>
    <xf numFmtId="180" fontId="12" fillId="0" borderId="0" xfId="0" applyNumberFormat="1" applyFont="1"/>
    <xf numFmtId="178" fontId="12" fillId="0" borderId="0" xfId="0" applyNumberFormat="1" applyFont="1"/>
    <xf numFmtId="167" fontId="12" fillId="0" borderId="0" xfId="0" applyNumberFormat="1" applyFont="1"/>
    <xf numFmtId="165" fontId="12" fillId="0" borderId="0" xfId="0" applyNumberFormat="1" applyFont="1"/>
    <xf numFmtId="0" fontId="87" fillId="0" borderId="0" xfId="1136" applyFont="1"/>
    <xf numFmtId="9" fontId="12" fillId="0" borderId="19" xfId="0" applyNumberFormat="1" applyFont="1" applyBorder="1" applyAlignment="1">
      <alignment horizontal="center" vertical="center"/>
    </xf>
    <xf numFmtId="175" fontId="47" fillId="0" borderId="0" xfId="1900" applyNumberFormat="1" applyFont="1"/>
    <xf numFmtId="180" fontId="36" fillId="0" borderId="0" xfId="1152" applyNumberFormat="1" applyFont="1" applyFill="1" applyBorder="1" applyAlignment="1">
      <alignment horizontal="center" vertical="center"/>
    </xf>
    <xf numFmtId="0" fontId="105" fillId="0" borderId="0" xfId="1152" applyNumberFormat="1" applyFont="1" applyFill="1"/>
    <xf numFmtId="1" fontId="32" fillId="0" borderId="0" xfId="1900" applyNumberFormat="1" applyFont="1" applyFill="1"/>
    <xf numFmtId="0" fontId="106" fillId="0" borderId="0" xfId="1226" applyFont="1"/>
    <xf numFmtId="0" fontId="107" fillId="0" borderId="0" xfId="1226" applyFont="1"/>
    <xf numFmtId="0" fontId="101" fillId="0" borderId="0" xfId="1226" applyFont="1" applyAlignment="1">
      <alignment horizontal="center"/>
    </xf>
    <xf numFmtId="17" fontId="101" fillId="0" borderId="0" xfId="1226" quotePrefix="1" applyNumberFormat="1" applyFont="1" applyAlignment="1">
      <alignment horizontal="center"/>
    </xf>
    <xf numFmtId="0" fontId="108" fillId="0" borderId="0" xfId="1226" applyFont="1" applyAlignment="1">
      <alignment horizontal="left" indent="15"/>
    </xf>
    <xf numFmtId="0" fontId="109" fillId="0" borderId="0" xfId="1226" applyFont="1" applyAlignment="1">
      <alignment horizontal="center"/>
    </xf>
    <xf numFmtId="0" fontId="110" fillId="0" borderId="0" xfId="1226" applyFont="1"/>
    <xf numFmtId="0" fontId="106" fillId="0" borderId="0" xfId="1226" quotePrefix="1" applyFont="1"/>
    <xf numFmtId="0" fontId="111" fillId="0" borderId="0" xfId="1226" applyFont="1"/>
    <xf numFmtId="0" fontId="112" fillId="0" borderId="0" xfId="1226" applyFont="1"/>
    <xf numFmtId="0" fontId="113" fillId="0" borderId="0" xfId="1226" applyFont="1"/>
    <xf numFmtId="0" fontId="111" fillId="0" borderId="0" xfId="1226" quotePrefix="1" applyFont="1"/>
    <xf numFmtId="0" fontId="114" fillId="0" borderId="0" xfId="1226" applyFont="1"/>
    <xf numFmtId="49" fontId="36" fillId="0" borderId="19" xfId="1152" applyNumberFormat="1" applyFont="1" applyBorder="1" applyAlignment="1">
      <alignment horizontal="center" vertical="center"/>
    </xf>
    <xf numFmtId="185" fontId="39" fillId="0" borderId="0" xfId="0" applyNumberFormat="1" applyFont="1"/>
    <xf numFmtId="1" fontId="36" fillId="0" borderId="19" xfId="1152" applyNumberFormat="1" applyFont="1" applyBorder="1" applyAlignment="1">
      <alignment horizontal="center" vertical="center"/>
    </xf>
    <xf numFmtId="9" fontId="32" fillId="0" borderId="0" xfId="1900" applyFont="1" applyFill="1"/>
    <xf numFmtId="175" fontId="37" fillId="0" borderId="0" xfId="1900" applyNumberFormat="1"/>
    <xf numFmtId="0" fontId="12" fillId="0" borderId="19" xfId="0" applyFont="1" applyBorder="1" applyAlignment="1">
      <alignment wrapText="1"/>
    </xf>
    <xf numFmtId="10" fontId="12" fillId="0" borderId="0" xfId="0" applyNumberFormat="1" applyFont="1"/>
    <xf numFmtId="0" fontId="93" fillId="0" borderId="0" xfId="0" applyFont="1"/>
    <xf numFmtId="0" fontId="12" fillId="0" borderId="0" xfId="1884" applyFont="1" applyAlignment="1">
      <alignment horizontal="center" vertical="center"/>
    </xf>
    <xf numFmtId="0" fontId="36" fillId="0" borderId="0" xfId="0" applyFont="1" applyAlignment="1">
      <alignment vertical="center"/>
    </xf>
    <xf numFmtId="0" fontId="92" fillId="0" borderId="0" xfId="1225" applyFont="1" applyAlignment="1">
      <alignment vertical="center"/>
    </xf>
    <xf numFmtId="0" fontId="39" fillId="0" borderId="20" xfId="1884" applyFont="1" applyBorder="1" applyAlignment="1">
      <alignment horizontal="left" vertical="center"/>
    </xf>
    <xf numFmtId="0" fontId="39" fillId="0" borderId="20" xfId="1884" applyFont="1" applyBorder="1" applyAlignment="1">
      <alignment vertical="center"/>
    </xf>
    <xf numFmtId="0" fontId="39" fillId="0" borderId="20" xfId="1884" applyFont="1" applyBorder="1" applyAlignment="1">
      <alignment horizontal="center" vertical="center"/>
    </xf>
    <xf numFmtId="0" fontId="12" fillId="0" borderId="0" xfId="1884" applyFont="1" applyAlignment="1">
      <alignment vertical="center"/>
    </xf>
    <xf numFmtId="0" fontId="12" fillId="0" borderId="0" xfId="1884" applyFont="1" applyAlignment="1">
      <alignment vertical="top"/>
    </xf>
    <xf numFmtId="0" fontId="39" fillId="0" borderId="20" xfId="1884" applyFont="1" applyBorder="1" applyAlignment="1">
      <alignment vertical="top"/>
    </xf>
    <xf numFmtId="0" fontId="84" fillId="0" borderId="0" xfId="1225" applyFont="1" applyAlignment="1">
      <alignment vertical="center"/>
    </xf>
    <xf numFmtId="0" fontId="115" fillId="0" borderId="0" xfId="1225" applyFont="1" applyAlignment="1">
      <alignment vertical="center"/>
    </xf>
    <xf numFmtId="0" fontId="12" fillId="0" borderId="0" xfId="1884" applyFont="1" applyAlignment="1">
      <alignment horizontal="left" vertical="center"/>
    </xf>
    <xf numFmtId="0" fontId="36" fillId="0" borderId="0" xfId="0" applyFont="1" applyAlignment="1">
      <alignment horizontal="center" vertical="center"/>
    </xf>
    <xf numFmtId="0" fontId="39" fillId="0" borderId="0" xfId="1884" applyFont="1" applyAlignment="1">
      <alignment horizontal="center" vertical="center"/>
    </xf>
    <xf numFmtId="0" fontId="12" fillId="0" borderId="0" xfId="1884" applyFont="1" applyAlignment="1">
      <alignment horizontal="left" vertical="top"/>
    </xf>
    <xf numFmtId="0" fontId="12" fillId="0" borderId="0" xfId="1884" applyFont="1" applyAlignment="1">
      <alignment horizontal="center" vertical="top"/>
    </xf>
    <xf numFmtId="177" fontId="36" fillId="0" borderId="19" xfId="1153" applyFont="1" applyBorder="1" applyAlignment="1" applyProtection="1">
      <alignment horizontal="center" vertical="center"/>
    </xf>
    <xf numFmtId="0" fontId="39" fillId="0" borderId="0" xfId="1884" applyFont="1" applyAlignment="1">
      <alignment horizontal="left" vertical="center"/>
    </xf>
    <xf numFmtId="37" fontId="12" fillId="53" borderId="19" xfId="0" applyNumberFormat="1" applyFont="1" applyFill="1" applyBorder="1" applyAlignment="1">
      <alignment horizontal="center" vertical="center"/>
    </xf>
    <xf numFmtId="184" fontId="12" fillId="53" borderId="19" xfId="0" applyNumberFormat="1" applyFont="1" applyFill="1" applyBorder="1" applyAlignment="1">
      <alignment horizontal="center" vertical="center"/>
    </xf>
    <xf numFmtId="0" fontId="12" fillId="53" borderId="19" xfId="0" applyFont="1" applyFill="1" applyBorder="1" applyAlignment="1">
      <alignment horizontal="left" vertical="center" wrapText="1"/>
    </xf>
    <xf numFmtId="0" fontId="12" fillId="53" borderId="19" xfId="0" applyFont="1" applyFill="1" applyBorder="1" applyAlignment="1">
      <alignment horizontal="left" vertical="center"/>
    </xf>
    <xf numFmtId="0" fontId="102" fillId="0" borderId="0" xfId="0" applyFont="1"/>
    <xf numFmtId="204" fontId="12" fillId="0" borderId="19" xfId="0" applyNumberFormat="1" applyFont="1" applyBorder="1" applyAlignment="1">
      <alignment horizontal="center" vertical="center"/>
    </xf>
    <xf numFmtId="204" fontId="12" fillId="0" borderId="19" xfId="0" applyNumberFormat="1" applyFont="1" applyBorder="1" applyAlignment="1">
      <alignment horizontal="center"/>
    </xf>
    <xf numFmtId="0" fontId="34" fillId="0" borderId="0" xfId="0" applyFont="1" applyAlignment="1">
      <alignment horizontal="center" wrapText="1"/>
    </xf>
    <xf numFmtId="0" fontId="77" fillId="0" borderId="0" xfId="1238" applyFont="1" applyAlignment="1" applyProtection="1">
      <alignment horizontal="left" vertical="center" wrapText="1" readingOrder="1"/>
      <protection locked="0"/>
    </xf>
    <xf numFmtId="0" fontId="65" fillId="0" borderId="0" xfId="1238" applyFont="1" applyAlignment="1" applyProtection="1">
      <alignment vertical="top" wrapText="1" readingOrder="1"/>
      <protection locked="0"/>
    </xf>
    <xf numFmtId="10" fontId="39" fillId="0" borderId="0" xfId="0" applyNumberFormat="1" applyFont="1"/>
    <xf numFmtId="0" fontId="39" fillId="0" borderId="19" xfId="1882" applyFont="1" applyBorder="1" applyAlignment="1">
      <alignment horizontal="center" vertical="center"/>
    </xf>
    <xf numFmtId="179" fontId="39" fillId="0" borderId="19" xfId="1165" applyNumberFormat="1" applyFont="1" applyBorder="1" applyAlignment="1">
      <alignment horizontal="center" vertical="center" wrapText="1"/>
    </xf>
    <xf numFmtId="177" fontId="0" fillId="0" borderId="0" xfId="0" applyNumberFormat="1"/>
    <xf numFmtId="3" fontId="12" fillId="0" borderId="0" xfId="0" quotePrefix="1" applyNumberFormat="1" applyFont="1" applyAlignment="1">
      <alignment vertical="center"/>
    </xf>
    <xf numFmtId="194" fontId="69" fillId="0" borderId="0" xfId="1233" applyNumberFormat="1" applyFont="1" applyAlignment="1" applyProtection="1">
      <alignment horizontal="right" vertical="top" wrapText="1" readingOrder="1"/>
      <protection locked="0"/>
    </xf>
    <xf numFmtId="197" fontId="12" fillId="0" borderId="0" xfId="0" applyNumberFormat="1" applyFont="1" applyAlignment="1">
      <alignment vertical="center"/>
    </xf>
    <xf numFmtId="175" fontId="37" fillId="0" borderId="0" xfId="1900" applyNumberFormat="1" applyFill="1" applyBorder="1" applyAlignment="1" applyProtection="1">
      <alignment horizontal="right" vertical="top" wrapText="1" readingOrder="1"/>
      <protection locked="0"/>
    </xf>
    <xf numFmtId="175" fontId="37" fillId="0" borderId="0" xfId="1900" applyNumberFormat="1" applyAlignment="1">
      <alignment vertical="center"/>
    </xf>
    <xf numFmtId="1" fontId="37" fillId="0" borderId="0" xfId="1900" quotePrefix="1" applyNumberFormat="1" applyFill="1" applyBorder="1" applyAlignment="1">
      <alignment vertical="center"/>
    </xf>
    <xf numFmtId="9" fontId="37" fillId="0" borderId="0" xfId="1900" applyFill="1" applyBorder="1" applyAlignment="1">
      <alignment vertical="center"/>
    </xf>
    <xf numFmtId="0" fontId="12" fillId="0" borderId="0" xfId="1246" applyAlignment="1">
      <alignment wrapText="1"/>
    </xf>
    <xf numFmtId="0" fontId="57" fillId="0" borderId="19" xfId="0" applyFont="1" applyBorder="1" applyAlignment="1">
      <alignment vertical="top" wrapText="1"/>
    </xf>
    <xf numFmtId="3" fontId="12" fillId="0" borderId="19" xfId="1152" applyNumberFormat="1" applyFont="1" applyFill="1" applyBorder="1" applyAlignment="1">
      <alignment horizontal="center" vertical="center"/>
    </xf>
    <xf numFmtId="0" fontId="33" fillId="0" borderId="19" xfId="0" applyFont="1" applyBorder="1" applyAlignment="1">
      <alignment horizontal="center" vertical="center" wrapText="1"/>
    </xf>
    <xf numFmtId="0" fontId="120" fillId="0" borderId="0" xfId="0" applyFont="1"/>
    <xf numFmtId="0" fontId="71" fillId="0" borderId="19" xfId="0" applyFont="1" applyBorder="1" applyAlignment="1">
      <alignment horizontal="center" vertical="center" wrapText="1"/>
    </xf>
    <xf numFmtId="1" fontId="34" fillId="0" borderId="0" xfId="0" applyNumberFormat="1" applyFont="1"/>
    <xf numFmtId="0" fontId="145" fillId="0" borderId="0" xfId="0" applyFont="1"/>
    <xf numFmtId="0" fontId="12" fillId="0" borderId="30" xfId="0" applyFont="1" applyBorder="1" applyAlignment="1">
      <alignment horizontal="center" vertical="center"/>
    </xf>
    <xf numFmtId="9" fontId="37" fillId="0" borderId="0" xfId="1900" applyAlignment="1">
      <alignment vertical="center"/>
    </xf>
    <xf numFmtId="0" fontId="34" fillId="0" borderId="29" xfId="0" applyFont="1" applyBorder="1" applyAlignment="1">
      <alignment vertical="center" wrapText="1"/>
    </xf>
    <xf numFmtId="0" fontId="57" fillId="0" borderId="19" xfId="0" applyFont="1" applyBorder="1" applyAlignment="1">
      <alignment horizontal="left" vertical="center" wrapText="1"/>
    </xf>
    <xf numFmtId="3" fontId="36" fillId="0" borderId="19" xfId="0" applyNumberFormat="1" applyFont="1" applyBorder="1" applyAlignment="1">
      <alignment horizontal="center"/>
    </xf>
    <xf numFmtId="0" fontId="57" fillId="0" borderId="19" xfId="0" applyFont="1" applyBorder="1" applyAlignment="1">
      <alignment horizontal="center"/>
    </xf>
    <xf numFmtId="0" fontId="149" fillId="0" borderId="0" xfId="0" applyFont="1"/>
    <xf numFmtId="1" fontId="39" fillId="0" borderId="19" xfId="1152" applyNumberFormat="1" applyFont="1" applyFill="1" applyBorder="1" applyAlignment="1">
      <alignment horizontal="center" vertical="center"/>
    </xf>
    <xf numFmtId="17" fontId="34" fillId="0" borderId="0" xfId="0" applyNumberFormat="1" applyFont="1" applyAlignment="1">
      <alignment horizontal="center"/>
    </xf>
    <xf numFmtId="1" fontId="151" fillId="0" borderId="19" xfId="0" applyNumberFormat="1" applyFont="1" applyBorder="1" applyAlignment="1">
      <alignment horizontal="center"/>
    </xf>
    <xf numFmtId="49" fontId="39" fillId="0" borderId="19" xfId="0" applyNumberFormat="1" applyFont="1" applyBorder="1" applyAlignment="1">
      <alignment horizontal="center" vertical="center" wrapText="1"/>
    </xf>
    <xf numFmtId="200" fontId="146" fillId="0" borderId="19" xfId="1152" applyNumberFormat="1" applyFont="1" applyFill="1" applyBorder="1" applyAlignment="1">
      <alignment horizontal="center" vertical="center"/>
    </xf>
    <xf numFmtId="0" fontId="57" fillId="58" borderId="19" xfId="0" applyFont="1" applyFill="1" applyBorder="1" applyAlignment="1">
      <alignment horizontal="left"/>
    </xf>
    <xf numFmtId="3" fontId="12" fillId="53" borderId="19" xfId="0" applyNumberFormat="1" applyFont="1" applyFill="1" applyBorder="1" applyAlignment="1">
      <alignment horizontal="center" vertical="center" wrapText="1"/>
    </xf>
    <xf numFmtId="0" fontId="12" fillId="0" borderId="33" xfId="0" applyFont="1" applyBorder="1" applyAlignment="1">
      <alignment vertical="center"/>
    </xf>
    <xf numFmtId="0" fontId="34" fillId="0" borderId="0" xfId="1882" applyFont="1" applyAlignment="1">
      <alignment vertical="center" wrapText="1"/>
    </xf>
    <xf numFmtId="0" fontId="12" fillId="0" borderId="33" xfId="0" quotePrefix="1" applyFont="1" applyBorder="1" applyAlignment="1">
      <alignment vertical="center"/>
    </xf>
    <xf numFmtId="0" fontId="69" fillId="0" borderId="0" xfId="0" applyFont="1" applyAlignment="1" applyProtection="1">
      <alignment horizontal="right" vertical="top" wrapText="1" readingOrder="1"/>
      <protection locked="0"/>
    </xf>
    <xf numFmtId="0" fontId="12" fillId="0" borderId="0" xfId="0" applyFont="1" applyAlignment="1">
      <alignment horizontal="right" vertical="center"/>
    </xf>
    <xf numFmtId="3" fontId="12" fillId="0" borderId="19" xfId="0" quotePrefix="1" applyNumberFormat="1" applyFont="1" applyBorder="1" applyAlignment="1">
      <alignment horizontal="right" vertical="center" indent="2"/>
    </xf>
    <xf numFmtId="179" fontId="12" fillId="0" borderId="19" xfId="1153" applyNumberFormat="1" applyFont="1" applyBorder="1" applyAlignment="1">
      <alignment horizontal="right" vertical="center" wrapText="1" indent="3"/>
    </xf>
    <xf numFmtId="3" fontId="12" fillId="0" borderId="19" xfId="1165" applyNumberFormat="1" applyFont="1" applyFill="1" applyBorder="1" applyAlignment="1">
      <alignment horizontal="right" vertical="center" indent="2"/>
    </xf>
    <xf numFmtId="176" fontId="12" fillId="0" borderId="19" xfId="1165" applyNumberFormat="1" applyFont="1" applyFill="1" applyBorder="1" applyAlignment="1">
      <alignment horizontal="right" vertical="center" indent="2"/>
    </xf>
    <xf numFmtId="1" fontId="150" fillId="0" borderId="19" xfId="0" applyNumberFormat="1" applyFont="1" applyBorder="1" applyAlignment="1">
      <alignment horizontal="center"/>
    </xf>
    <xf numFmtId="0" fontId="12" fillId="58" borderId="19" xfId="0" applyFont="1" applyFill="1" applyBorder="1" applyAlignment="1">
      <alignment horizontal="left"/>
    </xf>
    <xf numFmtId="0" fontId="39" fillId="0" borderId="19" xfId="0" applyFont="1" applyBorder="1" applyAlignment="1">
      <alignment horizontal="center" vertical="center" textRotation="90" wrapText="1"/>
    </xf>
    <xf numFmtId="0" fontId="39" fillId="53" borderId="19" xfId="0" applyFont="1" applyFill="1" applyBorder="1" applyAlignment="1">
      <alignment horizontal="center" vertical="center" textRotation="90" wrapText="1"/>
    </xf>
    <xf numFmtId="0" fontId="12" fillId="58" borderId="19" xfId="0" applyFont="1" applyFill="1" applyBorder="1"/>
    <xf numFmtId="49" fontId="111" fillId="0" borderId="0" xfId="1226" applyNumberFormat="1" applyFont="1" applyAlignment="1">
      <alignment vertical="center"/>
    </xf>
    <xf numFmtId="3" fontId="12" fillId="0" borderId="19" xfId="0" applyNumberFormat="1" applyFont="1" applyBorder="1" applyAlignment="1">
      <alignment horizontal="center" wrapText="1"/>
    </xf>
    <xf numFmtId="1" fontId="12" fillId="0" borderId="19" xfId="0" applyNumberFormat="1" applyFont="1" applyBorder="1" applyAlignment="1">
      <alignment horizontal="center" wrapText="1"/>
    </xf>
    <xf numFmtId="1" fontId="12" fillId="53" borderId="19" xfId="0" applyNumberFormat="1" applyFont="1" applyFill="1" applyBorder="1" applyAlignment="1">
      <alignment horizontal="center" wrapText="1"/>
    </xf>
    <xf numFmtId="0" fontId="12" fillId="0" borderId="19" xfId="0" applyFont="1" applyBorder="1" applyAlignment="1">
      <alignment horizontal="center" vertical="center" wrapText="1"/>
    </xf>
    <xf numFmtId="0" fontId="12" fillId="0" borderId="0" xfId="0" applyFont="1" applyAlignment="1">
      <alignment wrapText="1"/>
    </xf>
    <xf numFmtId="0" fontId="36" fillId="0" borderId="0" xfId="0" applyFont="1"/>
    <xf numFmtId="0" fontId="148" fillId="0" borderId="19" xfId="0" applyFont="1" applyBorder="1"/>
    <xf numFmtId="0" fontId="148" fillId="0" borderId="19" xfId="0" applyFont="1" applyBorder="1" applyAlignment="1">
      <alignment horizontal="center" vertical="center"/>
    </xf>
    <xf numFmtId="0" fontId="154" fillId="0" borderId="0" xfId="0" applyFont="1"/>
    <xf numFmtId="0" fontId="148" fillId="0" borderId="0" xfId="0" applyFont="1" applyAlignment="1">
      <alignment vertical="center"/>
    </xf>
    <xf numFmtId="0" fontId="148" fillId="0" borderId="30" xfId="0" applyFont="1" applyBorder="1" applyAlignment="1">
      <alignment horizontal="center" vertical="center"/>
    </xf>
    <xf numFmtId="0" fontId="57" fillId="0" borderId="19" xfId="0" applyFont="1" applyBorder="1" applyAlignment="1">
      <alignment horizontal="left"/>
    </xf>
    <xf numFmtId="0" fontId="57" fillId="0" borderId="19" xfId="0" applyFont="1" applyBorder="1" applyAlignment="1">
      <alignment horizontal="left" wrapText="1"/>
    </xf>
    <xf numFmtId="168" fontId="57" fillId="0" borderId="19" xfId="0" applyNumberFormat="1" applyFont="1" applyBorder="1" applyAlignment="1">
      <alignment horizontal="left" vertical="center" wrapText="1"/>
    </xf>
    <xf numFmtId="0" fontId="98" fillId="0" borderId="0" xfId="1136" applyFont="1" applyFill="1" applyBorder="1" applyAlignment="1" applyProtection="1">
      <alignment horizontal="center" vertical="center"/>
    </xf>
    <xf numFmtId="0" fontId="155" fillId="0" borderId="0" xfId="1136" applyFont="1" applyFill="1" applyBorder="1" applyAlignment="1" applyProtection="1">
      <alignment horizontal="center" vertical="center"/>
    </xf>
    <xf numFmtId="0" fontId="148" fillId="0" borderId="30" xfId="0" applyFont="1" applyBorder="1" applyAlignment="1">
      <alignment horizontal="center" vertical="center" wrapText="1"/>
    </xf>
    <xf numFmtId="0" fontId="155" fillId="0" borderId="0" xfId="1136" applyFont="1" applyBorder="1" applyAlignment="1" applyProtection="1">
      <alignment horizontal="center" vertical="center"/>
    </xf>
    <xf numFmtId="0" fontId="39" fillId="0" borderId="20" xfId="1884" applyFont="1" applyBorder="1" applyAlignment="1">
      <alignment horizontal="center" vertical="top"/>
    </xf>
    <xf numFmtId="0" fontId="57" fillId="0" borderId="0" xfId="1224" applyFont="1" applyAlignment="1">
      <alignment vertical="center"/>
    </xf>
    <xf numFmtId="9" fontId="47" fillId="0" borderId="0" xfId="1900" applyFont="1"/>
    <xf numFmtId="0" fontId="155" fillId="0" borderId="0" xfId="1136" applyFont="1" applyFill="1" applyBorder="1" applyAlignment="1" applyProtection="1">
      <alignment horizontal="center" vertical="top"/>
    </xf>
    <xf numFmtId="0" fontId="12" fillId="0" borderId="0" xfId="1884" applyFont="1" applyAlignment="1">
      <alignment horizontal="right" vertical="center"/>
    </xf>
    <xf numFmtId="0" fontId="155" fillId="0" borderId="0" xfId="1136" applyFont="1" applyBorder="1" applyAlignment="1" applyProtection="1">
      <alignment horizontal="center" vertical="top"/>
    </xf>
    <xf numFmtId="0" fontId="57" fillId="0" borderId="0" xfId="1225" applyFont="1" applyAlignment="1">
      <alignment vertical="center"/>
    </xf>
    <xf numFmtId="3" fontId="157" fillId="0" borderId="19" xfId="0" applyNumberFormat="1" applyFont="1" applyBorder="1" applyAlignment="1">
      <alignment horizontal="center"/>
    </xf>
    <xf numFmtId="3" fontId="34" fillId="0" borderId="0" xfId="0" applyNumberFormat="1" applyFont="1" applyAlignment="1">
      <alignment horizontal="left" vertical="top" wrapText="1"/>
    </xf>
    <xf numFmtId="0" fontId="34" fillId="0" borderId="30" xfId="0" applyFont="1" applyBorder="1"/>
    <xf numFmtId="3" fontId="32" fillId="0" borderId="20" xfId="0" applyNumberFormat="1" applyFont="1" applyBorder="1"/>
    <xf numFmtId="0" fontId="0" fillId="0" borderId="33" xfId="0" applyBorder="1"/>
    <xf numFmtId="1" fontId="12" fillId="53" borderId="19" xfId="0" applyNumberFormat="1" applyFont="1" applyFill="1" applyBorder="1" applyAlignment="1">
      <alignment horizontal="center" vertical="center"/>
    </xf>
    <xf numFmtId="49" fontId="12" fillId="53" borderId="19" xfId="0" applyNumberFormat="1" applyFont="1" applyFill="1" applyBorder="1" applyAlignment="1">
      <alignment horizontal="center" vertical="center"/>
    </xf>
    <xf numFmtId="49" fontId="57" fillId="0" borderId="19" xfId="0" quotePrefix="1" applyNumberFormat="1" applyFont="1" applyBorder="1" applyAlignment="1">
      <alignment horizontal="center" vertical="center"/>
    </xf>
    <xf numFmtId="1" fontId="12" fillId="0" borderId="19" xfId="0" applyNumberFormat="1" applyFont="1" applyBorder="1" applyAlignment="1">
      <alignment horizontal="center" vertical="center"/>
    </xf>
    <xf numFmtId="0" fontId="147" fillId="0" borderId="0" xfId="0" applyFont="1"/>
    <xf numFmtId="1" fontId="12" fillId="58" borderId="19" xfId="0" applyNumberFormat="1" applyFont="1" applyFill="1" applyBorder="1" applyAlignment="1">
      <alignment horizontal="center" vertical="center"/>
    </xf>
    <xf numFmtId="0" fontId="34" fillId="58" borderId="0" xfId="0" applyFont="1" applyFill="1"/>
    <xf numFmtId="3" fontId="12" fillId="58" borderId="19" xfId="0" applyNumberFormat="1" applyFont="1" applyFill="1" applyBorder="1" applyAlignment="1">
      <alignment horizontal="center"/>
    </xf>
    <xf numFmtId="0" fontId="152" fillId="0" borderId="0" xfId="0" applyFont="1"/>
    <xf numFmtId="1" fontId="146" fillId="0" borderId="19" xfId="0" applyNumberFormat="1" applyFont="1" applyBorder="1" applyAlignment="1">
      <alignment horizontal="center"/>
    </xf>
    <xf numFmtId="3" fontId="12" fillId="0" borderId="19" xfId="1152" applyNumberFormat="1" applyFont="1" applyBorder="1" applyAlignment="1">
      <alignment horizontal="center" vertical="center"/>
    </xf>
    <xf numFmtId="1" fontId="146" fillId="0" borderId="19" xfId="1153" applyNumberFormat="1" applyFont="1" applyFill="1" applyBorder="1" applyAlignment="1">
      <alignment horizontal="center"/>
    </xf>
    <xf numFmtId="17" fontId="145" fillId="0" borderId="0" xfId="0" applyNumberFormat="1" applyFont="1" applyAlignment="1">
      <alignment horizontal="left" vertical="center"/>
    </xf>
    <xf numFmtId="173" fontId="0" fillId="0" borderId="0" xfId="0" applyNumberFormat="1"/>
    <xf numFmtId="175" fontId="146" fillId="0" borderId="19" xfId="0" applyNumberFormat="1" applyFont="1" applyBorder="1" applyAlignment="1">
      <alignment horizontal="center" vertical="center"/>
    </xf>
    <xf numFmtId="0" fontId="158" fillId="0" borderId="0" xfId="0" applyFont="1" applyAlignment="1">
      <alignment vertical="center"/>
    </xf>
    <xf numFmtId="0" fontId="158" fillId="0" borderId="0" xfId="0" applyFont="1" applyAlignment="1">
      <alignment horizontal="justify" vertical="center"/>
    </xf>
    <xf numFmtId="1" fontId="36" fillId="0" borderId="19" xfId="1153" applyNumberFormat="1" applyFont="1" applyFill="1" applyBorder="1" applyAlignment="1">
      <alignment horizontal="center"/>
    </xf>
    <xf numFmtId="1" fontId="32" fillId="0" borderId="19" xfId="1153" applyNumberFormat="1" applyFont="1" applyFill="1" applyBorder="1" applyAlignment="1">
      <alignment horizontal="center"/>
    </xf>
    <xf numFmtId="180" fontId="145" fillId="0" borderId="0" xfId="0" applyNumberFormat="1" applyFont="1"/>
    <xf numFmtId="9" fontId="37" fillId="0" borderId="0" xfId="1900" applyFill="1"/>
    <xf numFmtId="175" fontId="37" fillId="0" borderId="29" xfId="1900" applyNumberFormat="1" applyBorder="1" applyAlignment="1">
      <alignment vertical="center" wrapText="1"/>
    </xf>
    <xf numFmtId="4" fontId="159" fillId="0" borderId="0" xfId="0" applyNumberFormat="1" applyFont="1"/>
    <xf numFmtId="0" fontId="160" fillId="0" borderId="0" xfId="0" applyFont="1" applyAlignment="1">
      <alignment horizontal="right" vertical="center" wrapText="1"/>
    </xf>
    <xf numFmtId="173" fontId="145" fillId="0" borderId="0" xfId="0" applyNumberFormat="1" applyFont="1"/>
    <xf numFmtId="1" fontId="146" fillId="0" borderId="19" xfId="0" applyNumberFormat="1" applyFont="1" applyBorder="1" applyAlignment="1">
      <alignment horizontal="center" vertical="center"/>
    </xf>
    <xf numFmtId="0" fontId="155" fillId="0" borderId="0" xfId="1136" applyFont="1" applyAlignment="1">
      <alignment horizontal="center" vertical="center"/>
    </xf>
    <xf numFmtId="180" fontId="39" fillId="0" borderId="19" xfId="1152" applyNumberFormat="1" applyFont="1" applyBorder="1" applyAlignment="1">
      <alignment horizontal="center" vertical="center" wrapText="1"/>
    </xf>
    <xf numFmtId="180" fontId="39" fillId="0" borderId="19" xfId="1152" applyNumberFormat="1" applyFont="1" applyFill="1" applyBorder="1" applyAlignment="1">
      <alignment horizontal="center" vertical="center" wrapText="1"/>
    </xf>
    <xf numFmtId="175" fontId="12" fillId="58" borderId="19" xfId="0" applyNumberFormat="1" applyFont="1" applyFill="1" applyBorder="1" applyAlignment="1">
      <alignment horizontal="center" vertical="center"/>
    </xf>
    <xf numFmtId="0" fontId="57" fillId="0" borderId="0" xfId="0" applyFont="1"/>
    <xf numFmtId="3" fontId="90" fillId="0" borderId="0" xfId="0" applyNumberFormat="1" applyFont="1" applyAlignment="1">
      <alignment wrapText="1"/>
    </xf>
    <xf numFmtId="3" fontId="12" fillId="53" borderId="19" xfId="0" quotePrefix="1" applyNumberFormat="1" applyFont="1" applyFill="1" applyBorder="1" applyAlignment="1">
      <alignment horizontal="right" vertical="center" indent="3"/>
    </xf>
    <xf numFmtId="3" fontId="12" fillId="53" borderId="19" xfId="0" applyNumberFormat="1" applyFont="1" applyFill="1" applyBorder="1" applyAlignment="1">
      <alignment horizontal="right" vertical="center" indent="3"/>
    </xf>
    <xf numFmtId="176" fontId="12" fillId="53" borderId="19" xfId="0" applyNumberFormat="1" applyFont="1" applyFill="1" applyBorder="1" applyAlignment="1">
      <alignment horizontal="right" vertical="center" indent="3"/>
    </xf>
    <xf numFmtId="3" fontId="12" fillId="0" borderId="21" xfId="0" applyNumberFormat="1" applyFont="1" applyBorder="1" applyAlignment="1">
      <alignment horizontal="center" vertical="center"/>
    </xf>
    <xf numFmtId="177" fontId="161" fillId="0" borderId="19" xfId="1153" applyFont="1" applyBorder="1" applyAlignment="1">
      <alignment vertical="center" wrapText="1"/>
    </xf>
    <xf numFmtId="177" fontId="161" fillId="0" borderId="19" xfId="1153" applyFont="1" applyBorder="1" applyAlignment="1">
      <alignment vertical="center"/>
    </xf>
    <xf numFmtId="177" fontId="161" fillId="0" borderId="19" xfId="1153" quotePrefix="1" applyFont="1" applyFill="1" applyBorder="1" applyAlignment="1">
      <alignment vertical="center"/>
    </xf>
    <xf numFmtId="177" fontId="161" fillId="0" borderId="19" xfId="1153" applyFont="1" applyFill="1" applyBorder="1" applyAlignment="1">
      <alignment vertical="center"/>
    </xf>
    <xf numFmtId="0" fontId="148" fillId="0" borderId="19" xfId="0" applyFont="1" applyBorder="1" applyAlignment="1">
      <alignment horizontal="center"/>
    </xf>
    <xf numFmtId="206" fontId="37" fillId="0" borderId="0" xfId="1153" applyNumberFormat="1" applyBorder="1" applyAlignment="1" applyProtection="1">
      <alignment horizontal="center" vertical="top" wrapText="1" readingOrder="1"/>
      <protection locked="0"/>
    </xf>
    <xf numFmtId="3" fontId="12" fillId="58" borderId="19" xfId="0" applyNumberFormat="1" applyFont="1" applyFill="1" applyBorder="1" applyAlignment="1">
      <alignment horizontal="center" wrapText="1"/>
    </xf>
    <xf numFmtId="3" fontId="12" fillId="58" borderId="19" xfId="0" applyNumberFormat="1" applyFont="1" applyFill="1" applyBorder="1" applyAlignment="1">
      <alignment horizontal="center" vertical="center" wrapText="1"/>
    </xf>
    <xf numFmtId="1" fontId="12" fillId="58" borderId="19" xfId="0" applyNumberFormat="1" applyFont="1" applyFill="1" applyBorder="1" applyAlignment="1">
      <alignment horizontal="center" wrapText="1"/>
    </xf>
    <xf numFmtId="3" fontId="40" fillId="0" borderId="0" xfId="0" applyNumberFormat="1" applyFont="1"/>
    <xf numFmtId="173" fontId="12" fillId="0" borderId="0" xfId="0" applyNumberFormat="1" applyFont="1"/>
    <xf numFmtId="175" fontId="0" fillId="0" borderId="0" xfId="1900" applyNumberFormat="1" applyFont="1"/>
    <xf numFmtId="0" fontId="163" fillId="0" borderId="0" xfId="1136" applyFont="1"/>
    <xf numFmtId="0" fontId="39" fillId="58" borderId="19" xfId="0" applyFont="1" applyFill="1" applyBorder="1" applyAlignment="1">
      <alignment horizontal="center" vertical="center" textRotation="90" wrapText="1"/>
    </xf>
    <xf numFmtId="9" fontId="37" fillId="0" borderId="0" xfId="1900" applyBorder="1"/>
    <xf numFmtId="17" fontId="12" fillId="0" borderId="19" xfId="1152" applyNumberFormat="1" applyFont="1" applyFill="1" applyBorder="1" applyAlignment="1">
      <alignment horizontal="left" vertical="center" wrapText="1"/>
    </xf>
    <xf numFmtId="49" fontId="111" fillId="0" borderId="0" xfId="1226" applyNumberFormat="1" applyFont="1" applyAlignment="1">
      <alignment horizontal="center" vertical="center"/>
    </xf>
    <xf numFmtId="179" fontId="71" fillId="0" borderId="19" xfId="1153" applyNumberFormat="1" applyFont="1" applyFill="1" applyBorder="1" applyAlignment="1">
      <alignment horizontal="center" vertical="center" wrapText="1"/>
    </xf>
    <xf numFmtId="9" fontId="37" fillId="0" borderId="0" xfId="1900" quotePrefix="1" applyFill="1" applyBorder="1" applyAlignment="1">
      <alignment vertical="center"/>
    </xf>
    <xf numFmtId="9" fontId="37" fillId="0" borderId="0" xfId="1900" applyAlignment="1" applyProtection="1">
      <alignment horizontal="right" vertical="top" wrapText="1" readingOrder="1"/>
      <protection locked="0"/>
    </xf>
    <xf numFmtId="3" fontId="0" fillId="0" borderId="0" xfId="0" applyNumberFormat="1"/>
    <xf numFmtId="1" fontId="151" fillId="0" borderId="19" xfId="0" applyNumberFormat="1" applyFont="1" applyBorder="1" applyAlignment="1">
      <alignment horizontal="center" vertical="center"/>
    </xf>
    <xf numFmtId="3" fontId="7" fillId="0" borderId="37" xfId="1987" applyNumberFormat="1" applyBorder="1"/>
    <xf numFmtId="1" fontId="12" fillId="0" borderId="19" xfId="0" applyNumberFormat="1" applyFont="1" applyBorder="1" applyAlignment="1">
      <alignment horizontal="center"/>
    </xf>
    <xf numFmtId="0" fontId="71" fillId="0" borderId="19" xfId="0" applyFont="1" applyBorder="1" applyAlignment="1">
      <alignment horizontal="center"/>
    </xf>
    <xf numFmtId="3" fontId="7" fillId="0" borderId="0" xfId="1987" applyNumberFormat="1"/>
    <xf numFmtId="9" fontId="165" fillId="0" borderId="0" xfId="1900" applyFont="1"/>
    <xf numFmtId="173" fontId="57" fillId="58" borderId="19" xfId="0" applyNumberFormat="1" applyFont="1" applyFill="1" applyBorder="1" applyAlignment="1">
      <alignment horizontal="left" wrapText="1"/>
    </xf>
    <xf numFmtId="173" fontId="57" fillId="58" borderId="19" xfId="0" applyNumberFormat="1" applyFont="1" applyFill="1" applyBorder="1" applyAlignment="1">
      <alignment horizontal="left"/>
    </xf>
    <xf numFmtId="0" fontId="12" fillId="0" borderId="0" xfId="0" applyFont="1" applyAlignment="1">
      <alignment horizontal="center" vertical="center" wrapText="1"/>
    </xf>
    <xf numFmtId="0" fontId="0" fillId="0" borderId="0" xfId="0" applyAlignment="1">
      <alignment horizontal="center"/>
    </xf>
    <xf numFmtId="200" fontId="12" fillId="0" borderId="19" xfId="1153" applyNumberFormat="1" applyFont="1" applyFill="1" applyBorder="1" applyAlignment="1">
      <alignment horizontal="center" vertical="center"/>
    </xf>
    <xf numFmtId="0" fontId="167" fillId="0" borderId="0" xfId="0" applyFont="1" applyAlignment="1">
      <alignment horizontal="center" vertical="center" readingOrder="1"/>
    </xf>
    <xf numFmtId="0" fontId="57" fillId="58" borderId="19" xfId="0" applyFont="1" applyFill="1" applyBorder="1" applyAlignment="1">
      <alignment horizontal="left" wrapText="1"/>
    </xf>
    <xf numFmtId="0" fontId="100" fillId="0" borderId="0" xfId="0" applyFont="1"/>
    <xf numFmtId="181" fontId="33" fillId="0" borderId="19" xfId="1152" applyNumberFormat="1" applyFont="1" applyFill="1" applyBorder="1" applyAlignment="1">
      <alignment horizontal="center" vertical="center"/>
    </xf>
    <xf numFmtId="180" fontId="33" fillId="0" borderId="19" xfId="1152" applyNumberFormat="1" applyFont="1" applyFill="1" applyBorder="1" applyAlignment="1">
      <alignment horizontal="center" vertical="center" wrapText="1"/>
    </xf>
    <xf numFmtId="17" fontId="57" fillId="0" borderId="19" xfId="0" applyNumberFormat="1" applyFont="1" applyBorder="1" applyAlignment="1">
      <alignment horizontal="center" wrapText="1"/>
    </xf>
    <xf numFmtId="2" fontId="12" fillId="0" borderId="19" xfId="0" applyNumberFormat="1" applyFont="1" applyBorder="1" applyAlignment="1">
      <alignment horizontal="center" vertical="center"/>
    </xf>
    <xf numFmtId="2" fontId="12" fillId="0" borderId="19" xfId="0" applyNumberFormat="1" applyFont="1" applyBorder="1" applyAlignment="1">
      <alignment horizontal="center" vertical="center" wrapText="1"/>
    </xf>
    <xf numFmtId="0" fontId="39" fillId="58" borderId="19" xfId="0" applyFont="1" applyFill="1" applyBorder="1" applyAlignment="1">
      <alignment horizontal="center" vertical="center" wrapText="1"/>
    </xf>
    <xf numFmtId="180" fontId="33" fillId="58" borderId="19" xfId="1152" applyNumberFormat="1" applyFont="1" applyFill="1" applyBorder="1" applyAlignment="1">
      <alignment horizontal="center" vertical="center" wrapText="1"/>
    </xf>
    <xf numFmtId="0" fontId="57" fillId="58" borderId="19" xfId="0" applyFont="1" applyFill="1" applyBorder="1" applyAlignment="1">
      <alignment horizontal="center"/>
    </xf>
    <xf numFmtId="0" fontId="168" fillId="58" borderId="0" xfId="0" applyFont="1" applyFill="1" applyAlignment="1">
      <alignment vertical="top"/>
    </xf>
    <xf numFmtId="0" fontId="168" fillId="0" borderId="0" xfId="0" applyFont="1" applyAlignment="1">
      <alignment vertical="top"/>
    </xf>
    <xf numFmtId="193" fontId="12" fillId="0" borderId="0" xfId="0" applyNumberFormat="1" applyFont="1" applyAlignment="1">
      <alignment vertical="center"/>
    </xf>
    <xf numFmtId="17" fontId="145" fillId="0" borderId="0" xfId="0" applyNumberFormat="1" applyFont="1"/>
    <xf numFmtId="0" fontId="36" fillId="0" borderId="19" xfId="0" applyFont="1" applyBorder="1"/>
    <xf numFmtId="3" fontId="36" fillId="0" borderId="19" xfId="0" applyNumberFormat="1" applyFont="1" applyBorder="1"/>
    <xf numFmtId="3" fontId="36" fillId="0" borderId="19" xfId="0" applyNumberFormat="1" applyFont="1" applyBorder="1" applyAlignment="1">
      <alignment horizontal="center" vertical="center"/>
    </xf>
    <xf numFmtId="0" fontId="169" fillId="0" borderId="0" xfId="0" applyFont="1"/>
    <xf numFmtId="4" fontId="169" fillId="0" borderId="0" xfId="0" applyNumberFormat="1" applyFont="1"/>
    <xf numFmtId="0" fontId="166" fillId="0" borderId="0" xfId="0" applyFont="1"/>
    <xf numFmtId="0" fontId="170" fillId="0" borderId="0" xfId="0" applyFont="1"/>
    <xf numFmtId="0" fontId="172" fillId="0" borderId="0" xfId="0" applyFont="1"/>
    <xf numFmtId="177" fontId="36" fillId="0" borderId="19" xfId="1153" applyFont="1" applyBorder="1" applyAlignment="1">
      <alignment horizontal="center" vertical="center"/>
    </xf>
    <xf numFmtId="177" fontId="37" fillId="0" borderId="0" xfId="1153"/>
    <xf numFmtId="176" fontId="12" fillId="0" borderId="19" xfId="1153" applyNumberFormat="1" applyFont="1" applyFill="1" applyBorder="1" applyAlignment="1">
      <alignment horizontal="center" vertical="center"/>
    </xf>
    <xf numFmtId="0" fontId="34" fillId="0" borderId="0" xfId="0" applyFont="1" applyAlignment="1">
      <alignment wrapText="1"/>
    </xf>
    <xf numFmtId="168" fontId="71" fillId="0" borderId="19" xfId="0" applyNumberFormat="1" applyFont="1" applyBorder="1" applyAlignment="1">
      <alignment horizontal="center" vertical="center" wrapText="1"/>
    </xf>
    <xf numFmtId="3" fontId="34" fillId="0" borderId="0" xfId="0" applyNumberFormat="1" applyFont="1" applyAlignment="1">
      <alignment vertical="center" wrapText="1"/>
    </xf>
    <xf numFmtId="0" fontId="11" fillId="0" borderId="0" xfId="1226" applyFont="1"/>
    <xf numFmtId="0" fontId="71" fillId="0" borderId="0" xfId="1226" applyFont="1" applyAlignment="1">
      <alignment wrapText="1"/>
    </xf>
    <xf numFmtId="17" fontId="57" fillId="0" borderId="0" xfId="1226" applyNumberFormat="1" applyFont="1"/>
    <xf numFmtId="0" fontId="35" fillId="0" borderId="0" xfId="1226" applyFont="1"/>
    <xf numFmtId="0" fontId="39" fillId="0" borderId="0" xfId="1226" applyFont="1"/>
    <xf numFmtId="0" fontId="53" fillId="0" borderId="0" xfId="0" applyFont="1"/>
    <xf numFmtId="17" fontId="71" fillId="0" borderId="0" xfId="1224" applyNumberFormat="1" applyFont="1" applyAlignment="1">
      <alignment horizontal="left" vertical="center"/>
    </xf>
    <xf numFmtId="0" fontId="90" fillId="0" borderId="0" xfId="1224" applyFont="1" applyAlignment="1">
      <alignment vertical="center"/>
    </xf>
    <xf numFmtId="9" fontId="57" fillId="0" borderId="0" xfId="1224" applyNumberFormat="1" applyFont="1" applyAlignment="1">
      <alignment vertical="center"/>
    </xf>
    <xf numFmtId="0" fontId="57" fillId="0" borderId="0" xfId="1224" applyFont="1" applyAlignment="1">
      <alignment horizontal="left" vertical="center"/>
    </xf>
    <xf numFmtId="176" fontId="12" fillId="0" borderId="0" xfId="0" applyNumberFormat="1" applyFont="1"/>
    <xf numFmtId="4" fontId="57" fillId="0" borderId="0" xfId="0" applyNumberFormat="1" applyFont="1"/>
    <xf numFmtId="0" fontId="65" fillId="0" borderId="0" xfId="0" applyFont="1" applyAlignment="1" applyProtection="1">
      <alignment horizontal="right" wrapText="1" readingOrder="1"/>
      <protection locked="0"/>
    </xf>
    <xf numFmtId="4" fontId="65" fillId="0" borderId="0" xfId="0" applyNumberFormat="1" applyFont="1" applyAlignment="1" applyProtection="1">
      <alignment wrapText="1" readingOrder="1"/>
      <protection locked="0"/>
    </xf>
    <xf numFmtId="0" fontId="65" fillId="0" borderId="0" xfId="0" applyFont="1" applyAlignment="1" applyProtection="1">
      <alignment wrapText="1" readingOrder="1"/>
      <protection locked="0"/>
    </xf>
    <xf numFmtId="0" fontId="75" fillId="0" borderId="0" xfId="0" applyFont="1"/>
    <xf numFmtId="3" fontId="75" fillId="0" borderId="0" xfId="0" applyNumberFormat="1" applyFont="1"/>
    <xf numFmtId="0" fontId="71" fillId="0" borderId="19" xfId="0" applyFont="1" applyBorder="1" applyAlignment="1">
      <alignment horizontal="center" wrapText="1"/>
    </xf>
    <xf numFmtId="168" fontId="12" fillId="0" borderId="0" xfId="0" applyNumberFormat="1" applyFont="1" applyAlignment="1">
      <alignment vertical="center"/>
    </xf>
    <xf numFmtId="179" fontId="12" fillId="0" borderId="0" xfId="0" applyNumberFormat="1" applyFont="1" applyAlignment="1">
      <alignment vertical="center"/>
    </xf>
    <xf numFmtId="4" fontId="12" fillId="0" borderId="0" xfId="1153" applyNumberFormat="1" applyFont="1" applyFill="1" applyBorder="1" applyAlignment="1">
      <alignment vertical="center"/>
    </xf>
    <xf numFmtId="9" fontId="12" fillId="0" borderId="0" xfId="0" quotePrefix="1" applyNumberFormat="1" applyFont="1" applyAlignment="1">
      <alignment vertical="center"/>
    </xf>
    <xf numFmtId="0" fontId="12" fillId="0" borderId="33" xfId="0" applyFont="1" applyBorder="1" applyAlignment="1">
      <alignment horizontal="center" vertical="center"/>
    </xf>
    <xf numFmtId="3" fontId="12" fillId="0" borderId="33" xfId="0" applyNumberFormat="1" applyFont="1" applyBorder="1" applyAlignment="1">
      <alignment horizontal="center"/>
    </xf>
    <xf numFmtId="0" fontId="71" fillId="0" borderId="28" xfId="0" applyFont="1" applyBorder="1" applyAlignment="1">
      <alignment horizontal="center" vertical="center"/>
    </xf>
    <xf numFmtId="9" fontId="12" fillId="0" borderId="19" xfId="1152" applyNumberFormat="1" applyFont="1" applyFill="1" applyBorder="1" applyAlignment="1">
      <alignment horizontal="center" vertical="center"/>
    </xf>
    <xf numFmtId="168" fontId="71" fillId="0" borderId="19" xfId="0" applyNumberFormat="1" applyFont="1" applyBorder="1" applyAlignment="1">
      <alignment horizontal="left" vertical="center" wrapText="1"/>
    </xf>
    <xf numFmtId="0" fontId="39" fillId="0" borderId="0" xfId="1153" applyNumberFormat="1" applyFont="1" applyFill="1" applyBorder="1" applyAlignment="1">
      <alignment horizontal="center"/>
    </xf>
    <xf numFmtId="0" fontId="39" fillId="0" borderId="19" xfId="1153" applyNumberFormat="1" applyFont="1" applyFill="1" applyBorder="1" applyAlignment="1">
      <alignment horizontal="center" vertical="center" wrapText="1"/>
    </xf>
    <xf numFmtId="0" fontId="39" fillId="0" borderId="19" xfId="1153" applyNumberFormat="1" applyFont="1" applyFill="1" applyBorder="1" applyAlignment="1">
      <alignment horizontal="left"/>
    </xf>
    <xf numFmtId="0" fontId="12" fillId="0" borderId="19" xfId="1153" applyNumberFormat="1" applyFont="1" applyFill="1" applyBorder="1" applyAlignment="1">
      <alignment horizontal="left"/>
    </xf>
    <xf numFmtId="181" fontId="39" fillId="0" borderId="19" xfId="1152" applyNumberFormat="1" applyFont="1" applyBorder="1" applyAlignment="1">
      <alignment horizontal="center" vertical="center"/>
    </xf>
    <xf numFmtId="17" fontId="12" fillId="0" borderId="19" xfId="1152" applyNumberFormat="1" applyFont="1" applyBorder="1" applyAlignment="1">
      <alignment horizontal="center"/>
    </xf>
    <xf numFmtId="1" fontId="57" fillId="0" borderId="0" xfId="1224" applyNumberFormat="1" applyFont="1" applyAlignment="1">
      <alignment horizontal="center"/>
    </xf>
    <xf numFmtId="0" fontId="57" fillId="0" borderId="0" xfId="0" applyFont="1" applyAlignment="1">
      <alignment vertical="top" wrapText="1"/>
    </xf>
    <xf numFmtId="0" fontId="90" fillId="0" borderId="0" xfId="0" applyFont="1" applyAlignment="1">
      <alignment vertical="top" wrapText="1"/>
    </xf>
    <xf numFmtId="0" fontId="71" fillId="0" borderId="21" xfId="0" applyFont="1" applyBorder="1" applyAlignment="1">
      <alignment horizontal="center" vertical="center" wrapText="1"/>
    </xf>
    <xf numFmtId="0" fontId="90" fillId="0" borderId="37" xfId="0" applyFont="1" applyBorder="1" applyAlignment="1">
      <alignment horizontal="left" vertical="top" wrapText="1"/>
    </xf>
    <xf numFmtId="203" fontId="57" fillId="0" borderId="19" xfId="0" applyNumberFormat="1" applyFont="1" applyBorder="1" applyAlignment="1">
      <alignment horizontal="center" vertical="center" wrapText="1"/>
    </xf>
    <xf numFmtId="192" fontId="57" fillId="0" borderId="19" xfId="0" applyNumberFormat="1" applyFont="1" applyBorder="1" applyAlignment="1">
      <alignment horizontal="center" vertical="center" wrapText="1"/>
    </xf>
    <xf numFmtId="0" fontId="12" fillId="0" borderId="0" xfId="0" applyFont="1" applyAlignment="1">
      <alignment horizontal="center" wrapText="1"/>
    </xf>
    <xf numFmtId="192" fontId="12" fillId="0" borderId="0" xfId="0" applyNumberFormat="1" applyFont="1" applyAlignment="1">
      <alignment wrapText="1"/>
    </xf>
    <xf numFmtId="192" fontId="57" fillId="58" borderId="19" xfId="0" applyNumberFormat="1" applyFont="1" applyFill="1" applyBorder="1" applyAlignment="1">
      <alignment horizontal="center" vertical="center" wrapText="1"/>
    </xf>
    <xf numFmtId="0" fontId="57" fillId="0" borderId="0" xfId="1225" applyFont="1" applyAlignment="1">
      <alignment vertical="top"/>
    </xf>
    <xf numFmtId="0" fontId="57" fillId="0" borderId="0" xfId="1225" applyFont="1" applyAlignment="1">
      <alignment horizontal="left" vertical="center"/>
    </xf>
    <xf numFmtId="0" fontId="38" fillId="0" borderId="0" xfId="1136" applyFont="1" applyBorder="1" applyAlignment="1" applyProtection="1">
      <alignment horizontal="center" vertical="center"/>
    </xf>
    <xf numFmtId="0" fontId="57" fillId="0" borderId="0" xfId="1225" applyFont="1" applyAlignment="1">
      <alignment horizontal="center" vertical="center"/>
    </xf>
    <xf numFmtId="4" fontId="75" fillId="0" borderId="0" xfId="0" applyNumberFormat="1" applyFont="1"/>
    <xf numFmtId="0" fontId="71" fillId="0" borderId="0" xfId="0" applyFont="1"/>
    <xf numFmtId="3" fontId="57" fillId="0" borderId="19" xfId="0" applyNumberFormat="1" applyFont="1" applyBorder="1" applyAlignment="1">
      <alignment horizontal="left" wrapText="1"/>
    </xf>
    <xf numFmtId="3" fontId="57" fillId="0" borderId="19" xfId="0" applyNumberFormat="1" applyFont="1" applyBorder="1" applyAlignment="1">
      <alignment horizontal="left"/>
    </xf>
    <xf numFmtId="173" fontId="12" fillId="0" borderId="19" xfId="1153" applyNumberFormat="1" applyFont="1" applyBorder="1" applyAlignment="1">
      <alignment horizontal="center" vertical="center" wrapText="1"/>
    </xf>
    <xf numFmtId="173" fontId="12" fillId="0" borderId="19" xfId="1153" quotePrefix="1" applyNumberFormat="1" applyFont="1" applyFill="1" applyBorder="1" applyAlignment="1">
      <alignment horizontal="center" vertical="center"/>
    </xf>
    <xf numFmtId="173" fontId="12" fillId="0" borderId="19" xfId="1153" applyNumberFormat="1" applyFont="1" applyFill="1" applyBorder="1" applyAlignment="1">
      <alignment horizontal="center" vertical="center"/>
    </xf>
    <xf numFmtId="0" fontId="75" fillId="0" borderId="0" xfId="0" applyFont="1" applyAlignment="1">
      <alignment vertical="center"/>
    </xf>
    <xf numFmtId="0" fontId="71" fillId="53" borderId="19" xfId="0" applyFont="1" applyFill="1" applyBorder="1" applyAlignment="1">
      <alignment horizontal="center" vertical="center" wrapText="1"/>
    </xf>
    <xf numFmtId="0" fontId="57" fillId="0" borderId="19" xfId="0" applyFont="1" applyBorder="1" applyAlignment="1">
      <alignment horizontal="center" vertical="center"/>
    </xf>
    <xf numFmtId="17" fontId="70" fillId="0" borderId="0" xfId="0" applyNumberFormat="1" applyFont="1" applyAlignment="1">
      <alignment horizontal="center" wrapText="1"/>
    </xf>
    <xf numFmtId="0" fontId="57" fillId="0" borderId="19" xfId="0" applyFont="1" applyBorder="1" applyAlignment="1">
      <alignment horizontal="left" vertical="center"/>
    </xf>
    <xf numFmtId="200" fontId="12" fillId="53" borderId="19" xfId="1153" applyNumberFormat="1" applyFont="1" applyFill="1" applyBorder="1" applyAlignment="1">
      <alignment horizontal="center" vertical="center"/>
    </xf>
    <xf numFmtId="202" fontId="34" fillId="0" borderId="19" xfId="1152" applyNumberFormat="1" applyFont="1" applyFill="1" applyBorder="1" applyAlignment="1">
      <alignment horizontal="center" vertical="center"/>
    </xf>
    <xf numFmtId="1" fontId="57" fillId="58" borderId="19" xfId="0" applyNumberFormat="1" applyFont="1" applyFill="1" applyBorder="1" applyAlignment="1">
      <alignment horizontal="center" vertical="center"/>
    </xf>
    <xf numFmtId="0" fontId="145" fillId="0" borderId="0" xfId="0" applyFont="1" applyAlignment="1">
      <alignment wrapText="1"/>
    </xf>
    <xf numFmtId="1" fontId="166" fillId="0" borderId="0" xfId="1153" applyNumberFormat="1" applyFont="1" applyAlignment="1">
      <alignment horizontal="center"/>
    </xf>
    <xf numFmtId="1" fontId="147" fillId="0" borderId="0" xfId="0" applyNumberFormat="1" applyFont="1"/>
    <xf numFmtId="3" fontId="37" fillId="0" borderId="0" xfId="1900" quotePrefix="1" applyNumberFormat="1" applyFill="1" applyBorder="1" applyAlignment="1">
      <alignment vertical="center"/>
    </xf>
    <xf numFmtId="3" fontId="12" fillId="58" borderId="19" xfId="0" applyNumberFormat="1" applyFont="1" applyFill="1" applyBorder="1" applyAlignment="1">
      <alignment horizontal="right" vertical="center" indent="3"/>
    </xf>
    <xf numFmtId="1" fontId="90" fillId="0" borderId="0" xfId="0" applyNumberFormat="1" applyFont="1"/>
    <xf numFmtId="172" fontId="39" fillId="0" borderId="0" xfId="0" applyNumberFormat="1" applyFont="1" applyAlignment="1">
      <alignment horizontal="center"/>
    </xf>
    <xf numFmtId="0" fontId="152" fillId="0" borderId="0" xfId="0" applyFont="1" applyAlignment="1">
      <alignment vertical="center"/>
    </xf>
    <xf numFmtId="1" fontId="151" fillId="0" borderId="0" xfId="0" applyNumberFormat="1" applyFont="1" applyAlignment="1">
      <alignment horizontal="center" vertical="center"/>
    </xf>
    <xf numFmtId="177" fontId="37" fillId="0" borderId="0" xfId="1153" applyBorder="1"/>
    <xf numFmtId="177" fontId="161" fillId="0" borderId="19" xfId="1153" applyFont="1" applyBorder="1" applyAlignment="1">
      <alignment horizontal="right" vertical="center"/>
    </xf>
    <xf numFmtId="4" fontId="149" fillId="0" borderId="0" xfId="0" applyNumberFormat="1" applyFont="1"/>
    <xf numFmtId="0" fontId="197" fillId="0" borderId="0" xfId="0" applyFont="1"/>
    <xf numFmtId="0" fontId="200" fillId="0" borderId="0" xfId="1226" applyFont="1"/>
    <xf numFmtId="0" fontId="198" fillId="0" borderId="0" xfId="1226" applyFont="1" applyAlignment="1">
      <alignment horizontal="center" wrapText="1"/>
    </xf>
    <xf numFmtId="17" fontId="199" fillId="0" borderId="0" xfId="1226" applyNumberFormat="1" applyFont="1" applyAlignment="1">
      <alignment horizontal="center" wrapText="1"/>
    </xf>
    <xf numFmtId="17" fontId="199" fillId="0" borderId="0" xfId="1226" applyNumberFormat="1" applyFont="1" applyAlignment="1">
      <alignment horizontal="center"/>
    </xf>
    <xf numFmtId="0" fontId="71" fillId="0" borderId="19" xfId="0" applyFont="1" applyBorder="1" applyAlignment="1">
      <alignment vertical="center" wrapText="1"/>
    </xf>
    <xf numFmtId="0" fontId="202" fillId="0" borderId="0" xfId="0" applyFont="1"/>
    <xf numFmtId="0" fontId="203" fillId="0" borderId="0" xfId="0" applyFont="1"/>
    <xf numFmtId="0" fontId="205" fillId="0" borderId="0" xfId="0" applyFont="1"/>
    <xf numFmtId="0" fontId="204" fillId="0" borderId="0" xfId="0" applyFont="1"/>
    <xf numFmtId="0" fontId="137" fillId="0" borderId="19" xfId="0" applyFont="1" applyBorder="1" applyAlignment="1">
      <alignment horizontal="left" vertical="center"/>
    </xf>
    <xf numFmtId="3" fontId="137" fillId="0" borderId="19" xfId="0" applyNumberFormat="1" applyFont="1" applyBorder="1" applyAlignment="1">
      <alignment horizontal="center" vertical="center"/>
    </xf>
    <xf numFmtId="0" fontId="137" fillId="0" borderId="19" xfId="0" applyFont="1" applyBorder="1" applyAlignment="1">
      <alignment vertical="center"/>
    </xf>
    <xf numFmtId="175" fontId="137" fillId="0" borderId="19" xfId="0" applyNumberFormat="1" applyFont="1" applyBorder="1" applyAlignment="1">
      <alignment horizontal="center" vertical="center"/>
    </xf>
    <xf numFmtId="10" fontId="137" fillId="0" borderId="19" xfId="0" applyNumberFormat="1" applyFont="1" applyBorder="1" applyAlignment="1">
      <alignment horizontal="center" vertical="center"/>
    </xf>
    <xf numFmtId="9" fontId="137" fillId="0" borderId="19" xfId="0" applyNumberFormat="1" applyFont="1" applyBorder="1" applyAlignment="1">
      <alignment horizontal="center" vertical="center"/>
    </xf>
    <xf numFmtId="0" fontId="207" fillId="0" borderId="0" xfId="0" applyFont="1" applyAlignment="1">
      <alignment wrapText="1"/>
    </xf>
    <xf numFmtId="0" fontId="207" fillId="0" borderId="0" xfId="0" applyFont="1"/>
    <xf numFmtId="0" fontId="208" fillId="0" borderId="0" xfId="0" applyFont="1"/>
    <xf numFmtId="17" fontId="12" fillId="0" borderId="19" xfId="0" applyNumberFormat="1" applyFont="1" applyBorder="1" applyAlignment="1">
      <alignment horizontal="left"/>
    </xf>
    <xf numFmtId="17" fontId="12" fillId="0" borderId="19" xfId="0" applyNumberFormat="1" applyFont="1" applyBorder="1" applyAlignment="1">
      <alignment horizontal="left" vertical="center"/>
    </xf>
    <xf numFmtId="0" fontId="57" fillId="0" borderId="0" xfId="0" applyFont="1" applyAlignment="1">
      <alignment horizontal="left"/>
    </xf>
    <xf numFmtId="3" fontId="57" fillId="0" borderId="0" xfId="0" applyNumberFormat="1" applyFont="1" applyAlignment="1">
      <alignment horizontal="left" wrapText="1"/>
    </xf>
    <xf numFmtId="180" fontId="152" fillId="0" borderId="0" xfId="0" applyNumberFormat="1" applyFont="1"/>
    <xf numFmtId="3" fontId="145" fillId="0" borderId="0" xfId="0" applyNumberFormat="1" applyFont="1"/>
    <xf numFmtId="0" fontId="162" fillId="0" borderId="0" xfId="0" applyFont="1"/>
    <xf numFmtId="0" fontId="152" fillId="58" borderId="0" xfId="0" applyFont="1" applyFill="1"/>
    <xf numFmtId="2" fontId="12" fillId="0" borderId="19" xfId="0" applyNumberFormat="1" applyFont="1" applyBorder="1" applyAlignment="1">
      <alignment horizontal="center" wrapText="1"/>
    </xf>
    <xf numFmtId="0" fontId="210" fillId="0" borderId="0" xfId="0" applyFont="1"/>
    <xf numFmtId="0" fontId="211" fillId="0" borderId="0" xfId="0" applyFont="1"/>
    <xf numFmtId="3" fontId="210" fillId="0" borderId="0" xfId="0" applyNumberFormat="1" applyFont="1"/>
    <xf numFmtId="0" fontId="191" fillId="0" borderId="0" xfId="0" applyFont="1"/>
    <xf numFmtId="208" fontId="57" fillId="0" borderId="19" xfId="0" applyNumberFormat="1" applyFont="1" applyBorder="1" applyAlignment="1">
      <alignment horizontal="center" vertical="center" wrapText="1"/>
    </xf>
    <xf numFmtId="0" fontId="159" fillId="0" borderId="0" xfId="0" applyFont="1"/>
    <xf numFmtId="9" fontId="37" fillId="0" borderId="0" xfId="1900" applyAlignment="1">
      <alignment wrapText="1"/>
    </xf>
    <xf numFmtId="175" fontId="39" fillId="0" borderId="0" xfId="0" applyNumberFormat="1" applyFont="1"/>
    <xf numFmtId="175" fontId="37" fillId="0" borderId="0" xfId="1900" applyNumberFormat="1" applyBorder="1"/>
    <xf numFmtId="173" fontId="162" fillId="0" borderId="0" xfId="0" applyNumberFormat="1" applyFont="1"/>
    <xf numFmtId="177" fontId="162" fillId="0" borderId="0" xfId="0" applyNumberFormat="1" applyFont="1"/>
    <xf numFmtId="10" fontId="37" fillId="0" borderId="0" xfId="1900" applyNumberFormat="1" applyFill="1"/>
    <xf numFmtId="209" fontId="12" fillId="0" borderId="19" xfId="0" applyNumberFormat="1" applyFont="1" applyBorder="1" applyAlignment="1">
      <alignment horizontal="center" vertical="center"/>
    </xf>
    <xf numFmtId="194" fontId="12" fillId="0" borderId="19" xfId="0" applyNumberFormat="1" applyFont="1" applyBorder="1" applyAlignment="1">
      <alignment horizontal="center" vertical="center"/>
    </xf>
    <xf numFmtId="209" fontId="12" fillId="0" borderId="21" xfId="0" applyNumberFormat="1" applyFont="1" applyBorder="1" applyAlignment="1">
      <alignment horizontal="center" vertical="center"/>
    </xf>
    <xf numFmtId="194" fontId="12" fillId="0" borderId="21" xfId="0" applyNumberFormat="1" applyFont="1" applyBorder="1" applyAlignment="1">
      <alignment horizontal="center" vertical="center"/>
    </xf>
    <xf numFmtId="9" fontId="161" fillId="0" borderId="19" xfId="1900" applyFont="1" applyBorder="1" applyAlignment="1">
      <alignment horizontal="center" vertical="center"/>
    </xf>
    <xf numFmtId="1" fontId="212" fillId="0" borderId="19" xfId="0" applyNumberFormat="1" applyFont="1" applyBorder="1" applyAlignment="1">
      <alignment horizontal="center" vertical="center"/>
    </xf>
    <xf numFmtId="1" fontId="213" fillId="0" borderId="19" xfId="0" applyNumberFormat="1" applyFont="1" applyBorder="1" applyAlignment="1">
      <alignment horizontal="center" vertical="center"/>
    </xf>
    <xf numFmtId="9" fontId="159" fillId="0" borderId="0" xfId="1900" applyFont="1" applyBorder="1"/>
    <xf numFmtId="175" fontId="165" fillId="0" borderId="0" xfId="1900" applyNumberFormat="1" applyFont="1"/>
    <xf numFmtId="9" fontId="37" fillId="0" borderId="0" xfId="1900" applyAlignment="1">
      <alignment horizontal="left"/>
    </xf>
    <xf numFmtId="0" fontId="12" fillId="58" borderId="0" xfId="0" applyFont="1" applyFill="1"/>
    <xf numFmtId="170" fontId="32" fillId="0" borderId="0" xfId="1900" applyNumberFormat="1" applyFont="1" applyFill="1"/>
    <xf numFmtId="168" fontId="32" fillId="0" borderId="0" xfId="1900" applyNumberFormat="1" applyFont="1" applyFill="1"/>
    <xf numFmtId="180" fontId="39" fillId="0" borderId="0" xfId="1152" applyNumberFormat="1" applyFont="1" applyFill="1" applyBorder="1" applyAlignment="1">
      <alignment horizontal="center" vertical="center" wrapText="1"/>
    </xf>
    <xf numFmtId="0" fontId="39" fillId="0" borderId="0" xfId="0" applyFont="1" applyAlignment="1">
      <alignment wrapText="1"/>
    </xf>
    <xf numFmtId="17" fontId="12" fillId="0" borderId="19" xfId="1152" applyNumberFormat="1" applyFont="1" applyFill="1" applyBorder="1" applyAlignment="1">
      <alignment horizontal="left" wrapText="1"/>
    </xf>
    <xf numFmtId="183" fontId="34" fillId="0" borderId="0" xfId="0" applyNumberFormat="1" applyFont="1" applyAlignment="1">
      <alignment wrapText="1"/>
    </xf>
    <xf numFmtId="183" fontId="34" fillId="0" borderId="0" xfId="0" applyNumberFormat="1" applyFont="1" applyAlignment="1">
      <alignment vertical="top" wrapText="1"/>
    </xf>
    <xf numFmtId="179" fontId="37" fillId="0" borderId="0" xfId="1900" applyNumberFormat="1" applyAlignment="1">
      <alignment vertical="center"/>
    </xf>
    <xf numFmtId="9" fontId="91" fillId="0" borderId="0" xfId="0" applyNumberFormat="1" applyFont="1"/>
    <xf numFmtId="175" fontId="159" fillId="0" borderId="0" xfId="1900" applyNumberFormat="1" applyFont="1" applyFill="1" applyAlignment="1"/>
    <xf numFmtId="9" fontId="36" fillId="0" borderId="0" xfId="1900" applyFont="1" applyAlignment="1">
      <alignment vertical="center"/>
    </xf>
    <xf numFmtId="3" fontId="12" fillId="0" borderId="19" xfId="1153" applyNumberFormat="1" applyFont="1" applyBorder="1" applyAlignment="1">
      <alignment horizontal="center" vertical="center"/>
    </xf>
    <xf numFmtId="0" fontId="214" fillId="0" borderId="0" xfId="0" applyFont="1"/>
    <xf numFmtId="9" fontId="37" fillId="0" borderId="0" xfId="1900" applyBorder="1" applyAlignment="1">
      <alignment horizontal="left" vertical="top" wrapText="1"/>
    </xf>
    <xf numFmtId="0" fontId="215" fillId="0" borderId="19" xfId="0" applyFont="1" applyBorder="1" applyAlignment="1">
      <alignment horizontal="center" vertical="top" wrapText="1"/>
    </xf>
    <xf numFmtId="0" fontId="216" fillId="0" borderId="19" xfId="0" applyFont="1" applyBorder="1" applyAlignment="1">
      <alignment horizontal="left" vertical="top" wrapText="1"/>
    </xf>
    <xf numFmtId="203" fontId="216" fillId="0" borderId="19" xfId="0" applyNumberFormat="1" applyFont="1" applyBorder="1" applyAlignment="1">
      <alignment horizontal="center" vertical="center" wrapText="1"/>
    </xf>
    <xf numFmtId="192" fontId="216" fillId="0" borderId="19" xfId="0" applyNumberFormat="1" applyFont="1" applyBorder="1" applyAlignment="1">
      <alignment horizontal="center" vertical="center" wrapText="1"/>
    </xf>
    <xf numFmtId="0" fontId="216" fillId="0" borderId="0" xfId="0" applyFont="1" applyAlignment="1">
      <alignment vertical="top" wrapText="1"/>
    </xf>
    <xf numFmtId="192" fontId="216" fillId="0" borderId="0" xfId="0" applyNumberFormat="1" applyFont="1" applyAlignment="1">
      <alignment horizontal="center" vertical="top" wrapText="1"/>
    </xf>
    <xf numFmtId="0" fontId="216" fillId="0" borderId="19" xfId="0" applyFont="1" applyBorder="1" applyAlignment="1">
      <alignment vertical="top" wrapText="1"/>
    </xf>
    <xf numFmtId="0" fontId="217" fillId="0" borderId="0" xfId="0" applyFont="1" applyAlignment="1">
      <alignment wrapText="1"/>
    </xf>
    <xf numFmtId="208" fontId="216" fillId="0" borderId="19" xfId="0" applyNumberFormat="1" applyFont="1" applyBorder="1" applyAlignment="1">
      <alignment horizontal="center" vertical="center" wrapText="1"/>
    </xf>
    <xf numFmtId="176" fontId="146" fillId="0" borderId="19" xfId="1153" applyNumberFormat="1" applyFont="1" applyFill="1" applyBorder="1" applyAlignment="1">
      <alignment horizontal="center" vertical="center"/>
    </xf>
    <xf numFmtId="1" fontId="12" fillId="0" borderId="19" xfId="1153" applyNumberFormat="1" applyFont="1" applyFill="1" applyBorder="1" applyAlignment="1">
      <alignment horizontal="center" vertical="center"/>
    </xf>
    <xf numFmtId="175" fontId="37" fillId="0" borderId="0" xfId="1900" applyNumberFormat="1" applyAlignment="1">
      <alignment wrapText="1"/>
    </xf>
    <xf numFmtId="0" fontId="12" fillId="58" borderId="19" xfId="0" applyFont="1" applyFill="1" applyBorder="1" applyAlignment="1">
      <alignment horizontal="center" wrapText="1"/>
    </xf>
    <xf numFmtId="205" fontId="145" fillId="0" borderId="0" xfId="0" applyNumberFormat="1" applyFont="1"/>
    <xf numFmtId="9" fontId="165" fillId="0" borderId="0" xfId="1900" applyFont="1" applyBorder="1"/>
    <xf numFmtId="0" fontId="36" fillId="0" borderId="19" xfId="0" applyFont="1" applyBorder="1" applyAlignment="1">
      <alignment horizontal="center" vertical="center"/>
    </xf>
    <xf numFmtId="203" fontId="57" fillId="58" borderId="19" xfId="0" applyNumberFormat="1" applyFont="1" applyFill="1" applyBorder="1" applyAlignment="1">
      <alignment horizontal="center" vertical="center" wrapText="1"/>
    </xf>
    <xf numFmtId="175" fontId="12" fillId="0" borderId="19" xfId="0" applyNumberFormat="1" applyFont="1" applyBorder="1" applyAlignment="1">
      <alignment horizontal="center" vertical="center"/>
    </xf>
    <xf numFmtId="0" fontId="70" fillId="0" borderId="0" xfId="0" applyFont="1" applyAlignment="1">
      <alignment horizontal="center" vertical="center"/>
    </xf>
    <xf numFmtId="175" fontId="161" fillId="0" borderId="33" xfId="1900" applyNumberFormat="1" applyFont="1" applyBorder="1" applyAlignment="1">
      <alignment horizontal="center"/>
    </xf>
    <xf numFmtId="175" fontId="146" fillId="0" borderId="19" xfId="0" applyNumberFormat="1" applyFont="1" applyBorder="1" applyAlignment="1">
      <alignment horizontal="center"/>
    </xf>
    <xf numFmtId="4" fontId="191" fillId="0" borderId="0" xfId="0" applyNumberFormat="1" applyFont="1"/>
    <xf numFmtId="3" fontId="152" fillId="0" borderId="0" xfId="0" applyNumberFormat="1" applyFont="1"/>
    <xf numFmtId="0" fontId="219" fillId="0" borderId="0" xfId="0" applyFont="1"/>
    <xf numFmtId="1" fontId="122" fillId="0" borderId="0" xfId="1243" applyNumberFormat="1" applyFont="1" applyAlignment="1">
      <alignment horizontal="center"/>
    </xf>
    <xf numFmtId="0" fontId="33" fillId="0" borderId="19" xfId="0" applyFont="1" applyBorder="1" applyAlignment="1">
      <alignment horizontal="center" vertical="center"/>
    </xf>
    <xf numFmtId="0" fontId="34" fillId="0" borderId="19" xfId="0" applyFont="1" applyBorder="1" applyAlignment="1">
      <alignment horizontal="left"/>
    </xf>
    <xf numFmtId="168" fontId="34" fillId="0" borderId="19" xfId="1152" applyNumberFormat="1" applyFont="1" applyFill="1" applyBorder="1" applyAlignment="1">
      <alignment horizontal="center" vertical="center"/>
    </xf>
    <xf numFmtId="175" fontId="168" fillId="0" borderId="19" xfId="1900" applyNumberFormat="1" applyFont="1" applyFill="1" applyBorder="1" applyAlignment="1">
      <alignment horizontal="center" vertical="center"/>
    </xf>
    <xf numFmtId="3" fontId="34" fillId="0" borderId="19" xfId="1152" applyNumberFormat="1" applyFont="1" applyFill="1" applyBorder="1" applyAlignment="1">
      <alignment horizontal="center" vertical="center"/>
    </xf>
    <xf numFmtId="0" fontId="70" fillId="0" borderId="19" xfId="0" applyFont="1" applyBorder="1" applyAlignment="1">
      <alignment horizontal="left"/>
    </xf>
    <xf numFmtId="0" fontId="34" fillId="0" borderId="19" xfId="0" applyFont="1" applyBorder="1"/>
    <xf numFmtId="9" fontId="34" fillId="0" borderId="19" xfId="0" applyNumberFormat="1" applyFont="1" applyBorder="1" applyAlignment="1">
      <alignment horizontal="center" vertical="center"/>
    </xf>
    <xf numFmtId="175" fontId="34" fillId="0" borderId="19" xfId="0" applyNumberFormat="1" applyFont="1" applyBorder="1" applyAlignment="1">
      <alignment horizontal="right"/>
    </xf>
    <xf numFmtId="9" fontId="37" fillId="0" borderId="0" xfId="1900" applyFill="1" applyBorder="1" applyAlignment="1">
      <alignment horizontal="center" vertical="center"/>
    </xf>
    <xf numFmtId="180" fontId="156" fillId="0" borderId="0" xfId="1152" applyNumberFormat="1" applyFont="1" applyFill="1" applyBorder="1" applyAlignment="1">
      <alignment horizontal="center" vertical="center"/>
    </xf>
    <xf numFmtId="197" fontId="149" fillId="0" borderId="0" xfId="0" applyNumberFormat="1" applyFont="1"/>
    <xf numFmtId="4" fontId="147" fillId="0" borderId="0" xfId="0" applyNumberFormat="1" applyFont="1"/>
    <xf numFmtId="9" fontId="221" fillId="0" borderId="19" xfId="1900" applyFont="1" applyBorder="1" applyAlignment="1">
      <alignment horizontal="center"/>
    </xf>
    <xf numFmtId="0" fontId="12" fillId="0" borderId="19" xfId="0" applyFont="1" applyBorder="1" applyAlignment="1">
      <alignment horizontal="right"/>
    </xf>
    <xf numFmtId="210" fontId="162" fillId="0" borderId="0" xfId="0" applyNumberFormat="1" applyFont="1"/>
    <xf numFmtId="210" fontId="0" fillId="0" borderId="0" xfId="0" applyNumberFormat="1"/>
    <xf numFmtId="10" fontId="37" fillId="0" borderId="0" xfId="1900" applyNumberFormat="1"/>
    <xf numFmtId="175" fontId="221" fillId="0" borderId="19" xfId="1900" applyNumberFormat="1" applyFont="1" applyBorder="1" applyAlignment="1">
      <alignment horizontal="center"/>
    </xf>
    <xf numFmtId="9" fontId="12" fillId="0" borderId="19" xfId="0" applyNumberFormat="1" applyFont="1" applyBorder="1"/>
    <xf numFmtId="205" fontId="209" fillId="0" borderId="0" xfId="0" applyNumberFormat="1" applyFont="1"/>
    <xf numFmtId="14" fontId="145" fillId="0" borderId="0" xfId="0" applyNumberFormat="1" applyFont="1"/>
    <xf numFmtId="1" fontId="145" fillId="0" borderId="0" xfId="0" applyNumberFormat="1" applyFont="1" applyAlignment="1">
      <alignment horizontal="center" vertical="center"/>
    </xf>
    <xf numFmtId="1" fontId="145" fillId="0" borderId="0" xfId="0" applyNumberFormat="1" applyFont="1" applyAlignment="1">
      <alignment horizontal="center"/>
    </xf>
    <xf numFmtId="3" fontId="122" fillId="0" borderId="0" xfId="0" applyNumberFormat="1" applyFont="1"/>
    <xf numFmtId="10" fontId="165" fillId="0" borderId="0" xfId="1900" applyNumberFormat="1" applyFont="1"/>
    <xf numFmtId="2" fontId="145" fillId="0" borderId="0" xfId="0" applyNumberFormat="1" applyFont="1"/>
    <xf numFmtId="2" fontId="165" fillId="0" borderId="0" xfId="1900" applyNumberFormat="1" applyFont="1"/>
    <xf numFmtId="0" fontId="222" fillId="0" borderId="0" xfId="0" applyFont="1" applyAlignment="1">
      <alignment wrapText="1"/>
    </xf>
    <xf numFmtId="0" fontId="222" fillId="0" borderId="0" xfId="0" applyFont="1"/>
    <xf numFmtId="0" fontId="223" fillId="0" borderId="0" xfId="0" applyFont="1" applyAlignment="1">
      <alignment wrapText="1"/>
    </xf>
    <xf numFmtId="0" fontId="223" fillId="0" borderId="0" xfId="0" applyFont="1"/>
    <xf numFmtId="173" fontId="57" fillId="0" borderId="19" xfId="0" applyNumberFormat="1" applyFont="1" applyBorder="1" applyAlignment="1">
      <alignment horizontal="center" vertical="center"/>
    </xf>
    <xf numFmtId="173" fontId="57" fillId="0" borderId="21" xfId="0" applyNumberFormat="1" applyFont="1" applyBorder="1" applyAlignment="1">
      <alignment horizontal="center" vertical="center"/>
    </xf>
    <xf numFmtId="173" fontId="57" fillId="58" borderId="21" xfId="0" applyNumberFormat="1" applyFont="1" applyFill="1" applyBorder="1" applyAlignment="1">
      <alignment horizontal="center" vertical="center"/>
    </xf>
    <xf numFmtId="193" fontId="152" fillId="0" borderId="0" xfId="0" applyNumberFormat="1" applyFont="1"/>
    <xf numFmtId="173" fontId="12" fillId="53" borderId="19" xfId="0" applyNumberFormat="1" applyFont="1" applyFill="1" applyBorder="1" applyAlignment="1">
      <alignment horizontal="center" vertical="center" wrapText="1"/>
    </xf>
    <xf numFmtId="173" fontId="151" fillId="59" borderId="19" xfId="0" applyNumberFormat="1" applyFont="1" applyFill="1" applyBorder="1"/>
    <xf numFmtId="175" fontId="147" fillId="0" borderId="0" xfId="0" applyNumberFormat="1" applyFont="1"/>
    <xf numFmtId="0" fontId="149" fillId="0" borderId="0" xfId="0" applyFont="1" applyAlignment="1">
      <alignment horizontal="center" vertical="center"/>
    </xf>
    <xf numFmtId="175" fontId="159" fillId="0" borderId="0" xfId="1900" applyNumberFormat="1" applyFont="1" applyBorder="1"/>
    <xf numFmtId="0" fontId="191" fillId="0" borderId="0" xfId="0" applyFont="1" applyAlignment="1">
      <alignment horizontal="center" vertical="center" wrapText="1"/>
    </xf>
    <xf numFmtId="0" fontId="191" fillId="0" borderId="0" xfId="0" applyFont="1" applyAlignment="1">
      <alignment horizontal="center" vertical="center"/>
    </xf>
    <xf numFmtId="4" fontId="162" fillId="0" borderId="0" xfId="0" applyNumberFormat="1" applyFont="1"/>
    <xf numFmtId="173" fontId="12" fillId="0" borderId="19" xfId="0" applyNumberFormat="1" applyFont="1" applyBorder="1" applyAlignment="1">
      <alignment horizontal="center" wrapText="1"/>
    </xf>
    <xf numFmtId="185" fontId="145" fillId="0" borderId="0" xfId="0" applyNumberFormat="1" applyFont="1"/>
    <xf numFmtId="192" fontId="12" fillId="0" borderId="0" xfId="0" applyNumberFormat="1" applyFont="1" applyAlignment="1">
      <alignment horizontal="center" wrapText="1"/>
    </xf>
    <xf numFmtId="176" fontId="146" fillId="58" borderId="19" xfId="1153" applyNumberFormat="1" applyFont="1" applyFill="1" applyBorder="1" applyAlignment="1">
      <alignment horizontal="center" vertical="center"/>
    </xf>
    <xf numFmtId="0" fontId="39" fillId="0" borderId="19" xfId="1882" quotePrefix="1" applyFont="1" applyBorder="1" applyAlignment="1">
      <alignment vertical="center"/>
    </xf>
    <xf numFmtId="3" fontId="39" fillId="0" borderId="19" xfId="1165" applyNumberFormat="1" applyFont="1" applyFill="1" applyBorder="1" applyAlignment="1">
      <alignment horizontal="right" vertical="center" indent="2"/>
    </xf>
    <xf numFmtId="176" fontId="39" fillId="0" borderId="19" xfId="1165" applyNumberFormat="1" applyFont="1" applyFill="1" applyBorder="1" applyAlignment="1">
      <alignment horizontal="right" vertical="center" indent="2"/>
    </xf>
    <xf numFmtId="0" fontId="36" fillId="0" borderId="33" xfId="0" applyFont="1" applyBorder="1"/>
    <xf numFmtId="176" fontId="12" fillId="53" borderId="19" xfId="0" applyNumberFormat="1" applyFont="1" applyFill="1" applyBorder="1" applyAlignment="1">
      <alignment horizontal="center" vertical="center" wrapText="1"/>
    </xf>
    <xf numFmtId="0" fontId="39" fillId="0" borderId="32" xfId="0" applyFont="1" applyBorder="1" applyAlignment="1">
      <alignment vertical="center"/>
    </xf>
    <xf numFmtId="3" fontId="39" fillId="0" borderId="19" xfId="1153" applyNumberFormat="1" applyFont="1" applyFill="1" applyBorder="1" applyAlignment="1">
      <alignment horizontal="center" vertical="center"/>
    </xf>
    <xf numFmtId="0" fontId="39" fillId="0" borderId="33" xfId="0" quotePrefix="1" applyFont="1" applyBorder="1" applyAlignment="1">
      <alignment vertical="center"/>
    </xf>
    <xf numFmtId="3" fontId="39" fillId="0" borderId="19" xfId="0" quotePrefix="1" applyNumberFormat="1" applyFont="1" applyBorder="1" applyAlignment="1">
      <alignment horizontal="right" vertical="center" indent="2"/>
    </xf>
    <xf numFmtId="176" fontId="39" fillId="0" borderId="19" xfId="1153" applyNumberFormat="1" applyFont="1" applyFill="1" applyBorder="1" applyAlignment="1">
      <alignment horizontal="center" vertical="center"/>
    </xf>
    <xf numFmtId="0" fontId="223" fillId="58" borderId="0" xfId="0" applyFont="1" applyFill="1"/>
    <xf numFmtId="0" fontId="207" fillId="58" borderId="0" xfId="0" applyFont="1" applyFill="1"/>
    <xf numFmtId="0" fontId="222" fillId="58" borderId="0" xfId="0" applyFont="1" applyFill="1"/>
    <xf numFmtId="0" fontId="225" fillId="0" borderId="0" xfId="0" applyFont="1"/>
    <xf numFmtId="3" fontId="225" fillId="0" borderId="0" xfId="0" applyNumberFormat="1" applyFont="1"/>
    <xf numFmtId="193" fontId="145" fillId="0" borderId="0" xfId="0" applyNumberFormat="1" applyFont="1"/>
    <xf numFmtId="176" fontId="12" fillId="0" borderId="0" xfId="1232" applyNumberFormat="1" applyAlignment="1">
      <alignment wrapText="1"/>
    </xf>
    <xf numFmtId="185" fontId="12" fillId="0" borderId="0" xfId="0" applyNumberFormat="1" applyFont="1"/>
    <xf numFmtId="3" fontId="165" fillId="0" borderId="0" xfId="0" applyNumberFormat="1" applyFont="1" applyAlignment="1">
      <alignment wrapText="1"/>
    </xf>
    <xf numFmtId="0" fontId="165" fillId="0" borderId="0" xfId="0" applyFont="1" applyAlignment="1">
      <alignment wrapText="1"/>
    </xf>
    <xf numFmtId="0" fontId="165" fillId="0" borderId="0" xfId="0" applyFont="1" applyAlignment="1">
      <alignment horizontal="left" wrapText="1"/>
    </xf>
    <xf numFmtId="14" fontId="165" fillId="0" borderId="0" xfId="0" applyNumberFormat="1" applyFont="1"/>
    <xf numFmtId="3" fontId="165" fillId="0" borderId="0" xfId="0" applyNumberFormat="1" applyFont="1"/>
    <xf numFmtId="0" fontId="165" fillId="0" borderId="0" xfId="0" applyFont="1"/>
    <xf numFmtId="176" fontId="165" fillId="0" borderId="0" xfId="0" applyNumberFormat="1" applyFont="1"/>
    <xf numFmtId="2" fontId="165" fillId="0" borderId="0" xfId="0" applyNumberFormat="1" applyFont="1"/>
    <xf numFmtId="1" fontId="165" fillId="0" borderId="0" xfId="0" applyNumberFormat="1" applyFont="1"/>
    <xf numFmtId="14" fontId="165" fillId="58" borderId="0" xfId="0" applyNumberFormat="1" applyFont="1" applyFill="1"/>
    <xf numFmtId="3" fontId="165" fillId="58" borderId="0" xfId="0" applyNumberFormat="1" applyFont="1" applyFill="1"/>
    <xf numFmtId="175" fontId="165" fillId="58" borderId="0" xfId="1900" applyNumberFormat="1" applyFont="1" applyFill="1"/>
    <xf numFmtId="1" fontId="165" fillId="58" borderId="0" xfId="0" applyNumberFormat="1" applyFont="1" applyFill="1"/>
    <xf numFmtId="176" fontId="165" fillId="58" borderId="0" xfId="0" applyNumberFormat="1" applyFont="1" applyFill="1"/>
    <xf numFmtId="2" fontId="165" fillId="58" borderId="0" xfId="0" applyNumberFormat="1" applyFont="1" applyFill="1"/>
    <xf numFmtId="167" fontId="207" fillId="58" borderId="0" xfId="0" applyNumberFormat="1" applyFont="1" applyFill="1" applyAlignment="1">
      <alignment horizontal="center"/>
    </xf>
    <xf numFmtId="0" fontId="207" fillId="58" borderId="0" xfId="0" applyFont="1" applyFill="1" applyAlignment="1">
      <alignment horizontal="center"/>
    </xf>
    <xf numFmtId="175" fontId="37" fillId="0" borderId="0" xfId="1900" applyNumberFormat="1" applyFill="1"/>
    <xf numFmtId="0" fontId="193" fillId="0" borderId="0" xfId="1232" applyFont="1" applyAlignment="1">
      <alignment horizontal="left"/>
    </xf>
    <xf numFmtId="0" fontId="36" fillId="0" borderId="0" xfId="1900" applyNumberFormat="1" applyFont="1" applyAlignment="1">
      <alignment vertical="center"/>
    </xf>
    <xf numFmtId="2" fontId="12" fillId="58" borderId="19" xfId="0" applyNumberFormat="1" applyFont="1" applyFill="1" applyBorder="1" applyAlignment="1">
      <alignment horizontal="center" wrapText="1"/>
    </xf>
    <xf numFmtId="0" fontId="226" fillId="0" borderId="0" xfId="0" applyFont="1" applyAlignment="1">
      <alignment horizontal="right" vertical="center" wrapText="1"/>
    </xf>
    <xf numFmtId="173" fontId="152" fillId="0" borderId="0" xfId="0" applyNumberFormat="1" applyFont="1"/>
    <xf numFmtId="0" fontId="227" fillId="53" borderId="0" xfId="0" applyFont="1" applyFill="1" applyAlignment="1">
      <alignment horizontal="right" vertical="center" wrapText="1"/>
    </xf>
    <xf numFmtId="3" fontId="228" fillId="0" borderId="0" xfId="0" applyNumberFormat="1" applyFont="1"/>
    <xf numFmtId="0" fontId="228" fillId="0" borderId="0" xfId="0" applyFont="1"/>
    <xf numFmtId="194" fontId="12" fillId="0" borderId="20" xfId="0" applyNumberFormat="1" applyFont="1" applyBorder="1" applyAlignment="1">
      <alignment horizontal="center" vertical="center"/>
    </xf>
    <xf numFmtId="3" fontId="12" fillId="58" borderId="20" xfId="0" applyNumberFormat="1" applyFont="1" applyFill="1" applyBorder="1" applyAlignment="1">
      <alignment horizontal="center"/>
    </xf>
    <xf numFmtId="9" fontId="221" fillId="0" borderId="0" xfId="1900" applyFont="1" applyBorder="1" applyAlignment="1">
      <alignment horizontal="center"/>
    </xf>
    <xf numFmtId="175" fontId="221" fillId="0" borderId="0" xfId="1900" applyNumberFormat="1" applyFont="1" applyBorder="1" applyAlignment="1">
      <alignment horizontal="center"/>
    </xf>
    <xf numFmtId="0" fontId="34" fillId="0" borderId="0" xfId="0" applyFont="1" applyAlignment="1">
      <alignment horizontal="left" vertical="center"/>
    </xf>
    <xf numFmtId="9" fontId="37" fillId="0" borderId="0" xfId="1900" applyBorder="1" applyAlignment="1">
      <alignment horizontal="left" vertical="center"/>
    </xf>
    <xf numFmtId="199" fontId="12" fillId="0" borderId="0" xfId="0" applyNumberFormat="1" applyFont="1"/>
    <xf numFmtId="176" fontId="90" fillId="0" borderId="0" xfId="0" applyNumberFormat="1" applyFont="1"/>
    <xf numFmtId="210" fontId="12" fillId="0" borderId="19" xfId="0" applyNumberFormat="1" applyFont="1" applyBorder="1" applyAlignment="1">
      <alignment horizontal="center"/>
    </xf>
    <xf numFmtId="4" fontId="165" fillId="0" borderId="0" xfId="0" applyNumberFormat="1" applyFont="1"/>
    <xf numFmtId="185" fontId="12" fillId="0" borderId="0" xfId="0" applyNumberFormat="1" applyFont="1" applyAlignment="1">
      <alignment vertical="center"/>
    </xf>
    <xf numFmtId="0" fontId="39" fillId="0" borderId="33" xfId="0" applyFont="1" applyBorder="1" applyAlignment="1">
      <alignment horizontal="center" vertical="center" wrapText="1"/>
    </xf>
    <xf numFmtId="0" fontId="39" fillId="0" borderId="20" xfId="0" applyFont="1" applyBorder="1" applyAlignment="1">
      <alignment horizontal="center" vertical="center" wrapText="1"/>
    </xf>
    <xf numFmtId="168" fontId="71" fillId="0" borderId="20" xfId="0" applyNumberFormat="1" applyFont="1" applyBorder="1" applyAlignment="1">
      <alignment horizontal="center" vertical="center"/>
    </xf>
    <xf numFmtId="0" fontId="193" fillId="0" borderId="0" xfId="0" applyFont="1" applyAlignment="1">
      <alignment horizontal="left" vertical="center" wrapText="1"/>
    </xf>
    <xf numFmtId="0" fontId="206" fillId="0" borderId="20" xfId="0" applyFont="1" applyBorder="1" applyAlignment="1">
      <alignment horizontal="center" vertical="center" wrapText="1"/>
    </xf>
    <xf numFmtId="175" fontId="161" fillId="0" borderId="19" xfId="1900" applyNumberFormat="1" applyFont="1" applyBorder="1" applyAlignment="1">
      <alignment horizontal="center" vertical="center"/>
    </xf>
    <xf numFmtId="0" fontId="217" fillId="58" borderId="30" xfId="0" applyFont="1" applyFill="1" applyBorder="1" applyAlignment="1">
      <alignment vertical="top" wrapText="1"/>
    </xf>
    <xf numFmtId="192" fontId="217" fillId="58" borderId="20" xfId="0" applyNumberFormat="1" applyFont="1" applyFill="1" applyBorder="1" applyAlignment="1">
      <alignment horizontal="center" vertical="center" wrapText="1"/>
    </xf>
    <xf numFmtId="192" fontId="217" fillId="58" borderId="33" xfId="0" applyNumberFormat="1" applyFont="1" applyFill="1" applyBorder="1" applyAlignment="1">
      <alignment horizontal="center" vertical="center" wrapText="1"/>
    </xf>
    <xf numFmtId="0" fontId="229" fillId="0" borderId="0" xfId="0" applyFont="1"/>
    <xf numFmtId="3" fontId="120" fillId="0" borderId="0" xfId="0" applyNumberFormat="1" applyFont="1"/>
    <xf numFmtId="1" fontId="37" fillId="0" borderId="0" xfId="1900" applyNumberFormat="1" applyFill="1"/>
    <xf numFmtId="3" fontId="149" fillId="0" borderId="0" xfId="0" applyNumberFormat="1" applyFont="1"/>
    <xf numFmtId="175" fontId="145" fillId="0" borderId="0" xfId="0" applyNumberFormat="1" applyFont="1"/>
    <xf numFmtId="10" fontId="145" fillId="0" borderId="0" xfId="0" applyNumberFormat="1" applyFont="1"/>
    <xf numFmtId="173" fontId="0" fillId="0" borderId="0" xfId="0" applyNumberFormat="1" applyAlignment="1">
      <alignment wrapText="1"/>
    </xf>
    <xf numFmtId="0" fontId="209" fillId="0" borderId="0" xfId="0" applyFont="1"/>
    <xf numFmtId="177" fontId="171" fillId="0" borderId="0" xfId="1153" applyFont="1" applyBorder="1"/>
    <xf numFmtId="175" fontId="170" fillId="0" borderId="0" xfId="1900" applyNumberFormat="1" applyFont="1" applyBorder="1"/>
    <xf numFmtId="175" fontId="166" fillId="0" borderId="0" xfId="0" applyNumberFormat="1" applyFont="1"/>
    <xf numFmtId="168" fontId="145" fillId="0" borderId="0" xfId="1152" applyNumberFormat="1" applyFont="1" applyFill="1" applyBorder="1" applyAlignment="1">
      <alignment horizontal="center" vertical="center"/>
    </xf>
    <xf numFmtId="168" fontId="170" fillId="0" borderId="0" xfId="0" applyNumberFormat="1" applyFont="1"/>
    <xf numFmtId="207" fontId="170" fillId="0" borderId="0" xfId="1153" applyNumberFormat="1" applyFont="1" applyFill="1" applyBorder="1" applyAlignment="1"/>
    <xf numFmtId="168" fontId="166" fillId="0" borderId="0" xfId="0" applyNumberFormat="1" applyFont="1"/>
    <xf numFmtId="173" fontId="90" fillId="0" borderId="0" xfId="0" applyNumberFormat="1" applyFont="1"/>
    <xf numFmtId="0" fontId="209" fillId="58" borderId="0" xfId="0" applyFont="1" applyFill="1"/>
    <xf numFmtId="17" fontId="209" fillId="58" borderId="0" xfId="0" applyNumberFormat="1" applyFont="1" applyFill="1"/>
    <xf numFmtId="17" fontId="145" fillId="58" borderId="0" xfId="0" applyNumberFormat="1" applyFont="1" applyFill="1"/>
    <xf numFmtId="14" fontId="209" fillId="58" borderId="0" xfId="0" applyNumberFormat="1" applyFont="1" applyFill="1"/>
    <xf numFmtId="1" fontId="209" fillId="58" borderId="0" xfId="0" applyNumberFormat="1" applyFont="1" applyFill="1"/>
    <xf numFmtId="2" fontId="209" fillId="58" borderId="0" xfId="0" applyNumberFormat="1" applyFont="1" applyFill="1"/>
    <xf numFmtId="205" fontId="209" fillId="58" borderId="0" xfId="0" applyNumberFormat="1" applyFont="1" applyFill="1"/>
    <xf numFmtId="2" fontId="122" fillId="58" borderId="19" xfId="0" applyNumberFormat="1" applyFont="1" applyFill="1" applyBorder="1"/>
    <xf numFmtId="14" fontId="145" fillId="58" borderId="0" xfId="0" applyNumberFormat="1" applyFont="1" applyFill="1"/>
    <xf numFmtId="3" fontId="36" fillId="0" borderId="0" xfId="0" applyNumberFormat="1" applyFont="1" applyAlignment="1">
      <alignment horizontal="center"/>
    </xf>
    <xf numFmtId="0" fontId="34" fillId="0" borderId="0" xfId="0" applyFont="1" applyAlignment="1">
      <alignment horizontal="center" vertical="center"/>
    </xf>
    <xf numFmtId="175" fontId="12" fillId="0" borderId="19" xfId="0" applyNumberFormat="1" applyFont="1" applyBorder="1" applyAlignment="1">
      <alignment horizontal="center" wrapText="1"/>
    </xf>
    <xf numFmtId="175" fontId="12" fillId="53" borderId="19" xfId="0" applyNumberFormat="1" applyFont="1" applyFill="1" applyBorder="1" applyAlignment="1">
      <alignment horizontal="center" vertical="center" wrapText="1"/>
    </xf>
    <xf numFmtId="175" fontId="12" fillId="0" borderId="19" xfId="0" applyNumberFormat="1" applyFont="1" applyBorder="1" applyAlignment="1">
      <alignment horizontal="center" vertical="center" wrapText="1"/>
    </xf>
    <xf numFmtId="0" fontId="137" fillId="0" borderId="0" xfId="0" applyFont="1"/>
    <xf numFmtId="0" fontId="193" fillId="0" borderId="0" xfId="0" applyFont="1"/>
    <xf numFmtId="0" fontId="137" fillId="58" borderId="0" xfId="0" applyFont="1" applyFill="1"/>
    <xf numFmtId="0" fontId="230" fillId="0" borderId="0" xfId="0" applyFont="1"/>
    <xf numFmtId="0" fontId="231" fillId="0" borderId="0" xfId="0" applyFont="1"/>
    <xf numFmtId="4" fontId="230" fillId="0" borderId="0" xfId="0" applyNumberFormat="1" applyFont="1"/>
    <xf numFmtId="0" fontId="232" fillId="0" borderId="0" xfId="0" applyFont="1"/>
    <xf numFmtId="0" fontId="233" fillId="0" borderId="0" xfId="0" applyFont="1"/>
    <xf numFmtId="177" fontId="235" fillId="0" borderId="0" xfId="1153" applyFont="1" applyBorder="1"/>
    <xf numFmtId="175" fontId="234" fillId="0" borderId="0" xfId="1900" applyNumberFormat="1" applyFont="1" applyBorder="1"/>
    <xf numFmtId="175" fontId="236" fillId="0" borderId="0" xfId="1900" applyNumberFormat="1" applyFont="1" applyBorder="1"/>
    <xf numFmtId="9" fontId="236" fillId="0" borderId="0" xfId="1900" applyFont="1" applyBorder="1"/>
    <xf numFmtId="177" fontId="235" fillId="0" borderId="0" xfId="1153" applyFont="1" applyFill="1" applyBorder="1" applyAlignment="1"/>
    <xf numFmtId="175" fontId="236" fillId="0" borderId="0" xfId="1900" applyNumberFormat="1" applyFont="1" applyFill="1" applyBorder="1" applyAlignment="1"/>
    <xf numFmtId="0" fontId="237" fillId="0" borderId="0" xfId="0" applyFont="1"/>
    <xf numFmtId="0" fontId="238" fillId="0" borderId="0" xfId="0" applyFont="1"/>
    <xf numFmtId="0" fontId="239" fillId="0" borderId="0" xfId="0" applyFont="1"/>
    <xf numFmtId="1" fontId="165" fillId="0" borderId="0" xfId="1900" applyNumberFormat="1" applyFont="1" applyAlignment="1"/>
    <xf numFmtId="10" fontId="37" fillId="0" borderId="0" xfId="1900" applyNumberFormat="1" applyAlignment="1" applyProtection="1">
      <alignment vertical="top" wrapText="1" readingOrder="1"/>
      <protection locked="0"/>
    </xf>
    <xf numFmtId="205" fontId="162" fillId="0" borderId="0" xfId="0" applyNumberFormat="1" applyFont="1"/>
    <xf numFmtId="177" fontId="152" fillId="0" borderId="0" xfId="1153" applyFont="1" applyFill="1" applyAlignment="1">
      <alignment wrapText="1"/>
    </xf>
    <xf numFmtId="0" fontId="162" fillId="0" borderId="0" xfId="0" applyFont="1" applyAlignment="1">
      <alignment wrapText="1"/>
    </xf>
    <xf numFmtId="2" fontId="209" fillId="0" borderId="0" xfId="0" applyNumberFormat="1" applyFont="1"/>
    <xf numFmtId="1" fontId="12" fillId="0" borderId="0" xfId="0" applyNumberFormat="1" applyFont="1" applyAlignment="1">
      <alignment vertical="center"/>
    </xf>
    <xf numFmtId="3" fontId="12" fillId="0" borderId="0" xfId="0" applyNumberFormat="1" applyFont="1" applyAlignment="1">
      <alignment horizontal="center"/>
    </xf>
    <xf numFmtId="9" fontId="12" fillId="0" borderId="0" xfId="1152" applyNumberFormat="1" applyFont="1" applyFill="1" applyBorder="1" applyAlignment="1">
      <alignment horizontal="center" vertical="center"/>
    </xf>
    <xf numFmtId="177" fontId="145" fillId="0" borderId="0" xfId="1153" applyFont="1" applyFill="1" applyBorder="1" applyAlignment="1">
      <alignment wrapText="1"/>
    </xf>
    <xf numFmtId="205" fontId="147" fillId="0" borderId="0" xfId="0" applyNumberFormat="1" applyFont="1"/>
    <xf numFmtId="177" fontId="145" fillId="0" borderId="0" xfId="1153" applyFont="1" applyFill="1" applyAlignment="1">
      <alignment wrapText="1"/>
    </xf>
    <xf numFmtId="0" fontId="147" fillId="0" borderId="0" xfId="0" applyFont="1" applyAlignment="1">
      <alignment wrapText="1"/>
    </xf>
    <xf numFmtId="3" fontId="147" fillId="0" borderId="0" xfId="0" applyNumberFormat="1" applyFont="1"/>
    <xf numFmtId="205" fontId="147" fillId="0" borderId="0" xfId="0" applyNumberFormat="1" applyFont="1" applyAlignment="1">
      <alignment horizontal="right"/>
    </xf>
    <xf numFmtId="3" fontId="145" fillId="0" borderId="0" xfId="1153" applyNumberFormat="1" applyFont="1" applyFill="1" applyAlignment="1">
      <alignment wrapText="1"/>
    </xf>
    <xf numFmtId="0" fontId="145" fillId="0" borderId="0" xfId="1153" applyNumberFormat="1" applyFont="1" applyFill="1" applyAlignment="1">
      <alignment wrapText="1"/>
    </xf>
    <xf numFmtId="2" fontId="147" fillId="0" borderId="0" xfId="0" applyNumberFormat="1" applyFont="1"/>
    <xf numFmtId="173" fontId="147" fillId="0" borderId="0" xfId="0" applyNumberFormat="1" applyFont="1"/>
    <xf numFmtId="10" fontId="0" fillId="0" borderId="0" xfId="1900" applyNumberFormat="1" applyFont="1" applyFill="1"/>
    <xf numFmtId="0" fontId="209" fillId="58" borderId="0" xfId="0" applyFont="1" applyFill="1" applyAlignment="1">
      <alignment horizontal="right"/>
    </xf>
    <xf numFmtId="15" fontId="209" fillId="58" borderId="0" xfId="0" applyNumberFormat="1" applyFont="1" applyFill="1"/>
    <xf numFmtId="0" fontId="122" fillId="0" borderId="0" xfId="0" applyFont="1"/>
    <xf numFmtId="0" fontId="218" fillId="0" borderId="0" xfId="1226" applyFont="1" applyAlignment="1">
      <alignment horizontal="center"/>
    </xf>
    <xf numFmtId="0" fontId="196" fillId="0" borderId="0" xfId="1226" applyFont="1" applyAlignment="1">
      <alignment horizontal="center"/>
    </xf>
    <xf numFmtId="17" fontId="199" fillId="0" borderId="0" xfId="1226" applyNumberFormat="1" applyFont="1" applyAlignment="1">
      <alignment horizontal="center" vertical="center" wrapText="1"/>
    </xf>
    <xf numFmtId="17" fontId="199" fillId="0" borderId="0" xfId="1226" applyNumberFormat="1" applyFont="1" applyAlignment="1">
      <alignment horizontal="center" vertical="center"/>
    </xf>
    <xf numFmtId="0" fontId="200" fillId="0" borderId="0" xfId="1226" applyFont="1" applyAlignment="1">
      <alignment horizontal="center"/>
    </xf>
    <xf numFmtId="0" fontId="199" fillId="53" borderId="0" xfId="1226" applyFont="1" applyFill="1" applyAlignment="1">
      <alignment horizontal="center"/>
    </xf>
    <xf numFmtId="0" fontId="111" fillId="0" borderId="0" xfId="1226" applyFont="1" applyAlignment="1">
      <alignment horizontal="center"/>
    </xf>
    <xf numFmtId="0" fontId="201" fillId="0" borderId="0" xfId="1226" applyFont="1" applyAlignment="1">
      <alignment horizontal="center"/>
    </xf>
    <xf numFmtId="0" fontId="194" fillId="0" borderId="0" xfId="1226" applyFont="1" applyAlignment="1">
      <alignment horizontal="center" wrapText="1"/>
    </xf>
    <xf numFmtId="0" fontId="41" fillId="0" borderId="0" xfId="1226" applyFont="1" applyAlignment="1">
      <alignment horizontal="left" wrapText="1"/>
    </xf>
    <xf numFmtId="0" fontId="116" fillId="0" borderId="0" xfId="1226" applyFont="1" applyAlignment="1">
      <alignment horizontal="center"/>
    </xf>
    <xf numFmtId="0" fontId="198" fillId="0" borderId="0" xfId="1226" applyFont="1" applyAlignment="1">
      <alignment horizontal="center" wrapText="1"/>
    </xf>
    <xf numFmtId="49" fontId="195" fillId="0" borderId="0" xfId="1226" applyNumberFormat="1" applyFont="1" applyAlignment="1">
      <alignment horizontal="center" vertical="center"/>
    </xf>
    <xf numFmtId="0" fontId="39" fillId="0" borderId="0" xfId="0" applyFont="1" applyAlignment="1">
      <alignment horizontal="center"/>
    </xf>
    <xf numFmtId="0" fontId="82" fillId="0" borderId="0" xfId="0" applyFont="1" applyAlignment="1">
      <alignment horizontal="center"/>
    </xf>
    <xf numFmtId="49" fontId="217" fillId="0" borderId="0" xfId="0" applyNumberFormat="1" applyFont="1" applyAlignment="1">
      <alignment horizontal="justify" vertical="top" wrapText="1"/>
    </xf>
    <xf numFmtId="0" fontId="57" fillId="0" borderId="0" xfId="1224" applyFont="1" applyAlignment="1">
      <alignment horizontal="left" vertical="center" wrapText="1"/>
    </xf>
    <xf numFmtId="0" fontId="12" fillId="0" borderId="0" xfId="1224" applyFont="1" applyAlignment="1">
      <alignment horizontal="left" vertical="top"/>
    </xf>
    <xf numFmtId="0" fontId="12" fillId="0" borderId="0" xfId="1224" applyFont="1" applyAlignment="1">
      <alignment horizontal="left" vertical="center" wrapText="1"/>
    </xf>
    <xf numFmtId="0" fontId="12" fillId="0" borderId="0" xfId="1224" applyFont="1" applyAlignment="1">
      <alignment horizontal="left" vertical="center"/>
    </xf>
    <xf numFmtId="0" fontId="57" fillId="0" borderId="0" xfId="1224" applyFont="1" applyAlignment="1">
      <alignment horizontal="left" vertical="top" wrapText="1"/>
    </xf>
    <xf numFmtId="0" fontId="57" fillId="0" borderId="0" xfId="1224" applyFont="1" applyAlignment="1">
      <alignment vertical="center"/>
    </xf>
    <xf numFmtId="0" fontId="12" fillId="0" borderId="0" xfId="1224" applyFont="1" applyAlignment="1">
      <alignment horizontal="left" vertical="top" wrapText="1"/>
    </xf>
    <xf numFmtId="0" fontId="39" fillId="0" borderId="0" xfId="1884" applyFont="1" applyAlignment="1">
      <alignment horizontal="center" vertical="center"/>
    </xf>
    <xf numFmtId="0" fontId="57" fillId="0" borderId="0" xfId="1224" applyFont="1" applyAlignment="1">
      <alignment vertical="center" wrapText="1"/>
    </xf>
    <xf numFmtId="0" fontId="65" fillId="0" borderId="0" xfId="1265" applyFont="1" applyAlignment="1" applyProtection="1">
      <alignment horizontal="right" wrapText="1" readingOrder="1"/>
      <protection locked="0"/>
    </xf>
    <xf numFmtId="0" fontId="64" fillId="0" borderId="0" xfId="1265" applyAlignment="1">
      <alignment wrapText="1"/>
    </xf>
    <xf numFmtId="0" fontId="34" fillId="0" borderId="0" xfId="0" applyFont="1" applyAlignment="1">
      <alignment horizontal="center" wrapText="1"/>
    </xf>
    <xf numFmtId="0" fontId="34" fillId="0" borderId="0" xfId="0" applyFont="1" applyAlignment="1">
      <alignment horizontal="left" vertical="top" wrapText="1"/>
    </xf>
    <xf numFmtId="0" fontId="71" fillId="0" borderId="0" xfId="0" applyFont="1" applyAlignment="1">
      <alignment horizontal="center" wrapText="1"/>
    </xf>
    <xf numFmtId="0" fontId="39" fillId="0" borderId="34" xfId="0" applyFont="1" applyBorder="1" applyAlignment="1">
      <alignment horizontal="center"/>
    </xf>
    <xf numFmtId="0" fontId="34" fillId="0" borderId="0" xfId="0" applyFont="1" applyAlignment="1">
      <alignment wrapText="1"/>
    </xf>
    <xf numFmtId="0" fontId="34" fillId="0" borderId="19" xfId="0" applyFont="1" applyBorder="1" applyAlignment="1">
      <alignment wrapText="1"/>
    </xf>
    <xf numFmtId="0" fontId="71" fillId="58" borderId="19" xfId="0" applyFont="1" applyFill="1" applyBorder="1" applyAlignment="1">
      <alignment horizontal="left" vertical="center" wrapText="1"/>
    </xf>
    <xf numFmtId="2" fontId="71" fillId="58" borderId="19" xfId="0" applyNumberFormat="1" applyFont="1" applyFill="1" applyBorder="1" applyAlignment="1">
      <alignment horizontal="left" vertical="center" wrapText="1"/>
    </xf>
    <xf numFmtId="0" fontId="39" fillId="0" borderId="0" xfId="0" applyFont="1" applyAlignment="1">
      <alignment horizontal="center" vertical="center"/>
    </xf>
    <xf numFmtId="0" fontId="39" fillId="0" borderId="0" xfId="0" applyFont="1" applyAlignment="1">
      <alignment horizontal="center" vertical="center" wrapText="1"/>
    </xf>
    <xf numFmtId="0" fontId="71" fillId="0" borderId="0" xfId="0" applyFont="1" applyAlignment="1">
      <alignment horizontal="center" vertical="center" wrapText="1"/>
    </xf>
    <xf numFmtId="0" fontId="34" fillId="0" borderId="19" xfId="0" applyFont="1" applyBorder="1" applyAlignment="1">
      <alignment horizontal="left" vertical="center" wrapText="1"/>
    </xf>
    <xf numFmtId="0" fontId="39" fillId="0" borderId="19" xfId="0" applyFont="1" applyBorder="1" applyAlignment="1">
      <alignment horizontal="center" vertical="center"/>
    </xf>
    <xf numFmtId="0" fontId="34" fillId="0" borderId="30" xfId="1882" applyFont="1" applyBorder="1" applyAlignment="1">
      <alignment horizontal="left" vertical="center" wrapText="1"/>
    </xf>
    <xf numFmtId="0" fontId="34" fillId="0" borderId="20" xfId="1882" applyFont="1" applyBorder="1" applyAlignment="1">
      <alignment horizontal="left" vertical="center" wrapText="1"/>
    </xf>
    <xf numFmtId="0" fontId="34" fillId="0" borderId="33" xfId="1882" applyFont="1" applyBorder="1" applyAlignment="1">
      <alignment horizontal="left" vertical="center" wrapText="1"/>
    </xf>
    <xf numFmtId="0" fontId="39" fillId="0" borderId="0" xfId="1882" applyFont="1" applyAlignment="1">
      <alignment horizontal="center" vertical="center" wrapText="1"/>
    </xf>
    <xf numFmtId="0" fontId="39" fillId="0" borderId="0" xfId="1882" applyFont="1" applyAlignment="1">
      <alignment horizontal="center" vertical="center"/>
    </xf>
    <xf numFmtId="0" fontId="12" fillId="0" borderId="35" xfId="0" applyFont="1" applyBorder="1" applyAlignment="1">
      <alignment horizontal="center" vertical="center"/>
    </xf>
    <xf numFmtId="0" fontId="12" fillId="0" borderId="21" xfId="0" applyFont="1" applyBorder="1" applyAlignment="1">
      <alignment horizontal="center" vertical="center"/>
    </xf>
    <xf numFmtId="0" fontId="12" fillId="0" borderId="28" xfId="0" applyFont="1" applyBorder="1" applyAlignment="1">
      <alignment horizontal="center" vertical="center"/>
    </xf>
    <xf numFmtId="0" fontId="34" fillId="0" borderId="20" xfId="1882" applyFont="1" applyBorder="1" applyAlignment="1">
      <alignment horizontal="left" vertical="center"/>
    </xf>
    <xf numFmtId="0" fontId="34" fillId="0" borderId="33" xfId="1882" applyFont="1" applyBorder="1" applyAlignment="1">
      <alignment horizontal="left" vertical="center"/>
    </xf>
    <xf numFmtId="0" fontId="12" fillId="0" borderId="35" xfId="1882" applyFont="1" applyBorder="1" applyAlignment="1">
      <alignment horizontal="center" vertical="center"/>
    </xf>
    <xf numFmtId="0" fontId="12" fillId="0" borderId="28" xfId="1882" applyFont="1" applyBorder="1" applyAlignment="1">
      <alignment horizontal="center" vertical="center"/>
    </xf>
    <xf numFmtId="0" fontId="12" fillId="0" borderId="21" xfId="1882" applyFont="1" applyBorder="1" applyAlignment="1">
      <alignment horizontal="center" vertical="center"/>
    </xf>
    <xf numFmtId="0" fontId="12" fillId="0" borderId="30" xfId="0" applyFont="1" applyBorder="1" applyAlignment="1">
      <alignment horizontal="left" vertical="center" wrapText="1"/>
    </xf>
    <xf numFmtId="0" fontId="12" fillId="0" borderId="19" xfId="0" applyFont="1" applyBorder="1" applyAlignment="1">
      <alignment horizontal="left" vertical="center" wrapText="1"/>
    </xf>
    <xf numFmtId="0" fontId="12" fillId="0" borderId="30"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lignment horizontal="center" vertical="center" wrapText="1"/>
    </xf>
    <xf numFmtId="0" fontId="71" fillId="0" borderId="0" xfId="0" applyFont="1" applyAlignment="1">
      <alignment horizontal="center" vertical="center"/>
    </xf>
    <xf numFmtId="0" fontId="57" fillId="0" borderId="19" xfId="0" applyFont="1" applyBorder="1" applyAlignment="1">
      <alignment horizontal="center" vertical="center" wrapText="1"/>
    </xf>
    <xf numFmtId="0" fontId="70" fillId="0" borderId="19" xfId="0" applyFont="1" applyBorder="1" applyAlignment="1">
      <alignment horizontal="left" wrapText="1"/>
    </xf>
    <xf numFmtId="0" fontId="12" fillId="0" borderId="33" xfId="0" applyFont="1" applyBorder="1" applyAlignment="1">
      <alignment horizontal="left" vertical="center" wrapText="1"/>
    </xf>
    <xf numFmtId="0" fontId="34" fillId="0" borderId="28" xfId="0" applyFont="1" applyBorder="1" applyAlignment="1">
      <alignment horizontal="left" wrapText="1"/>
    </xf>
    <xf numFmtId="0" fontId="70" fillId="0" borderId="30" xfId="0" applyFont="1" applyBorder="1" applyAlignment="1">
      <alignment horizontal="left"/>
    </xf>
    <xf numFmtId="0" fontId="70" fillId="0" borderId="20" xfId="0" applyFont="1" applyBorder="1" applyAlignment="1">
      <alignment horizontal="left"/>
    </xf>
    <xf numFmtId="0" fontId="70" fillId="0" borderId="33" xfId="0" applyFont="1" applyBorder="1" applyAlignment="1">
      <alignment horizontal="left"/>
    </xf>
    <xf numFmtId="0" fontId="12" fillId="0" borderId="30" xfId="0" applyFont="1" applyBorder="1" applyAlignment="1">
      <alignment horizontal="left"/>
    </xf>
    <xf numFmtId="0" fontId="12" fillId="0" borderId="19" xfId="0" applyFont="1" applyBorder="1" applyAlignment="1">
      <alignment horizontal="left"/>
    </xf>
    <xf numFmtId="0" fontId="70" fillId="0" borderId="21" xfId="0" applyFont="1" applyBorder="1" applyAlignment="1">
      <alignment horizontal="left"/>
    </xf>
    <xf numFmtId="0" fontId="12" fillId="0" borderId="19" xfId="0" applyFont="1" applyBorder="1" applyAlignment="1">
      <alignment horizontal="center"/>
    </xf>
    <xf numFmtId="0" fontId="12" fillId="0" borderId="30" xfId="0" applyFont="1" applyBorder="1" applyAlignment="1">
      <alignment horizontal="center"/>
    </xf>
    <xf numFmtId="0" fontId="12" fillId="0" borderId="20" xfId="0" applyFont="1" applyBorder="1" applyAlignment="1">
      <alignment horizontal="center"/>
    </xf>
    <xf numFmtId="0" fontId="12" fillId="0" borderId="33" xfId="0" applyFont="1" applyBorder="1" applyAlignment="1">
      <alignment horizontal="center"/>
    </xf>
    <xf numFmtId="0" fontId="70" fillId="0" borderId="30" xfId="0" applyFont="1" applyBorder="1" applyAlignment="1">
      <alignment horizontal="left" wrapText="1"/>
    </xf>
    <xf numFmtId="0" fontId="70" fillId="0" borderId="20" xfId="0" applyFont="1" applyBorder="1" applyAlignment="1">
      <alignment horizontal="left" wrapText="1"/>
    </xf>
    <xf numFmtId="0" fontId="70" fillId="0" borderId="33" xfId="0" applyFont="1" applyBorder="1" applyAlignment="1">
      <alignment horizontal="left" wrapText="1"/>
    </xf>
    <xf numFmtId="0" fontId="71" fillId="0" borderId="19"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8" xfId="0" applyFont="1" applyBorder="1" applyAlignment="1">
      <alignment horizontal="center" vertical="center" wrapText="1"/>
    </xf>
    <xf numFmtId="0" fontId="34" fillId="0" borderId="30" xfId="0" applyFont="1" applyBorder="1" applyAlignment="1">
      <alignment horizontal="left" vertical="center" wrapText="1"/>
    </xf>
    <xf numFmtId="0" fontId="34" fillId="0" borderId="20" xfId="0" applyFont="1" applyBorder="1" applyAlignment="1">
      <alignment horizontal="left" vertical="center" wrapText="1"/>
    </xf>
    <xf numFmtId="0" fontId="34" fillId="0" borderId="33" xfId="0" applyFont="1" applyBorder="1" applyAlignment="1">
      <alignment horizontal="left" vertical="center" wrapText="1"/>
    </xf>
    <xf numFmtId="0" fontId="71" fillId="0" borderId="34" xfId="0" applyFont="1" applyBorder="1" applyAlignment="1">
      <alignment horizontal="center"/>
    </xf>
    <xf numFmtId="0" fontId="71" fillId="0" borderId="0" xfId="0" applyFont="1" applyAlignment="1">
      <alignment horizontal="center"/>
    </xf>
    <xf numFmtId="0" fontId="34" fillId="0" borderId="49" xfId="0" applyFont="1" applyBorder="1" applyAlignment="1">
      <alignment horizontal="left" vertical="center" wrapText="1"/>
    </xf>
    <xf numFmtId="0" fontId="34" fillId="0" borderId="29" xfId="0" applyFont="1" applyBorder="1" applyAlignment="1">
      <alignment horizontal="left" vertical="center" wrapText="1"/>
    </xf>
    <xf numFmtId="172" fontId="39" fillId="0" borderId="0" xfId="0" applyNumberFormat="1" applyFont="1" applyAlignment="1">
      <alignment horizontal="center"/>
    </xf>
    <xf numFmtId="172" fontId="39" fillId="0" borderId="34" xfId="0" applyNumberFormat="1" applyFont="1" applyBorder="1" applyAlignment="1">
      <alignment horizontal="center"/>
    </xf>
    <xf numFmtId="0" fontId="71" fillId="5" borderId="34" xfId="0" applyFont="1" applyFill="1" applyBorder="1" applyAlignment="1">
      <alignment horizontal="center"/>
    </xf>
    <xf numFmtId="0" fontId="39" fillId="0" borderId="28" xfId="0" applyFont="1" applyBorder="1" applyAlignment="1">
      <alignment horizontal="center" vertical="center"/>
    </xf>
    <xf numFmtId="0" fontId="149" fillId="0" borderId="0" xfId="0" applyFont="1" applyAlignment="1">
      <alignment horizontal="center" vertical="center" wrapText="1"/>
    </xf>
    <xf numFmtId="0" fontId="191" fillId="0" borderId="0" xfId="0" applyFont="1" applyAlignment="1">
      <alignment horizontal="center" vertical="center" wrapText="1"/>
    </xf>
    <xf numFmtId="0" fontId="191" fillId="0" borderId="0" xfId="0" applyFont="1" applyAlignment="1">
      <alignment horizontal="center" vertical="center"/>
    </xf>
    <xf numFmtId="0" fontId="34" fillId="0" borderId="0" xfId="0" applyFont="1" applyAlignment="1">
      <alignment horizontal="left"/>
    </xf>
    <xf numFmtId="0" fontId="34" fillId="0" borderId="30" xfId="0" applyFont="1" applyBorder="1" applyAlignment="1">
      <alignment vertical="center" wrapText="1"/>
    </xf>
    <xf numFmtId="0" fontId="34" fillId="0" borderId="20" xfId="0" applyFont="1" applyBorder="1" applyAlignment="1">
      <alignment vertical="center" wrapText="1"/>
    </xf>
    <xf numFmtId="0" fontId="34" fillId="0" borderId="33" xfId="0" applyFont="1" applyBorder="1" applyAlignment="1">
      <alignment vertical="center" wrapText="1"/>
    </xf>
    <xf numFmtId="0" fontId="39" fillId="0" borderId="20"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0" xfId="0" applyFont="1" applyAlignment="1">
      <alignment horizontal="left" vertical="center" wrapText="1"/>
    </xf>
    <xf numFmtId="0" fontId="34" fillId="0" borderId="38" xfId="0" applyFont="1" applyBorder="1" applyAlignment="1">
      <alignment horizontal="left" vertical="center" wrapText="1"/>
    </xf>
    <xf numFmtId="0" fontId="34" fillId="0" borderId="31" xfId="0" applyFont="1" applyBorder="1" applyAlignment="1">
      <alignment horizontal="left" vertical="center" wrapText="1"/>
    </xf>
    <xf numFmtId="0" fontId="34" fillId="0" borderId="34" xfId="0" applyFont="1" applyBorder="1" applyAlignment="1">
      <alignment horizontal="left" vertical="center" wrapText="1"/>
    </xf>
    <xf numFmtId="0" fontId="34" fillId="0" borderId="36" xfId="0" applyFont="1" applyBorder="1" applyAlignment="1">
      <alignment horizontal="left" vertical="center" wrapText="1"/>
    </xf>
    <xf numFmtId="0" fontId="35" fillId="0" borderId="0" xfId="0" applyFont="1" applyAlignment="1">
      <alignment wrapText="1"/>
    </xf>
    <xf numFmtId="0" fontId="71" fillId="5" borderId="0" xfId="0" applyFont="1" applyFill="1" applyAlignment="1">
      <alignment horizontal="center"/>
    </xf>
    <xf numFmtId="0" fontId="33" fillId="0" borderId="19" xfId="0" applyFont="1" applyBorder="1" applyAlignment="1">
      <alignment horizontal="center" vertical="center"/>
    </xf>
    <xf numFmtId="0" fontId="220" fillId="0" borderId="19" xfId="0" applyFont="1" applyBorder="1" applyAlignment="1">
      <alignment horizontal="center" vertical="center"/>
    </xf>
    <xf numFmtId="0" fontId="33" fillId="0" borderId="3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33" xfId="0" applyFont="1" applyBorder="1" applyAlignment="1">
      <alignment horizontal="center" vertical="center" wrapText="1"/>
    </xf>
    <xf numFmtId="168" fontId="71" fillId="0" borderId="30" xfId="0" applyNumberFormat="1" applyFont="1" applyBorder="1" applyAlignment="1">
      <alignment horizontal="center" vertical="center"/>
    </xf>
    <xf numFmtId="168" fontId="71" fillId="0" borderId="20" xfId="0" applyNumberFormat="1" applyFont="1" applyBorder="1" applyAlignment="1">
      <alignment horizontal="center" vertical="center"/>
    </xf>
    <xf numFmtId="168" fontId="71" fillId="0" borderId="33" xfId="0" applyNumberFormat="1" applyFont="1" applyBorder="1" applyAlignment="1">
      <alignment horizontal="center" vertical="center"/>
    </xf>
    <xf numFmtId="168" fontId="71" fillId="0" borderId="30" xfId="0" applyNumberFormat="1" applyFont="1" applyBorder="1" applyAlignment="1">
      <alignment horizontal="center" vertical="center" wrapText="1"/>
    </xf>
    <xf numFmtId="168" fontId="71" fillId="0" borderId="20" xfId="0" applyNumberFormat="1" applyFont="1" applyBorder="1" applyAlignment="1">
      <alignment horizontal="center" vertical="center" wrapText="1"/>
    </xf>
    <xf numFmtId="168" fontId="71" fillId="0" borderId="33" xfId="0" applyNumberFormat="1" applyFont="1" applyBorder="1" applyAlignment="1">
      <alignment horizontal="center" vertical="center" wrapText="1"/>
    </xf>
    <xf numFmtId="0" fontId="39" fillId="0" borderId="0" xfId="0" applyFont="1" applyAlignment="1">
      <alignment horizontal="center" wrapText="1"/>
    </xf>
    <xf numFmtId="0" fontId="39" fillId="0" borderId="30" xfId="1153" applyNumberFormat="1" applyFont="1" applyFill="1" applyBorder="1" applyAlignment="1">
      <alignment horizontal="center"/>
    </xf>
    <xf numFmtId="0" fontId="39" fillId="0" borderId="20" xfId="1153" applyNumberFormat="1" applyFont="1" applyFill="1" applyBorder="1" applyAlignment="1">
      <alignment horizontal="center"/>
    </xf>
    <xf numFmtId="0" fontId="39" fillId="0" borderId="33" xfId="1153" applyNumberFormat="1" applyFont="1" applyFill="1" applyBorder="1" applyAlignment="1">
      <alignment horizontal="center"/>
    </xf>
    <xf numFmtId="0" fontId="39" fillId="0" borderId="0" xfId="1153" applyNumberFormat="1" applyFont="1" applyFill="1" applyBorder="1" applyAlignment="1">
      <alignment horizontal="center"/>
    </xf>
    <xf numFmtId="0" fontId="39" fillId="0" borderId="0" xfId="1153" applyNumberFormat="1" applyFont="1" applyFill="1" applyBorder="1" applyAlignment="1">
      <alignment horizontal="center" vertical="center" wrapText="1"/>
    </xf>
    <xf numFmtId="0" fontId="39" fillId="0" borderId="30" xfId="1153" applyNumberFormat="1" applyFont="1" applyFill="1" applyBorder="1" applyAlignment="1">
      <alignment horizontal="center" vertical="center" wrapText="1"/>
    </xf>
    <xf numFmtId="0" fontId="39" fillId="0" borderId="20" xfId="1153" applyNumberFormat="1" applyFont="1" applyFill="1" applyBorder="1" applyAlignment="1">
      <alignment horizontal="center" vertical="center" wrapText="1"/>
    </xf>
    <xf numFmtId="0" fontId="39" fillId="0" borderId="33" xfId="1153" applyNumberFormat="1" applyFont="1" applyFill="1" applyBorder="1" applyAlignment="1">
      <alignment horizontal="center" vertical="center" wrapText="1"/>
    </xf>
    <xf numFmtId="0" fontId="34" fillId="0" borderId="19" xfId="0" applyFont="1" applyBorder="1" applyAlignment="1">
      <alignment horizontal="left" vertical="center"/>
    </xf>
    <xf numFmtId="0" fontId="34" fillId="0" borderId="0" xfId="0" applyFont="1" applyAlignment="1">
      <alignment horizontal="left" vertical="center"/>
    </xf>
    <xf numFmtId="0" fontId="71" fillId="0" borderId="19" xfId="0" applyFont="1" applyBorder="1" applyAlignment="1">
      <alignment horizontal="center" vertical="center"/>
    </xf>
    <xf numFmtId="0" fontId="70" fillId="0" borderId="0" xfId="0" applyFont="1" applyAlignment="1">
      <alignment horizontal="center" vertical="center"/>
    </xf>
    <xf numFmtId="49" fontId="39" fillId="0" borderId="30" xfId="0" applyNumberFormat="1" applyFont="1" applyBorder="1" applyAlignment="1">
      <alignment horizontal="center" vertical="center" wrapText="1"/>
    </xf>
    <xf numFmtId="49" fontId="39" fillId="0" borderId="20" xfId="0" applyNumberFormat="1" applyFont="1" applyBorder="1" applyAlignment="1">
      <alignment horizontal="center" vertical="center" wrapText="1"/>
    </xf>
    <xf numFmtId="49" fontId="39" fillId="0" borderId="33" xfId="0" applyNumberFormat="1" applyFont="1" applyBorder="1" applyAlignment="1">
      <alignment horizontal="center" vertical="center" wrapText="1"/>
    </xf>
    <xf numFmtId="0" fontId="34" fillId="0" borderId="49" xfId="0" applyFont="1" applyBorder="1" applyAlignment="1">
      <alignment horizontal="left" vertical="top" wrapText="1"/>
    </xf>
    <xf numFmtId="0" fontId="34" fillId="0" borderId="29" xfId="0" applyFont="1" applyBorder="1" applyAlignment="1">
      <alignment horizontal="left" vertical="top" wrapText="1"/>
    </xf>
    <xf numFmtId="0" fontId="34" fillId="0" borderId="32" xfId="0" applyFont="1" applyBorder="1" applyAlignment="1">
      <alignment horizontal="left" vertical="top" wrapText="1"/>
    </xf>
    <xf numFmtId="0" fontId="34" fillId="0" borderId="31" xfId="0" applyFont="1" applyBorder="1" applyAlignment="1">
      <alignment horizontal="left" vertical="top" wrapText="1"/>
    </xf>
    <xf numFmtId="0" fontId="34" fillId="0" borderId="34" xfId="0" applyFont="1" applyBorder="1" applyAlignment="1">
      <alignment horizontal="left" vertical="top" wrapText="1"/>
    </xf>
    <xf numFmtId="0" fontId="34" fillId="0" borderId="36" xfId="0" applyFont="1" applyBorder="1" applyAlignment="1">
      <alignment horizontal="left" vertical="top" wrapText="1"/>
    </xf>
    <xf numFmtId="0" fontId="215" fillId="0" borderId="19" xfId="0" applyFont="1" applyBorder="1" applyAlignment="1">
      <alignment horizontal="center" vertical="center" wrapText="1"/>
    </xf>
    <xf numFmtId="0" fontId="215" fillId="0" borderId="19" xfId="0" applyFont="1" applyBorder="1" applyAlignment="1">
      <alignment horizontal="center" vertical="top" wrapText="1"/>
    </xf>
    <xf numFmtId="0" fontId="217" fillId="0" borderId="0" xfId="0" applyFont="1" applyAlignment="1">
      <alignment horizontal="left" wrapText="1"/>
    </xf>
    <xf numFmtId="192" fontId="216" fillId="0" borderId="19" xfId="0" applyNumberFormat="1" applyFont="1" applyBorder="1" applyAlignment="1">
      <alignment horizontal="left" vertical="center" wrapText="1"/>
    </xf>
    <xf numFmtId="192" fontId="216" fillId="0" borderId="30" xfId="0" applyNumberFormat="1" applyFont="1" applyBorder="1" applyAlignment="1">
      <alignment horizontal="left" vertical="center" wrapText="1"/>
    </xf>
    <xf numFmtId="192" fontId="216" fillId="0" borderId="33" xfId="0" applyNumberFormat="1" applyFont="1" applyBorder="1" applyAlignment="1">
      <alignment horizontal="left" vertical="center" wrapText="1"/>
    </xf>
    <xf numFmtId="0" fontId="216" fillId="0" borderId="30" xfId="0" applyFont="1" applyBorder="1" applyAlignment="1">
      <alignment horizontal="left" vertical="top" wrapText="1"/>
    </xf>
    <xf numFmtId="0" fontId="216" fillId="0" borderId="20" xfId="0" applyFont="1" applyBorder="1" applyAlignment="1">
      <alignment horizontal="left" vertical="top" wrapText="1"/>
    </xf>
    <xf numFmtId="0" fontId="216" fillId="0" borderId="33" xfId="0" applyFont="1" applyBorder="1" applyAlignment="1">
      <alignment horizontal="left" vertical="top" wrapText="1"/>
    </xf>
    <xf numFmtId="0" fontId="217" fillId="0" borderId="30" xfId="0" applyFont="1" applyBorder="1" applyAlignment="1">
      <alignment horizontal="left" wrapText="1"/>
    </xf>
    <xf numFmtId="0" fontId="217" fillId="0" borderId="20" xfId="0" applyFont="1" applyBorder="1" applyAlignment="1">
      <alignment horizontal="left" wrapText="1"/>
    </xf>
    <xf numFmtId="0" fontId="217" fillId="0" borderId="33" xfId="0" applyFont="1" applyBorder="1" applyAlignment="1">
      <alignment horizontal="left" wrapText="1"/>
    </xf>
    <xf numFmtId="0" fontId="217" fillId="0" borderId="29" xfId="0" applyFont="1" applyBorder="1" applyAlignment="1">
      <alignment horizontal="left" wrapText="1"/>
    </xf>
    <xf numFmtId="0" fontId="215" fillId="0" borderId="21" xfId="0" applyFont="1" applyBorder="1" applyAlignment="1">
      <alignment horizontal="center" vertical="center" wrapText="1"/>
    </xf>
    <xf numFmtId="0" fontId="215" fillId="0" borderId="35" xfId="0" applyFont="1" applyBorder="1" applyAlignment="1">
      <alignment horizontal="center" vertical="center" wrapText="1"/>
    </xf>
    <xf numFmtId="0" fontId="215" fillId="0" borderId="28" xfId="0" applyFont="1" applyBorder="1" applyAlignment="1">
      <alignment horizontal="center" vertical="center" wrapText="1"/>
    </xf>
    <xf numFmtId="192" fontId="57" fillId="58" borderId="19" xfId="0" applyNumberFormat="1" applyFont="1" applyFill="1" applyBorder="1" applyAlignment="1">
      <alignment horizontal="left" vertical="center" wrapText="1"/>
    </xf>
    <xf numFmtId="192" fontId="57" fillId="58" borderId="30" xfId="0" applyNumberFormat="1" applyFont="1" applyFill="1" applyBorder="1" applyAlignment="1">
      <alignment horizontal="left" vertical="center" wrapText="1"/>
    </xf>
    <xf numFmtId="192" fontId="57" fillId="58" borderId="33" xfId="0" applyNumberFormat="1" applyFont="1" applyFill="1" applyBorder="1" applyAlignment="1">
      <alignment horizontal="left" vertical="center" wrapText="1"/>
    </xf>
    <xf numFmtId="0" fontId="12" fillId="0" borderId="0" xfId="0" applyFont="1" applyAlignment="1">
      <alignment horizontal="left" wrapText="1"/>
    </xf>
    <xf numFmtId="0" fontId="34" fillId="0" borderId="0" xfId="0" applyFont="1" applyAlignment="1">
      <alignment horizontal="left" wrapText="1"/>
    </xf>
    <xf numFmtId="0" fontId="71" fillId="0" borderId="30"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33" xfId="0" applyFont="1" applyBorder="1" applyAlignment="1">
      <alignment horizontal="center" vertical="center" wrapText="1"/>
    </xf>
    <xf numFmtId="49" fontId="39" fillId="0" borderId="0" xfId="0" applyNumberFormat="1" applyFont="1" applyAlignment="1">
      <alignment horizontal="center"/>
    </xf>
    <xf numFmtId="0" fontId="57" fillId="0" borderId="30" xfId="0" applyFont="1" applyBorder="1" applyAlignment="1">
      <alignment horizontal="left" vertical="top" wrapText="1"/>
    </xf>
    <xf numFmtId="0" fontId="57" fillId="0" borderId="20" xfId="0" applyFont="1" applyBorder="1" applyAlignment="1">
      <alignment horizontal="left" vertical="top" wrapText="1"/>
    </xf>
    <xf numFmtId="0" fontId="57" fillId="0" borderId="33" xfId="0" applyFont="1" applyBorder="1" applyAlignment="1">
      <alignment horizontal="left" vertical="top" wrapText="1"/>
    </xf>
    <xf numFmtId="0" fontId="36" fillId="0" borderId="21" xfId="0" applyFont="1" applyBorder="1" applyAlignment="1">
      <alignment horizontal="center" vertical="center"/>
    </xf>
    <xf numFmtId="0" fontId="36" fillId="0" borderId="35" xfId="0" applyFont="1" applyBorder="1" applyAlignment="1">
      <alignment horizontal="center" vertical="center"/>
    </xf>
    <xf numFmtId="0" fontId="36" fillId="0" borderId="28" xfId="0" applyFont="1" applyBorder="1" applyAlignment="1">
      <alignment horizontal="center" vertical="center"/>
    </xf>
    <xf numFmtId="0" fontId="36" fillId="0" borderId="21"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9" xfId="0" applyFont="1" applyBorder="1" applyAlignment="1">
      <alignment horizontal="center" vertical="center"/>
    </xf>
    <xf numFmtId="0" fontId="148" fillId="0" borderId="30" xfId="0" applyFont="1" applyBorder="1" applyAlignment="1">
      <alignment horizontal="center" vertical="center"/>
    </xf>
    <xf numFmtId="0" fontId="148" fillId="0" borderId="20" xfId="0" applyFont="1" applyBorder="1" applyAlignment="1">
      <alignment horizontal="center" vertical="center"/>
    </xf>
    <xf numFmtId="0" fontId="148" fillId="0" borderId="33" xfId="0" applyFont="1" applyBorder="1" applyAlignment="1">
      <alignment horizontal="center" vertical="center"/>
    </xf>
    <xf numFmtId="0" fontId="148" fillId="0" borderId="30" xfId="0" applyFont="1" applyBorder="1" applyAlignment="1">
      <alignment horizontal="center" vertical="center" wrapText="1"/>
    </xf>
    <xf numFmtId="0" fontId="148" fillId="0" borderId="33" xfId="0" applyFont="1" applyBorder="1" applyAlignment="1">
      <alignment horizontal="center" vertical="center" wrapText="1"/>
    </xf>
    <xf numFmtId="0" fontId="148" fillId="0" borderId="19" xfId="0" applyFont="1" applyBorder="1" applyAlignment="1">
      <alignment horizontal="center" vertical="center" wrapText="1"/>
    </xf>
    <xf numFmtId="0" fontId="156" fillId="0" borderId="19" xfId="0" applyFont="1" applyBorder="1" applyAlignment="1">
      <alignment horizontal="center" vertical="center"/>
    </xf>
    <xf numFmtId="0" fontId="148" fillId="0" borderId="19" xfId="0" applyFont="1" applyBorder="1" applyAlignment="1">
      <alignment horizontal="center" vertical="center"/>
    </xf>
    <xf numFmtId="183" fontId="34" fillId="0" borderId="30" xfId="0" applyNumberFormat="1" applyFont="1" applyBorder="1" applyAlignment="1">
      <alignment horizontal="left" vertical="center" wrapText="1"/>
    </xf>
    <xf numFmtId="183" fontId="34" fillId="0" borderId="20" xfId="0" applyNumberFormat="1" applyFont="1" applyBorder="1" applyAlignment="1">
      <alignment horizontal="left" vertical="center" wrapText="1"/>
    </xf>
    <xf numFmtId="183" fontId="34" fillId="0" borderId="33" xfId="0" applyNumberFormat="1" applyFont="1" applyBorder="1" applyAlignment="1">
      <alignment horizontal="left" vertical="center" wrapText="1"/>
    </xf>
    <xf numFmtId="183" fontId="34" fillId="0" borderId="30" xfId="0" applyNumberFormat="1" applyFont="1" applyBorder="1" applyAlignment="1">
      <alignment horizontal="left" vertical="top" wrapText="1"/>
    </xf>
    <xf numFmtId="183" fontId="34" fillId="0" borderId="20" xfId="0" applyNumberFormat="1" applyFont="1" applyBorder="1" applyAlignment="1">
      <alignment horizontal="left" vertical="top" wrapText="1"/>
    </xf>
    <xf numFmtId="183" fontId="34" fillId="0" borderId="33" xfId="0" applyNumberFormat="1" applyFont="1" applyBorder="1" applyAlignment="1">
      <alignment horizontal="left" vertical="top" wrapText="1"/>
    </xf>
    <xf numFmtId="181" fontId="71" fillId="0" borderId="21" xfId="1152" applyNumberFormat="1" applyFont="1" applyFill="1" applyBorder="1" applyAlignment="1">
      <alignment horizontal="center" vertical="center"/>
    </xf>
    <xf numFmtId="181" fontId="71" fillId="0" borderId="28" xfId="1152" applyNumberFormat="1" applyFont="1" applyFill="1" applyBorder="1" applyAlignment="1">
      <alignment horizontal="center" vertical="center"/>
    </xf>
    <xf numFmtId="180" fontId="39" fillId="0" borderId="30" xfId="1152" applyNumberFormat="1" applyFont="1" applyBorder="1" applyAlignment="1">
      <alignment horizontal="center" vertical="center" wrapText="1"/>
    </xf>
    <xf numFmtId="180" fontId="39" fillId="0" borderId="33" xfId="1152" applyNumberFormat="1" applyFont="1" applyBorder="1" applyAlignment="1">
      <alignment horizontal="center" vertical="center" wrapText="1"/>
    </xf>
    <xf numFmtId="0" fontId="39" fillId="0" borderId="19" xfId="0" applyFont="1" applyBorder="1" applyAlignment="1">
      <alignment horizontal="center" wrapText="1"/>
    </xf>
    <xf numFmtId="0" fontId="71" fillId="0" borderId="19" xfId="0" applyFont="1" applyBorder="1" applyAlignment="1">
      <alignment horizontal="center"/>
    </xf>
    <xf numFmtId="0" fontId="39" fillId="0" borderId="19" xfId="0" applyFont="1" applyBorder="1" applyAlignment="1">
      <alignment horizontal="center"/>
    </xf>
    <xf numFmtId="180" fontId="39" fillId="0" borderId="30" xfId="1152" applyNumberFormat="1" applyFont="1" applyFill="1" applyBorder="1" applyAlignment="1">
      <alignment horizontal="center" vertical="center" wrapText="1"/>
    </xf>
    <xf numFmtId="180" fontId="39" fillId="0" borderId="33" xfId="1152" applyNumberFormat="1" applyFont="1" applyFill="1" applyBorder="1" applyAlignment="1">
      <alignment horizontal="center" vertical="center" wrapText="1"/>
    </xf>
    <xf numFmtId="183" fontId="34" fillId="0" borderId="30" xfId="0" applyNumberFormat="1" applyFont="1" applyBorder="1" applyAlignment="1">
      <alignment horizontal="left" wrapText="1"/>
    </xf>
    <xf numFmtId="183" fontId="34" fillId="0" borderId="20" xfId="0" applyNumberFormat="1" applyFont="1" applyBorder="1" applyAlignment="1">
      <alignment horizontal="left" wrapText="1"/>
    </xf>
    <xf numFmtId="183" fontId="34" fillId="0" borderId="33" xfId="0" applyNumberFormat="1" applyFont="1" applyBorder="1" applyAlignment="1">
      <alignment horizontal="left" wrapText="1"/>
    </xf>
    <xf numFmtId="0" fontId="12" fillId="0" borderId="0" xfId="1225" applyFont="1" applyAlignment="1">
      <alignment vertical="top" wrapText="1"/>
    </xf>
    <xf numFmtId="0" fontId="57" fillId="0" borderId="0" xfId="1225" applyFont="1" applyAlignment="1">
      <alignment vertical="top" wrapText="1"/>
    </xf>
    <xf numFmtId="0" fontId="12" fillId="0" borderId="0" xfId="1225" applyFont="1" applyAlignment="1">
      <alignment horizontal="left" vertical="center"/>
    </xf>
    <xf numFmtId="0" fontId="57" fillId="0" borderId="0" xfId="1225" applyFont="1" applyAlignment="1">
      <alignment vertical="top"/>
    </xf>
    <xf numFmtId="0" fontId="34" fillId="0" borderId="0" xfId="0" applyFont="1" applyAlignment="1">
      <alignment horizontal="center"/>
    </xf>
    <xf numFmtId="0" fontId="65" fillId="0" borderId="0" xfId="1232" applyFont="1" applyAlignment="1" applyProtection="1">
      <alignment horizontal="right" vertical="top" wrapText="1" readingOrder="1"/>
      <protection locked="0"/>
    </xf>
    <xf numFmtId="0" fontId="12" fillId="0" borderId="0" xfId="1232" applyAlignment="1">
      <alignment wrapText="1"/>
    </xf>
    <xf numFmtId="0" fontId="65" fillId="0" borderId="0" xfId="0" applyFont="1" applyAlignment="1" applyProtection="1">
      <alignment horizontal="right" vertical="top" wrapText="1" readingOrder="1"/>
      <protection locked="0"/>
    </xf>
    <xf numFmtId="0" fontId="0" fillId="0" borderId="0" xfId="0" applyAlignment="1">
      <alignment wrapText="1"/>
    </xf>
    <xf numFmtId="0" fontId="71" fillId="58" borderId="30" xfId="0" applyFont="1" applyFill="1" applyBorder="1" applyAlignment="1">
      <alignment horizontal="left" vertical="center" wrapText="1"/>
    </xf>
    <xf numFmtId="0" fontId="71" fillId="58" borderId="20" xfId="0" applyFont="1" applyFill="1" applyBorder="1" applyAlignment="1">
      <alignment horizontal="left" vertical="center" wrapText="1"/>
    </xf>
    <xf numFmtId="0" fontId="71" fillId="58" borderId="33" xfId="0" applyFont="1" applyFill="1" applyBorder="1" applyAlignment="1">
      <alignment horizontal="left" vertical="center" wrapText="1"/>
    </xf>
    <xf numFmtId="3" fontId="71" fillId="58" borderId="30" xfId="0" applyNumberFormat="1" applyFont="1" applyFill="1" applyBorder="1" applyAlignment="1">
      <alignment horizontal="left" vertical="center" wrapText="1"/>
    </xf>
    <xf numFmtId="3" fontId="71" fillId="58" borderId="20" xfId="0" applyNumberFormat="1" applyFont="1" applyFill="1" applyBorder="1" applyAlignment="1">
      <alignment horizontal="left" vertical="center" wrapText="1"/>
    </xf>
    <xf numFmtId="3" fontId="71" fillId="58" borderId="33" xfId="0" applyNumberFormat="1" applyFont="1" applyFill="1" applyBorder="1" applyAlignment="1">
      <alignment horizontal="left" vertical="center" wrapText="1"/>
    </xf>
    <xf numFmtId="0" fontId="34" fillId="0" borderId="0" xfId="0" applyFont="1" applyAlignment="1">
      <alignment vertical="center" wrapText="1"/>
    </xf>
    <xf numFmtId="0" fontId="34" fillId="0" borderId="0" xfId="0" applyFont="1" applyAlignment="1">
      <alignment vertical="center"/>
    </xf>
    <xf numFmtId="0" fontId="12" fillId="0" borderId="0" xfId="0" applyFont="1" applyAlignment="1">
      <alignment horizontal="left" vertical="center" wrapText="1"/>
    </xf>
    <xf numFmtId="0" fontId="12" fillId="0" borderId="19" xfId="0" applyFont="1" applyBorder="1" applyAlignment="1">
      <alignment horizontal="center" vertical="center"/>
    </xf>
    <xf numFmtId="3" fontId="12" fillId="0" borderId="19" xfId="1252" applyNumberFormat="1" applyBorder="1" applyAlignment="1">
      <alignment horizontal="center"/>
    </xf>
    <xf numFmtId="0" fontId="12" fillId="0" borderId="19" xfId="0" applyFont="1" applyBorder="1" applyAlignment="1">
      <alignment horizontal="center" vertical="center" wrapText="1"/>
    </xf>
    <xf numFmtId="0" fontId="12" fillId="0" borderId="0" xfId="0" applyFont="1" applyAlignment="1">
      <alignment horizontal="center" vertical="center"/>
    </xf>
    <xf numFmtId="0" fontId="39" fillId="0" borderId="19" xfId="0" applyFont="1" applyBorder="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center" vertical="center" wrapText="1"/>
    </xf>
    <xf numFmtId="0" fontId="70" fillId="0" borderId="0" xfId="0" applyFont="1" applyAlignment="1">
      <alignment horizontal="left" vertical="center"/>
    </xf>
    <xf numFmtId="0" fontId="0" fillId="0" borderId="19" xfId="0" applyBorder="1" applyAlignment="1">
      <alignment horizontal="center"/>
    </xf>
    <xf numFmtId="172" fontId="206" fillId="0" borderId="0" xfId="0" applyNumberFormat="1" applyFont="1" applyAlignment="1">
      <alignment horizontal="center"/>
    </xf>
    <xf numFmtId="172" fontId="206" fillId="0" borderId="34" xfId="0" applyNumberFormat="1" applyFont="1" applyBorder="1" applyAlignment="1">
      <alignment horizontal="center"/>
    </xf>
    <xf numFmtId="0" fontId="193" fillId="0" borderId="0" xfId="0" applyFont="1" applyAlignment="1">
      <alignment horizontal="left" vertical="center" wrapText="1"/>
    </xf>
    <xf numFmtId="0" fontId="206" fillId="0" borderId="19" xfId="0" applyFont="1" applyBorder="1" applyAlignment="1">
      <alignment horizontal="center" vertical="center"/>
    </xf>
    <xf numFmtId="0" fontId="206" fillId="0" borderId="30" xfId="0" applyFont="1" applyBorder="1" applyAlignment="1">
      <alignment horizontal="center" vertical="center" wrapText="1"/>
    </xf>
    <xf numFmtId="0" fontId="206" fillId="0" borderId="20" xfId="0" applyFont="1" applyBorder="1" applyAlignment="1">
      <alignment horizontal="center" vertical="center" wrapText="1"/>
    </xf>
    <xf numFmtId="0" fontId="206" fillId="0" borderId="33" xfId="0" applyFont="1" applyBorder="1" applyAlignment="1">
      <alignment horizontal="center" vertical="center" wrapText="1"/>
    </xf>
    <xf numFmtId="0" fontId="193" fillId="0" borderId="30" xfId="0" applyFont="1" applyBorder="1" applyAlignment="1">
      <alignment horizontal="left" vertical="center" wrapText="1"/>
    </xf>
    <xf numFmtId="0" fontId="193" fillId="0" borderId="20" xfId="0" applyFont="1" applyBorder="1" applyAlignment="1">
      <alignment horizontal="left" vertical="center" wrapText="1"/>
    </xf>
    <xf numFmtId="0" fontId="193" fillId="0" borderId="33" xfId="0" applyFont="1" applyBorder="1" applyAlignment="1">
      <alignment horizontal="left" vertical="center" wrapText="1"/>
    </xf>
    <xf numFmtId="172" fontId="39" fillId="0" borderId="0" xfId="0" applyNumberFormat="1" applyFont="1" applyAlignment="1">
      <alignment horizontal="center" vertical="center"/>
    </xf>
    <xf numFmtId="0" fontId="162" fillId="0" borderId="0" xfId="0" applyFont="1" applyAlignment="1">
      <alignment horizontal="left" vertical="center" wrapText="1"/>
    </xf>
    <xf numFmtId="0" fontId="34" fillId="0" borderId="30" xfId="0" applyFont="1" applyBorder="1" applyAlignment="1">
      <alignment horizontal="left" wrapText="1"/>
    </xf>
    <xf numFmtId="0" fontId="34" fillId="0" borderId="20" xfId="0" applyFont="1" applyBorder="1" applyAlignment="1">
      <alignment horizontal="left" wrapText="1"/>
    </xf>
    <xf numFmtId="0" fontId="34" fillId="0" borderId="33" xfId="0" applyFont="1" applyBorder="1" applyAlignment="1">
      <alignment horizontal="left" wrapText="1"/>
    </xf>
    <xf numFmtId="0" fontId="39" fillId="0" borderId="19" xfId="0" applyFont="1" applyBorder="1" applyAlignment="1">
      <alignment horizontal="left" vertical="center"/>
    </xf>
    <xf numFmtId="0" fontId="12" fillId="0" borderId="0" xfId="1225" applyFont="1" applyAlignment="1">
      <alignment horizontal="left" vertical="center" wrapText="1"/>
    </xf>
    <xf numFmtId="0" fontId="12" fillId="0" borderId="0" xfId="1225" applyFont="1" applyAlignment="1">
      <alignment horizontal="left" vertical="top" wrapText="1"/>
    </xf>
    <xf numFmtId="0" fontId="57" fillId="0" borderId="0" xfId="1225" applyFont="1" applyAlignment="1">
      <alignment vertical="center"/>
    </xf>
    <xf numFmtId="0" fontId="57" fillId="0" borderId="0" xfId="1225" applyFont="1" applyAlignment="1">
      <alignment horizontal="left" vertical="top" wrapText="1"/>
    </xf>
    <xf numFmtId="0" fontId="57" fillId="0" borderId="0" xfId="1225" applyFont="1" applyAlignment="1">
      <alignment horizontal="left" vertical="top"/>
    </xf>
    <xf numFmtId="0" fontId="57" fillId="0" borderId="0" xfId="1225" applyFont="1" applyAlignment="1">
      <alignment vertical="center" wrapText="1"/>
    </xf>
    <xf numFmtId="0" fontId="76" fillId="0" borderId="0" xfId="1238" applyFont="1" applyAlignment="1" applyProtection="1">
      <alignment horizontal="center" vertical="top" wrapText="1" readingOrder="1"/>
      <protection locked="0"/>
    </xf>
    <xf numFmtId="0" fontId="12" fillId="0" borderId="0" xfId="1238" applyAlignment="1">
      <alignment wrapText="1"/>
    </xf>
    <xf numFmtId="0" fontId="77" fillId="0" borderId="24" xfId="1238" applyFont="1" applyBorder="1" applyAlignment="1" applyProtection="1">
      <alignment horizontal="left" vertical="center" wrapText="1" readingOrder="1"/>
      <protection locked="0"/>
    </xf>
    <xf numFmtId="0" fontId="12" fillId="0" borderId="24" xfId="1238" applyBorder="1" applyAlignment="1">
      <alignment wrapText="1"/>
    </xf>
    <xf numFmtId="0" fontId="65" fillId="0" borderId="24" xfId="1238" applyFont="1" applyBorder="1" applyAlignment="1" applyProtection="1">
      <alignment horizontal="right" vertical="top" wrapText="1" readingOrder="1"/>
      <protection locked="0"/>
    </xf>
    <xf numFmtId="0" fontId="12" fillId="0" borderId="24" xfId="1238" applyBorder="1" applyAlignment="1">
      <alignment vertical="top" wrapText="1"/>
    </xf>
    <xf numFmtId="0" fontId="76" fillId="0" borderId="0" xfId="1238" applyFont="1" applyAlignment="1" applyProtection="1">
      <alignment horizontal="right" vertical="top" wrapText="1" readingOrder="1"/>
      <protection locked="0"/>
    </xf>
    <xf numFmtId="0" fontId="79" fillId="0" borderId="39" xfId="1238" applyFont="1" applyBorder="1" applyAlignment="1" applyProtection="1">
      <alignment horizontal="center" wrapText="1" readingOrder="2"/>
      <protection locked="0"/>
    </xf>
    <xf numFmtId="0" fontId="12" fillId="0" borderId="39" xfId="1238" applyBorder="1" applyAlignment="1">
      <alignment wrapText="1"/>
    </xf>
    <xf numFmtId="0" fontId="65" fillId="0" borderId="0" xfId="1238" applyFont="1" applyAlignment="1" applyProtection="1">
      <alignment horizontal="left" vertical="top" wrapText="1" readingOrder="1"/>
      <protection locked="0"/>
    </xf>
    <xf numFmtId="0" fontId="65" fillId="0" borderId="0" xfId="1238" applyFont="1" applyAlignment="1" applyProtection="1">
      <alignment horizontal="right" vertical="top" wrapText="1" readingOrder="1"/>
      <protection locked="0"/>
    </xf>
    <xf numFmtId="0" fontId="79" fillId="0" borderId="26" xfId="1238" applyFont="1" applyBorder="1" applyAlignment="1" applyProtection="1">
      <alignment horizontal="right" vertical="top" wrapText="1" readingOrder="1"/>
      <protection locked="0"/>
    </xf>
    <xf numFmtId="0" fontId="12" fillId="0" borderId="26" xfId="1238" applyBorder="1" applyAlignment="1">
      <alignment vertical="top" wrapText="1"/>
    </xf>
    <xf numFmtId="0" fontId="34" fillId="0" borderId="19" xfId="0" applyFont="1" applyBorder="1" applyAlignment="1">
      <alignment vertical="center" wrapText="1"/>
    </xf>
    <xf numFmtId="0" fontId="12" fillId="0" borderId="0" xfId="1238" applyAlignment="1">
      <alignment vertical="top" wrapText="1"/>
    </xf>
    <xf numFmtId="0" fontId="34" fillId="58" borderId="19" xfId="0" applyFont="1" applyFill="1" applyBorder="1" applyAlignment="1">
      <alignment horizontal="left"/>
    </xf>
    <xf numFmtId="0" fontId="71" fillId="0" borderId="19" xfId="0" applyFont="1" applyBorder="1" applyAlignment="1">
      <alignment horizontal="left" vertical="center" wrapText="1"/>
    </xf>
    <xf numFmtId="173" fontId="71" fillId="58" borderId="19" xfId="0" applyNumberFormat="1" applyFont="1" applyFill="1" applyBorder="1" applyAlignment="1">
      <alignment horizontal="left" vertical="center" wrapText="1"/>
    </xf>
    <xf numFmtId="0" fontId="12" fillId="0" borderId="2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0" xfId="0" applyFont="1" applyBorder="1" applyAlignment="1">
      <alignment horizontal="left" vertical="center" wrapText="1"/>
    </xf>
    <xf numFmtId="3" fontId="12" fillId="0" borderId="30"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9" xfId="0" applyFont="1" applyBorder="1" applyAlignment="1">
      <alignment vertical="center" wrapText="1"/>
    </xf>
    <xf numFmtId="0" fontId="12" fillId="0" borderId="30" xfId="0" applyFont="1" applyBorder="1" applyAlignment="1">
      <alignment vertical="center" wrapText="1"/>
    </xf>
    <xf numFmtId="0" fontId="12" fillId="0" borderId="19" xfId="0" applyFont="1" applyBorder="1" applyAlignment="1">
      <alignment vertical="center"/>
    </xf>
    <xf numFmtId="0" fontId="12" fillId="0" borderId="30" xfId="0" applyFont="1" applyBorder="1" applyAlignment="1">
      <alignment vertical="center"/>
    </xf>
    <xf numFmtId="0" fontId="70" fillId="0" borderId="0" xfId="0" applyFont="1" applyAlignment="1">
      <alignment horizontal="left" wrapText="1"/>
    </xf>
    <xf numFmtId="0" fontId="70" fillId="0" borderId="30" xfId="0" applyFont="1" applyBorder="1" applyAlignment="1">
      <alignment horizontal="left" vertical="center" wrapText="1"/>
    </xf>
    <xf numFmtId="0" fontId="70" fillId="0" borderId="20" xfId="0" applyFont="1" applyBorder="1" applyAlignment="1">
      <alignment horizontal="left" vertical="center" wrapText="1"/>
    </xf>
    <xf numFmtId="0" fontId="70" fillId="0" borderId="33" xfId="0" applyFont="1" applyBorder="1" applyAlignment="1">
      <alignment horizontal="left" vertical="center" wrapText="1"/>
    </xf>
    <xf numFmtId="0" fontId="12" fillId="0" borderId="20" xfId="0" applyFont="1" applyBorder="1" applyAlignment="1">
      <alignment horizontal="left" vertical="center"/>
    </xf>
    <xf numFmtId="0" fontId="39" fillId="5" borderId="0" xfId="0" applyFont="1" applyFill="1" applyAlignment="1">
      <alignment horizontal="center" vertical="top"/>
    </xf>
    <xf numFmtId="0" fontId="39" fillId="0" borderId="30" xfId="0" applyFont="1" applyBorder="1" applyAlignment="1">
      <alignment horizontal="center" vertical="center"/>
    </xf>
    <xf numFmtId="0" fontId="39" fillId="0" borderId="20" xfId="0" applyFont="1" applyBorder="1" applyAlignment="1">
      <alignment horizontal="center" vertical="center"/>
    </xf>
    <xf numFmtId="0" fontId="39" fillId="0" borderId="33" xfId="0" applyFont="1" applyBorder="1" applyAlignment="1">
      <alignment horizontal="center" vertical="center"/>
    </xf>
    <xf numFmtId="0" fontId="34" fillId="0" borderId="28" xfId="0" applyFont="1" applyBorder="1" applyAlignment="1">
      <alignment horizontal="left" vertical="center" wrapText="1"/>
    </xf>
    <xf numFmtId="0" fontId="39" fillId="58" borderId="30" xfId="0" applyFont="1" applyFill="1" applyBorder="1" applyAlignment="1">
      <alignment horizontal="center" vertical="center" wrapText="1"/>
    </xf>
    <xf numFmtId="0" fontId="39" fillId="58" borderId="20" xfId="0" applyFont="1" applyFill="1" applyBorder="1" applyAlignment="1">
      <alignment horizontal="center" vertical="center" wrapText="1"/>
    </xf>
    <xf numFmtId="0" fontId="39" fillId="58" borderId="33" xfId="0" applyFont="1" applyFill="1" applyBorder="1" applyAlignment="1">
      <alignment horizontal="center" vertical="center" wrapText="1"/>
    </xf>
    <xf numFmtId="0" fontId="34" fillId="0" borderId="19" xfId="0" applyFont="1" applyBorder="1" applyAlignment="1">
      <alignment horizontal="left" vertical="top" wrapText="1"/>
    </xf>
    <xf numFmtId="0" fontId="34" fillId="0" borderId="19" xfId="0" applyFont="1" applyBorder="1" applyAlignment="1">
      <alignment horizontal="left" wrapText="1"/>
    </xf>
    <xf numFmtId="2" fontId="34" fillId="0" borderId="19" xfId="0" applyNumberFormat="1" applyFont="1" applyBorder="1" applyAlignment="1">
      <alignment horizontal="left" vertical="top" wrapText="1"/>
    </xf>
    <xf numFmtId="0" fontId="35" fillId="0" borderId="19" xfId="0" applyFont="1" applyBorder="1" applyAlignment="1">
      <alignment horizontal="left" vertical="center" wrapText="1"/>
    </xf>
    <xf numFmtId="14" fontId="34" fillId="0" borderId="19" xfId="0" applyNumberFormat="1" applyFont="1" applyBorder="1" applyAlignment="1">
      <alignment horizontal="left" vertical="center"/>
    </xf>
    <xf numFmtId="198" fontId="145" fillId="0" borderId="0" xfId="0" applyNumberFormat="1" applyFont="1"/>
    <xf numFmtId="191" fontId="145" fillId="0" borderId="0" xfId="0" applyNumberFormat="1" applyFont="1"/>
    <xf numFmtId="0" fontId="36" fillId="0" borderId="19" xfId="0" applyFont="1" applyBorder="1" applyAlignment="1">
      <alignment horizontal="center" vertical="center" wrapText="1"/>
    </xf>
    <xf numFmtId="200" fontId="146" fillId="0" borderId="0" xfId="1152" applyNumberFormat="1" applyFont="1" applyFill="1" applyBorder="1" applyAlignment="1">
      <alignment horizontal="center" vertical="center"/>
    </xf>
  </cellXfs>
  <cellStyles count="3063">
    <cellStyle name="20% - Énfasis1" xfId="1" builtinId="30" customBuiltin="1"/>
    <cellStyle name="20% - Énfasis1 2" xfId="2" xr:uid="{00000000-0005-0000-0000-000006000000}"/>
    <cellStyle name="20% - Énfasis1 2 2" xfId="3" xr:uid="{00000000-0005-0000-0000-000007000000}"/>
    <cellStyle name="20% - Énfasis1 2 2 2" xfId="4" xr:uid="{00000000-0005-0000-0000-000008000000}"/>
    <cellStyle name="20% - Énfasis1 2 2 2 2" xfId="5" xr:uid="{00000000-0005-0000-0000-000009000000}"/>
    <cellStyle name="20% - Énfasis1 2 3" xfId="6" xr:uid="{00000000-0005-0000-0000-00000A000000}"/>
    <cellStyle name="20% - Énfasis1 2 3 2" xfId="7" xr:uid="{00000000-0005-0000-0000-00000B000000}"/>
    <cellStyle name="20% - Énfasis1 3" xfId="8" xr:uid="{00000000-0005-0000-0000-00000C000000}"/>
    <cellStyle name="20% - Énfasis1 3 2" xfId="9" xr:uid="{00000000-0005-0000-0000-00000D000000}"/>
    <cellStyle name="20% - Énfasis1 3 2 2" xfId="10" xr:uid="{00000000-0005-0000-0000-00000E000000}"/>
    <cellStyle name="20% - Énfasis1 3 2 2 2" xfId="11" xr:uid="{00000000-0005-0000-0000-00000F000000}"/>
    <cellStyle name="20% - Énfasis1 3 3" xfId="12" xr:uid="{00000000-0005-0000-0000-000010000000}"/>
    <cellStyle name="20% - Énfasis1 3 3 2" xfId="13" xr:uid="{00000000-0005-0000-0000-000011000000}"/>
    <cellStyle name="20% - Énfasis1 4" xfId="14" xr:uid="{00000000-0005-0000-0000-000012000000}"/>
    <cellStyle name="20% - Énfasis1 4 2" xfId="15" xr:uid="{00000000-0005-0000-0000-000013000000}"/>
    <cellStyle name="20% - Énfasis1 4 2 2" xfId="16" xr:uid="{00000000-0005-0000-0000-000014000000}"/>
    <cellStyle name="20% - Énfasis1 4 2 2 2" xfId="17" xr:uid="{00000000-0005-0000-0000-000015000000}"/>
    <cellStyle name="20% - Énfasis1 4 3" xfId="18" xr:uid="{00000000-0005-0000-0000-000016000000}"/>
    <cellStyle name="20% - Énfasis1 4 3 2" xfId="19" xr:uid="{00000000-0005-0000-0000-000017000000}"/>
    <cellStyle name="20% - Énfasis1 4 4" xfId="20" xr:uid="{00000000-0005-0000-0000-000018000000}"/>
    <cellStyle name="20% - Énfasis1 5" xfId="21" xr:uid="{00000000-0005-0000-0000-000019000000}"/>
    <cellStyle name="20% - Énfasis1 5 2" xfId="22" xr:uid="{00000000-0005-0000-0000-00001A000000}"/>
    <cellStyle name="20% - Énfasis1 5 2 2" xfId="23" xr:uid="{00000000-0005-0000-0000-00001B000000}"/>
    <cellStyle name="20% - Énfasis1 6" xfId="2081" xr:uid="{C285199B-5579-4B9F-8072-3822B10E1395}"/>
    <cellStyle name="20% - Énfasis2" xfId="24" builtinId="34" customBuiltin="1"/>
    <cellStyle name="20% - Énfasis2 2" xfId="25" xr:uid="{00000000-0005-0000-0000-00001C000000}"/>
    <cellStyle name="20% - Énfasis2 2 2" xfId="26" xr:uid="{00000000-0005-0000-0000-00001D000000}"/>
    <cellStyle name="20% - Énfasis2 2 2 2" xfId="27" xr:uid="{00000000-0005-0000-0000-00001E000000}"/>
    <cellStyle name="20% - Énfasis2 2 2 2 2" xfId="28" xr:uid="{00000000-0005-0000-0000-00001F000000}"/>
    <cellStyle name="20% - Énfasis2 2 3" xfId="29" xr:uid="{00000000-0005-0000-0000-000020000000}"/>
    <cellStyle name="20% - Énfasis2 2 3 2" xfId="30" xr:uid="{00000000-0005-0000-0000-000021000000}"/>
    <cellStyle name="20% - Énfasis2 3" xfId="31" xr:uid="{00000000-0005-0000-0000-000022000000}"/>
    <cellStyle name="20% - Énfasis2 3 2" xfId="32" xr:uid="{00000000-0005-0000-0000-000023000000}"/>
    <cellStyle name="20% - Énfasis2 3 2 2" xfId="33" xr:uid="{00000000-0005-0000-0000-000024000000}"/>
    <cellStyle name="20% - Énfasis2 3 2 2 2" xfId="34" xr:uid="{00000000-0005-0000-0000-000025000000}"/>
    <cellStyle name="20% - Énfasis2 3 3" xfId="35" xr:uid="{00000000-0005-0000-0000-000026000000}"/>
    <cellStyle name="20% - Énfasis2 3 3 2" xfId="36" xr:uid="{00000000-0005-0000-0000-000027000000}"/>
    <cellStyle name="20% - Énfasis2 4" xfId="37" xr:uid="{00000000-0005-0000-0000-000028000000}"/>
    <cellStyle name="20% - Énfasis2 4 2" xfId="38" xr:uid="{00000000-0005-0000-0000-000029000000}"/>
    <cellStyle name="20% - Énfasis2 4 2 2" xfId="39" xr:uid="{00000000-0005-0000-0000-00002A000000}"/>
    <cellStyle name="20% - Énfasis2 4 3" xfId="40" xr:uid="{00000000-0005-0000-0000-00002B000000}"/>
    <cellStyle name="20% - Énfasis2 5" xfId="2034" xr:uid="{3ADCAD36-1083-415B-9A51-7E78919E4D2F}"/>
    <cellStyle name="20% - Énfasis3" xfId="41" builtinId="38" customBuiltin="1"/>
    <cellStyle name="20% - Énfasis3 2" xfId="42" xr:uid="{00000000-0005-0000-0000-00002C000000}"/>
    <cellStyle name="20% - Énfasis3 2 2" xfId="43" xr:uid="{00000000-0005-0000-0000-00002D000000}"/>
    <cellStyle name="20% - Énfasis3 2 2 2" xfId="44" xr:uid="{00000000-0005-0000-0000-00002E000000}"/>
    <cellStyle name="20% - Énfasis3 2 2 2 2" xfId="45" xr:uid="{00000000-0005-0000-0000-00002F000000}"/>
    <cellStyle name="20% - Énfasis3 2 3" xfId="46" xr:uid="{00000000-0005-0000-0000-000030000000}"/>
    <cellStyle name="20% - Énfasis3 2 3 2" xfId="47" xr:uid="{00000000-0005-0000-0000-000031000000}"/>
    <cellStyle name="20% - Énfasis3 3" xfId="48" xr:uid="{00000000-0005-0000-0000-000032000000}"/>
    <cellStyle name="20% - Énfasis3 3 2" xfId="49" xr:uid="{00000000-0005-0000-0000-000033000000}"/>
    <cellStyle name="20% - Énfasis3 3 2 2" xfId="50" xr:uid="{00000000-0005-0000-0000-000034000000}"/>
    <cellStyle name="20% - Énfasis3 3 2 2 2" xfId="51" xr:uid="{00000000-0005-0000-0000-000035000000}"/>
    <cellStyle name="20% - Énfasis3 3 3" xfId="52" xr:uid="{00000000-0005-0000-0000-000036000000}"/>
    <cellStyle name="20% - Énfasis3 3 3 2" xfId="53" xr:uid="{00000000-0005-0000-0000-000037000000}"/>
    <cellStyle name="20% - Énfasis3 4" xfId="54" xr:uid="{00000000-0005-0000-0000-000038000000}"/>
    <cellStyle name="20% - Énfasis3 4 2" xfId="55" xr:uid="{00000000-0005-0000-0000-000039000000}"/>
    <cellStyle name="20% - Énfasis3 4 2 2" xfId="56" xr:uid="{00000000-0005-0000-0000-00003A000000}"/>
    <cellStyle name="20% - Énfasis3 4 2 2 2" xfId="57" xr:uid="{00000000-0005-0000-0000-00003B000000}"/>
    <cellStyle name="20% - Énfasis3 4 3" xfId="58" xr:uid="{00000000-0005-0000-0000-00003C000000}"/>
    <cellStyle name="20% - Énfasis3 4 3 2" xfId="59" xr:uid="{00000000-0005-0000-0000-00003D000000}"/>
    <cellStyle name="20% - Énfasis3 4 4" xfId="60" xr:uid="{00000000-0005-0000-0000-00003E000000}"/>
    <cellStyle name="20% - Énfasis3 5" xfId="61" xr:uid="{00000000-0005-0000-0000-00003F000000}"/>
    <cellStyle name="20% - Énfasis3 5 2" xfId="62" xr:uid="{00000000-0005-0000-0000-000040000000}"/>
    <cellStyle name="20% - Énfasis3 5 2 2" xfId="63" xr:uid="{00000000-0005-0000-0000-000041000000}"/>
    <cellStyle name="20% - Énfasis3 6" xfId="2038" xr:uid="{70AB471D-919C-400B-A137-086CA4C5041B}"/>
    <cellStyle name="20% - Énfasis4" xfId="64" builtinId="42" customBuiltin="1"/>
    <cellStyle name="20% - Énfasis4 2" xfId="65" xr:uid="{00000000-0005-0000-0000-000042000000}"/>
    <cellStyle name="20% - Énfasis4 2 2" xfId="66" xr:uid="{00000000-0005-0000-0000-000043000000}"/>
    <cellStyle name="20% - Énfasis4 2 2 2" xfId="67" xr:uid="{00000000-0005-0000-0000-000044000000}"/>
    <cellStyle name="20% - Énfasis4 2 2 2 2" xfId="68" xr:uid="{00000000-0005-0000-0000-000045000000}"/>
    <cellStyle name="20% - Énfasis4 2 3" xfId="69" xr:uid="{00000000-0005-0000-0000-000046000000}"/>
    <cellStyle name="20% - Énfasis4 2 3 2" xfId="70" xr:uid="{00000000-0005-0000-0000-000047000000}"/>
    <cellStyle name="20% - Énfasis4 3" xfId="71" xr:uid="{00000000-0005-0000-0000-000048000000}"/>
    <cellStyle name="20% - Énfasis4 3 2" xfId="72" xr:uid="{00000000-0005-0000-0000-000049000000}"/>
    <cellStyle name="20% - Énfasis4 3 2 2" xfId="73" xr:uid="{00000000-0005-0000-0000-00004A000000}"/>
    <cellStyle name="20% - Énfasis4 3 2 2 2" xfId="74" xr:uid="{00000000-0005-0000-0000-00004B000000}"/>
    <cellStyle name="20% - Énfasis4 3 3" xfId="75" xr:uid="{00000000-0005-0000-0000-00004C000000}"/>
    <cellStyle name="20% - Énfasis4 3 3 2" xfId="76" xr:uid="{00000000-0005-0000-0000-00004D000000}"/>
    <cellStyle name="20% - Énfasis4 4" xfId="77" xr:uid="{00000000-0005-0000-0000-00004E000000}"/>
    <cellStyle name="20% - Énfasis4 4 2" xfId="78" xr:uid="{00000000-0005-0000-0000-00004F000000}"/>
    <cellStyle name="20% - Énfasis4 4 2 2" xfId="79" xr:uid="{00000000-0005-0000-0000-000050000000}"/>
    <cellStyle name="20% - Énfasis4 4 2 2 2" xfId="80" xr:uid="{00000000-0005-0000-0000-000051000000}"/>
    <cellStyle name="20% - Énfasis4 4 3" xfId="81" xr:uid="{00000000-0005-0000-0000-000052000000}"/>
    <cellStyle name="20% - Énfasis4 4 3 2" xfId="82" xr:uid="{00000000-0005-0000-0000-000053000000}"/>
    <cellStyle name="20% - Énfasis4 4 4" xfId="83" xr:uid="{00000000-0005-0000-0000-000054000000}"/>
    <cellStyle name="20% - Énfasis4 5" xfId="84" xr:uid="{00000000-0005-0000-0000-000055000000}"/>
    <cellStyle name="20% - Énfasis4 5 2" xfId="85" xr:uid="{00000000-0005-0000-0000-000056000000}"/>
    <cellStyle name="20% - Énfasis4 5 2 2" xfId="86" xr:uid="{00000000-0005-0000-0000-000057000000}"/>
    <cellStyle name="20% - Énfasis4 6" xfId="2043" xr:uid="{69138EDB-0B98-4EFC-B219-DD1060765DC6}"/>
    <cellStyle name="20% - Énfasis5" xfId="87" builtinId="46" customBuiltin="1"/>
    <cellStyle name="20% - Énfasis5 2" xfId="88" xr:uid="{00000000-0005-0000-0000-000058000000}"/>
    <cellStyle name="20% - Énfasis5 2 2" xfId="89" xr:uid="{00000000-0005-0000-0000-000059000000}"/>
    <cellStyle name="20% - Énfasis5 2 2 2" xfId="90" xr:uid="{00000000-0005-0000-0000-00005A000000}"/>
    <cellStyle name="20% - Énfasis5 2 2 2 2" xfId="91" xr:uid="{00000000-0005-0000-0000-00005B000000}"/>
    <cellStyle name="20% - Énfasis5 2 3" xfId="92" xr:uid="{00000000-0005-0000-0000-00005C000000}"/>
    <cellStyle name="20% - Énfasis5 2 3 2" xfId="93" xr:uid="{00000000-0005-0000-0000-00005D000000}"/>
    <cellStyle name="20% - Énfasis5 3" xfId="94" xr:uid="{00000000-0005-0000-0000-00005E000000}"/>
    <cellStyle name="20% - Énfasis5 3 2" xfId="95" xr:uid="{00000000-0005-0000-0000-00005F000000}"/>
    <cellStyle name="20% - Énfasis5 3 2 2" xfId="96" xr:uid="{00000000-0005-0000-0000-000060000000}"/>
    <cellStyle name="20% - Énfasis5 3 2 2 2" xfId="97" xr:uid="{00000000-0005-0000-0000-000061000000}"/>
    <cellStyle name="20% - Énfasis5 3 3" xfId="98" xr:uid="{00000000-0005-0000-0000-000062000000}"/>
    <cellStyle name="20% - Énfasis5 3 3 2" xfId="99" xr:uid="{00000000-0005-0000-0000-000063000000}"/>
    <cellStyle name="20% - Énfasis5 4" xfId="100" xr:uid="{00000000-0005-0000-0000-000064000000}"/>
    <cellStyle name="20% - Énfasis5 4 2" xfId="101" xr:uid="{00000000-0005-0000-0000-000065000000}"/>
    <cellStyle name="20% - Énfasis5 4 2 2" xfId="102" xr:uid="{00000000-0005-0000-0000-000066000000}"/>
    <cellStyle name="20% - Énfasis5 4 3" xfId="103" xr:uid="{00000000-0005-0000-0000-000067000000}"/>
    <cellStyle name="20% - Énfasis5 5" xfId="2045" xr:uid="{A294EA21-A408-453B-BCB6-6CD5ACC04946}"/>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20% - Énfasis6 5" xfId="2049" xr:uid="{2C2950B8-AA73-4410-889C-359CCB909C68}"/>
    <cellStyle name="40% - Énfasis1" xfId="121" builtinId="31" customBuiltin="1"/>
    <cellStyle name="40% - Énfasis1 2" xfId="122" xr:uid="{00000000-0005-0000-0000-00007E000000}"/>
    <cellStyle name="40% - Énfasis1 2 2" xfId="123" xr:uid="{00000000-0005-0000-0000-00007F000000}"/>
    <cellStyle name="40% - Énfasis1 2 2 2" xfId="124" xr:uid="{00000000-0005-0000-0000-000080000000}"/>
    <cellStyle name="40% - Énfasis1 2 2 2 2" xfId="125" xr:uid="{00000000-0005-0000-0000-000081000000}"/>
    <cellStyle name="40% - Énfasis1 2 3" xfId="126" xr:uid="{00000000-0005-0000-0000-000082000000}"/>
    <cellStyle name="40% - Énfasis1 2 3 2" xfId="127" xr:uid="{00000000-0005-0000-0000-000083000000}"/>
    <cellStyle name="40% - Énfasis1 3" xfId="128" xr:uid="{00000000-0005-0000-0000-000084000000}"/>
    <cellStyle name="40% - Énfasis1 3 2" xfId="129" xr:uid="{00000000-0005-0000-0000-000085000000}"/>
    <cellStyle name="40% - Énfasis1 3 2 2" xfId="130" xr:uid="{00000000-0005-0000-0000-000086000000}"/>
    <cellStyle name="40% - Énfasis1 3 2 2 2" xfId="131" xr:uid="{00000000-0005-0000-0000-000087000000}"/>
    <cellStyle name="40% - Énfasis1 3 3" xfId="132" xr:uid="{00000000-0005-0000-0000-000088000000}"/>
    <cellStyle name="40% - Énfasis1 3 3 2" xfId="133" xr:uid="{00000000-0005-0000-0000-000089000000}"/>
    <cellStyle name="40% - Énfasis1 4" xfId="134" xr:uid="{00000000-0005-0000-0000-00008A000000}"/>
    <cellStyle name="40% - Énfasis1 4 2" xfId="135" xr:uid="{00000000-0005-0000-0000-00008B000000}"/>
    <cellStyle name="40% - Énfasis1 4 2 2" xfId="136" xr:uid="{00000000-0005-0000-0000-00008C000000}"/>
    <cellStyle name="40% - Énfasis1 4 3" xfId="137" xr:uid="{00000000-0005-0000-0000-00008D000000}"/>
    <cellStyle name="40% - Énfasis1 5" xfId="2031" xr:uid="{980A22D0-E4A7-4FB4-BE0D-0F3FEB9B5A37}"/>
    <cellStyle name="40% - Énfasis2" xfId="138" builtinId="35" customBuiltin="1"/>
    <cellStyle name="40% - Énfasis2 2" xfId="139" xr:uid="{00000000-0005-0000-0000-00008E000000}"/>
    <cellStyle name="40% - Énfasis2 2 2" xfId="140" xr:uid="{00000000-0005-0000-0000-00008F000000}"/>
    <cellStyle name="40% - Énfasis2 2 2 2" xfId="141" xr:uid="{00000000-0005-0000-0000-000090000000}"/>
    <cellStyle name="40% - Énfasis2 2 2 2 2" xfId="142" xr:uid="{00000000-0005-0000-0000-000091000000}"/>
    <cellStyle name="40% - Énfasis2 2 3" xfId="143" xr:uid="{00000000-0005-0000-0000-000092000000}"/>
    <cellStyle name="40% - Énfasis2 2 3 2" xfId="144" xr:uid="{00000000-0005-0000-0000-000093000000}"/>
    <cellStyle name="40% - Énfasis2 3" xfId="145" xr:uid="{00000000-0005-0000-0000-000094000000}"/>
    <cellStyle name="40% - Énfasis2 3 2" xfId="146" xr:uid="{00000000-0005-0000-0000-000095000000}"/>
    <cellStyle name="40% - Énfasis2 3 2 2" xfId="147" xr:uid="{00000000-0005-0000-0000-000096000000}"/>
    <cellStyle name="40% - Énfasis2 3 2 2 2" xfId="148" xr:uid="{00000000-0005-0000-0000-000097000000}"/>
    <cellStyle name="40% - Énfasis2 3 3" xfId="149" xr:uid="{00000000-0005-0000-0000-000098000000}"/>
    <cellStyle name="40% - Énfasis2 3 3 2" xfId="150" xr:uid="{00000000-0005-0000-0000-000099000000}"/>
    <cellStyle name="40% - Énfasis2 4" xfId="151" xr:uid="{00000000-0005-0000-0000-00009A000000}"/>
    <cellStyle name="40% - Énfasis2 4 2" xfId="152" xr:uid="{00000000-0005-0000-0000-00009B000000}"/>
    <cellStyle name="40% - Énfasis2 4 2 2" xfId="153" xr:uid="{00000000-0005-0000-0000-00009C000000}"/>
    <cellStyle name="40% - Énfasis2 4 3" xfId="154" xr:uid="{00000000-0005-0000-0000-00009D000000}"/>
    <cellStyle name="40% - Énfasis2 5" xfId="2035" xr:uid="{5AEA8196-9D18-4DE8-B629-5958F64AD5FF}"/>
    <cellStyle name="40% - Énfasis3" xfId="155" builtinId="39" customBuiltin="1"/>
    <cellStyle name="40% - Énfasis3 2" xfId="156" xr:uid="{00000000-0005-0000-0000-00009E000000}"/>
    <cellStyle name="40% - Énfasis3 2 2" xfId="157" xr:uid="{00000000-0005-0000-0000-00009F000000}"/>
    <cellStyle name="40% - Énfasis3 2 2 2" xfId="158" xr:uid="{00000000-0005-0000-0000-0000A0000000}"/>
    <cellStyle name="40% - Énfasis3 2 2 2 2" xfId="159" xr:uid="{00000000-0005-0000-0000-0000A1000000}"/>
    <cellStyle name="40% - Énfasis3 2 3" xfId="160" xr:uid="{00000000-0005-0000-0000-0000A2000000}"/>
    <cellStyle name="40% - Énfasis3 2 3 2" xfId="161" xr:uid="{00000000-0005-0000-0000-0000A3000000}"/>
    <cellStyle name="40% - Énfasis3 3" xfId="162" xr:uid="{00000000-0005-0000-0000-0000A4000000}"/>
    <cellStyle name="40% - Énfasis3 3 2" xfId="163" xr:uid="{00000000-0005-0000-0000-0000A5000000}"/>
    <cellStyle name="40% - Énfasis3 3 2 2" xfId="164" xr:uid="{00000000-0005-0000-0000-0000A6000000}"/>
    <cellStyle name="40% - Énfasis3 3 2 2 2" xfId="165" xr:uid="{00000000-0005-0000-0000-0000A7000000}"/>
    <cellStyle name="40% - Énfasis3 3 3" xfId="166" xr:uid="{00000000-0005-0000-0000-0000A8000000}"/>
    <cellStyle name="40% - Énfasis3 3 3 2" xfId="167" xr:uid="{00000000-0005-0000-0000-0000A9000000}"/>
    <cellStyle name="40% - Énfasis3 4" xfId="168" xr:uid="{00000000-0005-0000-0000-0000AA000000}"/>
    <cellStyle name="40% - Énfasis3 4 2" xfId="169" xr:uid="{00000000-0005-0000-0000-0000AB000000}"/>
    <cellStyle name="40% - Énfasis3 4 2 2" xfId="170" xr:uid="{00000000-0005-0000-0000-0000AC000000}"/>
    <cellStyle name="40% - Énfasis3 4 3" xfId="171" xr:uid="{00000000-0005-0000-0000-0000AD000000}"/>
    <cellStyle name="40% - Énfasis3 5" xfId="2039" xr:uid="{27C041AC-5BEC-4802-A82C-F59AEA4A2FA1}"/>
    <cellStyle name="40% - Énfasis4" xfId="172" builtinId="43" customBuiltin="1"/>
    <cellStyle name="40% - Énfasis4 2" xfId="173" xr:uid="{00000000-0005-0000-0000-0000AE000000}"/>
    <cellStyle name="40% - Énfasis4 2 2" xfId="174" xr:uid="{00000000-0005-0000-0000-0000AF000000}"/>
    <cellStyle name="40% - Énfasis4 2 2 2" xfId="175" xr:uid="{00000000-0005-0000-0000-0000B0000000}"/>
    <cellStyle name="40% - Énfasis4 2 2 2 2" xfId="176" xr:uid="{00000000-0005-0000-0000-0000B1000000}"/>
    <cellStyle name="40% - Énfasis4 2 3" xfId="177" xr:uid="{00000000-0005-0000-0000-0000B2000000}"/>
    <cellStyle name="40% - Énfasis4 2 3 2" xfId="178" xr:uid="{00000000-0005-0000-0000-0000B3000000}"/>
    <cellStyle name="40% - Énfasis4 3" xfId="179" xr:uid="{00000000-0005-0000-0000-0000B4000000}"/>
    <cellStyle name="40% - Énfasis4 3 2" xfId="180" xr:uid="{00000000-0005-0000-0000-0000B5000000}"/>
    <cellStyle name="40% - Énfasis4 3 2 2" xfId="181" xr:uid="{00000000-0005-0000-0000-0000B6000000}"/>
    <cellStyle name="40% - Énfasis4 3 2 2 2" xfId="182" xr:uid="{00000000-0005-0000-0000-0000B7000000}"/>
    <cellStyle name="40% - Énfasis4 3 3" xfId="183" xr:uid="{00000000-0005-0000-0000-0000B8000000}"/>
    <cellStyle name="40% - Énfasis4 3 3 2" xfId="184" xr:uid="{00000000-0005-0000-0000-0000B9000000}"/>
    <cellStyle name="40% - Énfasis4 4" xfId="185" xr:uid="{00000000-0005-0000-0000-0000BA000000}"/>
    <cellStyle name="40% - Énfasis4 4 2" xfId="186" xr:uid="{00000000-0005-0000-0000-0000BB000000}"/>
    <cellStyle name="40% - Énfasis4 4 2 2" xfId="187" xr:uid="{00000000-0005-0000-0000-0000BC000000}"/>
    <cellStyle name="40% - Énfasis4 4 3" xfId="188" xr:uid="{00000000-0005-0000-0000-0000BD000000}"/>
    <cellStyle name="40% - Énfasis4 5" xfId="2044" xr:uid="{5FA4686D-9A07-40A6-999B-35678F1DAF4C}"/>
    <cellStyle name="40% - Énfasis5" xfId="189" builtinId="47" customBuiltin="1"/>
    <cellStyle name="40% - Énfasis5 2" xfId="190" xr:uid="{00000000-0005-0000-0000-0000BE000000}"/>
    <cellStyle name="40% - Énfasis5 2 2" xfId="191" xr:uid="{00000000-0005-0000-0000-0000BF000000}"/>
    <cellStyle name="40% - Énfasis5 2 2 2" xfId="192" xr:uid="{00000000-0005-0000-0000-0000C0000000}"/>
    <cellStyle name="40% - Énfasis5 2 2 2 2" xfId="193" xr:uid="{00000000-0005-0000-0000-0000C1000000}"/>
    <cellStyle name="40% - Énfasis5 2 3" xfId="194" xr:uid="{00000000-0005-0000-0000-0000C2000000}"/>
    <cellStyle name="40% - Énfasis5 2 3 2" xfId="195" xr:uid="{00000000-0005-0000-0000-0000C3000000}"/>
    <cellStyle name="40% - Énfasis5 3" xfId="196" xr:uid="{00000000-0005-0000-0000-0000C4000000}"/>
    <cellStyle name="40% - Énfasis5 3 2" xfId="197" xr:uid="{00000000-0005-0000-0000-0000C5000000}"/>
    <cellStyle name="40% - Énfasis5 3 2 2" xfId="198" xr:uid="{00000000-0005-0000-0000-0000C6000000}"/>
    <cellStyle name="40% - Énfasis5 3 2 2 2" xfId="199" xr:uid="{00000000-0005-0000-0000-0000C7000000}"/>
    <cellStyle name="40% - Énfasis5 3 3" xfId="200" xr:uid="{00000000-0005-0000-0000-0000C8000000}"/>
    <cellStyle name="40% - Énfasis5 3 3 2" xfId="201" xr:uid="{00000000-0005-0000-0000-0000C9000000}"/>
    <cellStyle name="40% - Énfasis5 4" xfId="202" xr:uid="{00000000-0005-0000-0000-0000CA000000}"/>
    <cellStyle name="40% - Énfasis5 4 2" xfId="203" xr:uid="{00000000-0005-0000-0000-0000CB000000}"/>
    <cellStyle name="40% - Énfasis5 4 2 2" xfId="204" xr:uid="{00000000-0005-0000-0000-0000CC000000}"/>
    <cellStyle name="40% - Énfasis5 4 3" xfId="205" xr:uid="{00000000-0005-0000-0000-0000CD000000}"/>
    <cellStyle name="40% - Énfasis5 5" xfId="2046" xr:uid="{84E767B0-B698-4B10-A567-4D02E9583A4B}"/>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40% - Énfasis6 5" xfId="2059" xr:uid="{FE4A084E-5C6C-4428-B505-2AE25323371F}"/>
    <cellStyle name="60% - Énfasis1" xfId="223" builtinId="32" customBuiltin="1"/>
    <cellStyle name="60% - Énfasis1 2" xfId="224" xr:uid="{00000000-0005-0000-0000-0000E4000000}"/>
    <cellStyle name="60% - Énfasis1 2 2" xfId="225" xr:uid="{00000000-0005-0000-0000-0000E5000000}"/>
    <cellStyle name="60% - Énfasis1 3" xfId="226" xr:uid="{00000000-0005-0000-0000-0000E6000000}"/>
    <cellStyle name="60% - Énfasis1 3 2" xfId="227" xr:uid="{00000000-0005-0000-0000-0000E7000000}"/>
    <cellStyle name="60% - Énfasis1 4" xfId="228" xr:uid="{00000000-0005-0000-0000-0000E8000000}"/>
    <cellStyle name="60% - Énfasis1 5" xfId="2082" xr:uid="{6B459D74-C4B4-4947-A948-77B0B1B560E0}"/>
    <cellStyle name="60% - Énfasis2" xfId="229" builtinId="36" customBuiltin="1"/>
    <cellStyle name="60% - Énfasis2 2" xfId="230" xr:uid="{00000000-0005-0000-0000-0000E9000000}"/>
    <cellStyle name="60% - Énfasis2 2 2" xfId="231" xr:uid="{00000000-0005-0000-0000-0000EA000000}"/>
    <cellStyle name="60% - Énfasis2 3" xfId="232" xr:uid="{00000000-0005-0000-0000-0000EB000000}"/>
    <cellStyle name="60% - Énfasis2 3 2" xfId="233" xr:uid="{00000000-0005-0000-0000-0000EC000000}"/>
    <cellStyle name="60% - Énfasis2 4" xfId="234" xr:uid="{00000000-0005-0000-0000-0000ED000000}"/>
    <cellStyle name="60% - Énfasis2 5" xfId="2036" xr:uid="{DE7F9189-693C-4970-AD5D-A0CA3B7AD7E7}"/>
    <cellStyle name="60% - Énfasis3" xfId="235" builtinId="40" customBuiltin="1"/>
    <cellStyle name="60% - Énfasis3 2" xfId="236" xr:uid="{00000000-0005-0000-0000-0000EE000000}"/>
    <cellStyle name="60% - Énfasis3 2 2" xfId="237" xr:uid="{00000000-0005-0000-0000-0000EF000000}"/>
    <cellStyle name="60% - Énfasis3 3" xfId="238" xr:uid="{00000000-0005-0000-0000-0000F0000000}"/>
    <cellStyle name="60% - Énfasis3 3 2" xfId="239" xr:uid="{00000000-0005-0000-0000-0000F1000000}"/>
    <cellStyle name="60% - Énfasis3 4" xfId="240" xr:uid="{00000000-0005-0000-0000-0000F2000000}"/>
    <cellStyle name="60% - Énfasis3 5" xfId="2041" xr:uid="{3988A7F0-60E3-417A-88C1-B1620874BC0C}"/>
    <cellStyle name="60% - Énfasis4" xfId="241" builtinId="44" customBuiltin="1"/>
    <cellStyle name="60% - Énfasis4 2" xfId="242" xr:uid="{00000000-0005-0000-0000-0000F3000000}"/>
    <cellStyle name="60% - Énfasis4 2 2" xfId="243" xr:uid="{00000000-0005-0000-0000-0000F4000000}"/>
    <cellStyle name="60% - Énfasis4 3" xfId="244" xr:uid="{00000000-0005-0000-0000-0000F5000000}"/>
    <cellStyle name="60% - Énfasis4 3 2" xfId="245" xr:uid="{00000000-0005-0000-0000-0000F6000000}"/>
    <cellStyle name="60% - Énfasis4 4" xfId="246" xr:uid="{00000000-0005-0000-0000-0000F7000000}"/>
    <cellStyle name="60% - Énfasis4 5" xfId="2083" xr:uid="{CF3A498A-326E-46EB-BA59-909B70F99B00}"/>
    <cellStyle name="60% - Énfasis5" xfId="247" builtinId="48" customBuiltin="1"/>
    <cellStyle name="60% - Énfasis5 2" xfId="248" xr:uid="{00000000-0005-0000-0000-0000F8000000}"/>
    <cellStyle name="60% - Énfasis5 2 2" xfId="249" xr:uid="{00000000-0005-0000-0000-0000F9000000}"/>
    <cellStyle name="60% - Énfasis5 3" xfId="250" xr:uid="{00000000-0005-0000-0000-0000FA000000}"/>
    <cellStyle name="60% - Énfasis5 3 2" xfId="251" xr:uid="{00000000-0005-0000-0000-0000FB000000}"/>
    <cellStyle name="60% - Énfasis5 4" xfId="252" xr:uid="{00000000-0005-0000-0000-0000FC000000}"/>
    <cellStyle name="60% - Énfasis5 5" xfId="2048" xr:uid="{2D63A923-FC00-459E-9F44-5BB1D62B899D}"/>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60% - Énfasis6 5" xfId="2087" xr:uid="{FEFABF46-64DB-45D8-B237-1368CB2F7D1D}"/>
    <cellStyle name="Buena 2" xfId="259" xr:uid="{00000000-0005-0000-0000-00000A010000}"/>
    <cellStyle name="Buena 2 2" xfId="260" xr:uid="{00000000-0005-0000-0000-00000B010000}"/>
    <cellStyle name="Buena 3" xfId="261" xr:uid="{00000000-0005-0000-0000-00000C010000}"/>
    <cellStyle name="Buena 3 2" xfId="262" xr:uid="{00000000-0005-0000-0000-00000D010000}"/>
    <cellStyle name="Buena 4" xfId="263" xr:uid="{00000000-0005-0000-0000-00000E010000}"/>
    <cellStyle name="Bueno" xfId="264" builtinId="26" customBuiltin="1"/>
    <cellStyle name="Bueno 2" xfId="2019" xr:uid="{EBF9BF30-8C40-4957-BA31-429CE1D2E4E1}"/>
    <cellStyle name="Cálculo" xfId="265" builtinId="22" customBuiltin="1"/>
    <cellStyle name="Cálculo 2" xfId="266" xr:uid="{00000000-0005-0000-0000-00000F010000}"/>
    <cellStyle name="Cálculo 2 2" xfId="267" xr:uid="{00000000-0005-0000-0000-000010010000}"/>
    <cellStyle name="Cálculo 2 2 2" xfId="268" xr:uid="{00000000-0005-0000-0000-000011010000}"/>
    <cellStyle name="Cálculo 3" xfId="269" xr:uid="{00000000-0005-0000-0000-000012010000}"/>
    <cellStyle name="Cálculo 3 2" xfId="270" xr:uid="{00000000-0005-0000-0000-000013010000}"/>
    <cellStyle name="Cálculo 3 2 2" xfId="271" xr:uid="{00000000-0005-0000-0000-000014010000}"/>
    <cellStyle name="Cálculo 4" xfId="272" xr:uid="{00000000-0005-0000-0000-000015010000}"/>
    <cellStyle name="Cálculo 4 2" xfId="273" xr:uid="{00000000-0005-0000-0000-000016010000}"/>
    <cellStyle name="Cálculo 4 2 2" xfId="274" xr:uid="{00000000-0005-0000-0000-000017010000}"/>
    <cellStyle name="Cálculo 4 3" xfId="275" xr:uid="{00000000-0005-0000-0000-000018010000}"/>
    <cellStyle name="Cálculo 5" xfId="2024" xr:uid="{EA4F9511-4541-4A75-A47B-391224999E2C}"/>
    <cellStyle name="Celda de comprobación" xfId="276" builtinId="23" customBuiltin="1"/>
    <cellStyle name="Celda de comprobación 2" xfId="277" xr:uid="{00000000-0005-0000-0000-000019010000}"/>
    <cellStyle name="Celda de comprobación 2 2" xfId="278" xr:uid="{00000000-0005-0000-0000-00001A010000}"/>
    <cellStyle name="Celda de comprobación 2 2 2" xfId="279" xr:uid="{00000000-0005-0000-0000-00001B010000}"/>
    <cellStyle name="Celda de comprobación 2 2 3" xfId="280" xr:uid="{00000000-0005-0000-0000-00001C010000}"/>
    <cellStyle name="Celda de comprobación 3" xfId="281" xr:uid="{00000000-0005-0000-0000-00001D010000}"/>
    <cellStyle name="Celda de comprobación 3 2" xfId="282" xr:uid="{00000000-0005-0000-0000-00001E010000}"/>
    <cellStyle name="Celda de comprobación 3 2 2" xfId="283" xr:uid="{00000000-0005-0000-0000-00001F010000}"/>
    <cellStyle name="Celda de comprobación 3 2 3" xfId="284" xr:uid="{00000000-0005-0000-0000-000020010000}"/>
    <cellStyle name="Celda de comprobación 4" xfId="285" xr:uid="{00000000-0005-0000-0000-000021010000}"/>
    <cellStyle name="Celda de comprobación 5" xfId="2026" xr:uid="{2E6E6D6E-D90F-4121-9A23-CBF21514FBD7}"/>
    <cellStyle name="Celda vinculada" xfId="286" builtinId="24" customBuiltin="1"/>
    <cellStyle name="Celda vinculada 2" xfId="287" xr:uid="{00000000-0005-0000-0000-000022010000}"/>
    <cellStyle name="Celda vinculada 2 2" xfId="288" xr:uid="{00000000-0005-0000-0000-000023010000}"/>
    <cellStyle name="Celda vinculada 3" xfId="289" xr:uid="{00000000-0005-0000-0000-000024010000}"/>
    <cellStyle name="Celda vinculada 3 2" xfId="290" xr:uid="{00000000-0005-0000-0000-000025010000}"/>
    <cellStyle name="Celda vinculada 4" xfId="291" xr:uid="{00000000-0005-0000-0000-000026010000}"/>
    <cellStyle name="Celda vinculada 5" xfId="2025" xr:uid="{ED8FEDE6-822D-40F3-89A3-A985040A22D5}"/>
    <cellStyle name="Currency 2" xfId="292" xr:uid="{00000000-0005-0000-0000-000027010000}"/>
    <cellStyle name="Currency 2 10" xfId="293" xr:uid="{00000000-0005-0000-0000-000028010000}"/>
    <cellStyle name="Currency 2 10 2" xfId="294" xr:uid="{00000000-0005-0000-0000-000029010000}"/>
    <cellStyle name="Currency 2 10 3" xfId="2064" xr:uid="{EFB75D6D-9273-4CC7-A451-05ED1387C946}"/>
    <cellStyle name="Currency 2 11" xfId="295" xr:uid="{00000000-0005-0000-0000-00002A010000}"/>
    <cellStyle name="Currency 2 11 2" xfId="296" xr:uid="{00000000-0005-0000-0000-00002B010000}"/>
    <cellStyle name="Currency 2 11 3" xfId="2063" xr:uid="{6A3FFBF9-709A-45BE-9B8F-275B32EACF11}"/>
    <cellStyle name="Currency 2 12" xfId="297" xr:uid="{00000000-0005-0000-0000-00002C010000}"/>
    <cellStyle name="Currency 2 12 2" xfId="298" xr:uid="{00000000-0005-0000-0000-00002D010000}"/>
    <cellStyle name="Currency 2 13" xfId="299" xr:uid="{00000000-0005-0000-0000-00002E010000}"/>
    <cellStyle name="Currency 2 14" xfId="2010" xr:uid="{8FC3D4FA-67E9-4B64-9601-BC46F7067022}"/>
    <cellStyle name="Currency 2 15" xfId="2004" xr:uid="{BD0779FC-F20F-428F-BFC8-E172C10BE68A}"/>
    <cellStyle name="Currency 2 16" xfId="3039" xr:uid="{4A3B8194-6309-43DA-A49F-527FC98CB0F6}"/>
    <cellStyle name="Currency 2 2" xfId="300" xr:uid="{00000000-0005-0000-0000-00002F010000}"/>
    <cellStyle name="Currency 2 2 10" xfId="301" xr:uid="{00000000-0005-0000-0000-000030010000}"/>
    <cellStyle name="Currency 2 2 10 2" xfId="302" xr:uid="{00000000-0005-0000-0000-000031010000}"/>
    <cellStyle name="Currency 2 2 10 3" xfId="2065" xr:uid="{0B5446F6-18F3-4539-9650-98DD29C426FD}"/>
    <cellStyle name="Currency 2 2 11" xfId="303" xr:uid="{00000000-0005-0000-0000-000032010000}"/>
    <cellStyle name="Currency 2 2 11 2" xfId="304" xr:uid="{00000000-0005-0000-0000-000033010000}"/>
    <cellStyle name="Currency 2 2 12" xfId="305" xr:uid="{00000000-0005-0000-0000-000034010000}"/>
    <cellStyle name="Currency 2 2 13" xfId="2011" xr:uid="{D0D5FF74-60A3-42EA-A257-7BCDA2C0E7EC}"/>
    <cellStyle name="Currency 2 2 14" xfId="2005" xr:uid="{01B95506-2FD4-439C-B106-224382D566B0}"/>
    <cellStyle name="Currency 2 2 15" xfId="3040" xr:uid="{123B0053-A941-41E3-B99F-B90520F9E2D6}"/>
    <cellStyle name="Currency 2 2 2" xfId="306" xr:uid="{00000000-0005-0000-0000-000035010000}"/>
    <cellStyle name="Currency 2 2 2 10" xfId="307" xr:uid="{00000000-0005-0000-0000-000036010000}"/>
    <cellStyle name="Currency 2 2 2 11" xfId="2012" xr:uid="{6DC49A6F-9264-467E-80A4-62704A870422}"/>
    <cellStyle name="Currency 2 2 2 12" xfId="2006" xr:uid="{F839DAC3-6EC9-4475-A06D-A1640A22C108}"/>
    <cellStyle name="Currency 2 2 2 13" xfId="3041" xr:uid="{C2B55988-6531-45D1-A817-3D4CFDCA345A}"/>
    <cellStyle name="Currency 2 2 2 2" xfId="308" xr:uid="{00000000-0005-0000-0000-000037010000}"/>
    <cellStyle name="Currency 2 2 2 2 2" xfId="309" xr:uid="{00000000-0005-0000-0000-000038010000}"/>
    <cellStyle name="Currency 2 2 2 2 2 2" xfId="310" xr:uid="{00000000-0005-0000-0000-000039010000}"/>
    <cellStyle name="Currency 2 2 2 2 2 2 2" xfId="311" xr:uid="{00000000-0005-0000-0000-00003A010000}"/>
    <cellStyle name="Currency 2 2 2 2 2 2 2 2" xfId="312" xr:uid="{00000000-0005-0000-0000-00003B010000}"/>
    <cellStyle name="Currency 2 2 2 2 2 2 2 2 2" xfId="313" xr:uid="{00000000-0005-0000-0000-00003C010000}"/>
    <cellStyle name="Currency 2 2 2 2 2 2 2 2 2 2" xfId="314" xr:uid="{00000000-0005-0000-0000-00003D010000}"/>
    <cellStyle name="Currency 2 2 2 2 2 2 2 2 2 3" xfId="2072" xr:uid="{0896C994-BFD6-436B-836B-D29EF96570CF}"/>
    <cellStyle name="Currency 2 2 2 2 2 2 2 2 3" xfId="315" xr:uid="{00000000-0005-0000-0000-00003E010000}"/>
    <cellStyle name="Currency 2 2 2 2 2 2 2 2 4" xfId="2071" xr:uid="{3A4E2ADC-231B-4507-AA26-373475B95DFB}"/>
    <cellStyle name="Currency 2 2 2 2 2 2 2 3" xfId="316" xr:uid="{00000000-0005-0000-0000-00003F010000}"/>
    <cellStyle name="Currency 2 2 2 2 2 2 2 3 2" xfId="317" xr:uid="{00000000-0005-0000-0000-000040010000}"/>
    <cellStyle name="Currency 2 2 2 2 2 2 2 3 3" xfId="2073" xr:uid="{5D3513B4-D938-4FD9-BE2D-9C2783FCCE35}"/>
    <cellStyle name="Currency 2 2 2 2 2 2 2 4" xfId="318" xr:uid="{00000000-0005-0000-0000-000041010000}"/>
    <cellStyle name="Currency 2 2 2 2 2 2 2 5" xfId="2070" xr:uid="{A759677F-D5AB-459D-AA49-13468ECECFEC}"/>
    <cellStyle name="Currency 2 2 2 2 2 2 3" xfId="319" xr:uid="{00000000-0005-0000-0000-000042010000}"/>
    <cellStyle name="Currency 2 2 2 2 2 2 3 2" xfId="320" xr:uid="{00000000-0005-0000-0000-000043010000}"/>
    <cellStyle name="Currency 2 2 2 2 2 2 3 2 2" xfId="321" xr:uid="{00000000-0005-0000-0000-000044010000}"/>
    <cellStyle name="Currency 2 2 2 2 2 2 3 2 3" xfId="2075" xr:uid="{72FAE960-DEBD-492D-A63D-1C7A88DF52C1}"/>
    <cellStyle name="Currency 2 2 2 2 2 2 3 3" xfId="322" xr:uid="{00000000-0005-0000-0000-000045010000}"/>
    <cellStyle name="Currency 2 2 2 2 2 2 3 4" xfId="2074" xr:uid="{97427268-5224-45C1-AE58-CB73C0E7F01B}"/>
    <cellStyle name="Currency 2 2 2 2 2 2 4" xfId="323" xr:uid="{00000000-0005-0000-0000-000046010000}"/>
    <cellStyle name="Currency 2 2 2 2 2 2 4 2" xfId="324" xr:uid="{00000000-0005-0000-0000-000047010000}"/>
    <cellStyle name="Currency 2 2 2 2 2 2 4 3" xfId="2076" xr:uid="{DF1D6AD5-A869-4E8E-920C-587B83D9108A}"/>
    <cellStyle name="Currency 2 2 2 2 2 2 5" xfId="325" xr:uid="{00000000-0005-0000-0000-000048010000}"/>
    <cellStyle name="Currency 2 2 2 2 2 2 6" xfId="2069" xr:uid="{633F02A3-2982-46FF-AC20-55FEEFB4C524}"/>
    <cellStyle name="Currency 2 2 2 2 2 3" xfId="326" xr:uid="{00000000-0005-0000-0000-000049010000}"/>
    <cellStyle name="Currency 2 2 2 2 2 3 2" xfId="327" xr:uid="{00000000-0005-0000-0000-00004A010000}"/>
    <cellStyle name="Currency 2 2 2 2 2 3 2 2" xfId="328" xr:uid="{00000000-0005-0000-0000-00004B010000}"/>
    <cellStyle name="Currency 2 2 2 2 2 3 2 2 2" xfId="329" xr:uid="{00000000-0005-0000-0000-00004C010000}"/>
    <cellStyle name="Currency 2 2 2 2 2 3 2 2 3" xfId="2079" xr:uid="{FA8B8EBF-2A79-4E2B-B7C1-44C6EA1026C0}"/>
    <cellStyle name="Currency 2 2 2 2 2 3 2 3" xfId="330" xr:uid="{00000000-0005-0000-0000-00004D010000}"/>
    <cellStyle name="Currency 2 2 2 2 2 3 2 4" xfId="2078" xr:uid="{26C99B5F-06F8-42C7-9233-C85AAEA2331C}"/>
    <cellStyle name="Currency 2 2 2 2 2 3 3" xfId="331" xr:uid="{00000000-0005-0000-0000-00004E010000}"/>
    <cellStyle name="Currency 2 2 2 2 2 3 3 2" xfId="332" xr:uid="{00000000-0005-0000-0000-00004F010000}"/>
    <cellStyle name="Currency 2 2 2 2 2 3 3 3" xfId="2095" xr:uid="{1AA7F314-91B7-4B9F-9444-05838226C8A2}"/>
    <cellStyle name="Currency 2 2 2 2 2 3 4" xfId="333" xr:uid="{00000000-0005-0000-0000-000050010000}"/>
    <cellStyle name="Currency 2 2 2 2 2 3 5" xfId="2077" xr:uid="{447FECCC-AC1B-41F5-B6E4-AD8CE15FEF4D}"/>
    <cellStyle name="Currency 2 2 2 2 2 4" xfId="334" xr:uid="{00000000-0005-0000-0000-000051010000}"/>
    <cellStyle name="Currency 2 2 2 2 2 4 2" xfId="335" xr:uid="{00000000-0005-0000-0000-000052010000}"/>
    <cellStyle name="Currency 2 2 2 2 2 4 2 2" xfId="336" xr:uid="{00000000-0005-0000-0000-000053010000}"/>
    <cellStyle name="Currency 2 2 2 2 2 4 2 3" xfId="2097" xr:uid="{A586983F-B892-4649-8EE5-73419FB677B9}"/>
    <cellStyle name="Currency 2 2 2 2 2 4 3" xfId="337" xr:uid="{00000000-0005-0000-0000-000054010000}"/>
    <cellStyle name="Currency 2 2 2 2 2 4 4" xfId="2096" xr:uid="{1A1CC7E5-8191-43F8-8640-9FDC9EF02855}"/>
    <cellStyle name="Currency 2 2 2 2 2 5" xfId="338" xr:uid="{00000000-0005-0000-0000-000055010000}"/>
    <cellStyle name="Currency 2 2 2 2 2 5 2" xfId="339" xr:uid="{00000000-0005-0000-0000-000056010000}"/>
    <cellStyle name="Currency 2 2 2 2 2 5 3" xfId="2098" xr:uid="{6D18BDBE-975B-43AE-88EC-D535E4DB410D}"/>
    <cellStyle name="Currency 2 2 2 2 2 6" xfId="340" xr:uid="{00000000-0005-0000-0000-000057010000}"/>
    <cellStyle name="Currency 2 2 2 2 2 7" xfId="2068" xr:uid="{70B5C551-8C6A-4AD2-B993-69F6C3A03F7D}"/>
    <cellStyle name="Currency 2 2 2 2 3" xfId="341" xr:uid="{00000000-0005-0000-0000-000058010000}"/>
    <cellStyle name="Currency 2 2 2 2 3 2" xfId="342" xr:uid="{00000000-0005-0000-0000-000059010000}"/>
    <cellStyle name="Currency 2 2 2 2 3 2 2" xfId="343" xr:uid="{00000000-0005-0000-0000-00005A010000}"/>
    <cellStyle name="Currency 2 2 2 2 3 2 2 2" xfId="344" xr:uid="{00000000-0005-0000-0000-00005B010000}"/>
    <cellStyle name="Currency 2 2 2 2 3 2 2 2 2" xfId="345" xr:uid="{00000000-0005-0000-0000-00005C010000}"/>
    <cellStyle name="Currency 2 2 2 2 3 2 2 2 3" xfId="2102" xr:uid="{B8069708-6AF3-45CD-8CCF-ED69CF5BCEA8}"/>
    <cellStyle name="Currency 2 2 2 2 3 2 2 3" xfId="346" xr:uid="{00000000-0005-0000-0000-00005D010000}"/>
    <cellStyle name="Currency 2 2 2 2 3 2 2 4" xfId="2101" xr:uid="{B97584D8-1C84-48A8-9FBF-6946284CD69C}"/>
    <cellStyle name="Currency 2 2 2 2 3 2 3" xfId="347" xr:uid="{00000000-0005-0000-0000-00005E010000}"/>
    <cellStyle name="Currency 2 2 2 2 3 2 3 2" xfId="348" xr:uid="{00000000-0005-0000-0000-00005F010000}"/>
    <cellStyle name="Currency 2 2 2 2 3 2 3 3" xfId="2103" xr:uid="{78A2196D-B1FF-4516-BE3A-F23DBD99694A}"/>
    <cellStyle name="Currency 2 2 2 2 3 2 4" xfId="349" xr:uid="{00000000-0005-0000-0000-000060010000}"/>
    <cellStyle name="Currency 2 2 2 2 3 2 5" xfId="2100" xr:uid="{5B7CF567-829B-432F-8FE6-80668E15E983}"/>
    <cellStyle name="Currency 2 2 2 2 3 3" xfId="350" xr:uid="{00000000-0005-0000-0000-000061010000}"/>
    <cellStyle name="Currency 2 2 2 2 3 3 2" xfId="351" xr:uid="{00000000-0005-0000-0000-000062010000}"/>
    <cellStyle name="Currency 2 2 2 2 3 3 2 2" xfId="352" xr:uid="{00000000-0005-0000-0000-000063010000}"/>
    <cellStyle name="Currency 2 2 2 2 3 3 2 3" xfId="2105" xr:uid="{D74F161A-266A-4058-A528-92F9165E6861}"/>
    <cellStyle name="Currency 2 2 2 2 3 3 3" xfId="353" xr:uid="{00000000-0005-0000-0000-000064010000}"/>
    <cellStyle name="Currency 2 2 2 2 3 3 4" xfId="2104" xr:uid="{3AD4E33F-5A6A-47EB-B009-CE990E6CE8AA}"/>
    <cellStyle name="Currency 2 2 2 2 3 4" xfId="354" xr:uid="{00000000-0005-0000-0000-000065010000}"/>
    <cellStyle name="Currency 2 2 2 2 3 4 2" xfId="355" xr:uid="{00000000-0005-0000-0000-000066010000}"/>
    <cellStyle name="Currency 2 2 2 2 3 4 3" xfId="2106" xr:uid="{2E6E48A7-603D-4EDA-96C9-81D257ABCAC5}"/>
    <cellStyle name="Currency 2 2 2 2 3 5" xfId="356" xr:uid="{00000000-0005-0000-0000-000067010000}"/>
    <cellStyle name="Currency 2 2 2 2 3 6" xfId="2099" xr:uid="{0D7026FF-9583-4E30-93E7-77CEC5EB781E}"/>
    <cellStyle name="Currency 2 2 2 2 4" xfId="357" xr:uid="{00000000-0005-0000-0000-000068010000}"/>
    <cellStyle name="Currency 2 2 2 2 4 2" xfId="358" xr:uid="{00000000-0005-0000-0000-000069010000}"/>
    <cellStyle name="Currency 2 2 2 2 4 2 2" xfId="359" xr:uid="{00000000-0005-0000-0000-00006A010000}"/>
    <cellStyle name="Currency 2 2 2 2 4 2 2 2" xfId="360" xr:uid="{00000000-0005-0000-0000-00006B010000}"/>
    <cellStyle name="Currency 2 2 2 2 4 2 2 3" xfId="2109" xr:uid="{7F79C241-C6FC-41D2-9AB9-C54B54E0BA92}"/>
    <cellStyle name="Currency 2 2 2 2 4 2 3" xfId="361" xr:uid="{00000000-0005-0000-0000-00006C010000}"/>
    <cellStyle name="Currency 2 2 2 2 4 2 4" xfId="2108" xr:uid="{3074B197-44D6-4D58-8913-F50BE62AA9AF}"/>
    <cellStyle name="Currency 2 2 2 2 4 3" xfId="362" xr:uid="{00000000-0005-0000-0000-00006D010000}"/>
    <cellStyle name="Currency 2 2 2 2 4 3 2" xfId="363" xr:uid="{00000000-0005-0000-0000-00006E010000}"/>
    <cellStyle name="Currency 2 2 2 2 4 3 3" xfId="2110" xr:uid="{C58042E0-40B0-4B97-A0BB-0C7147CA8DAB}"/>
    <cellStyle name="Currency 2 2 2 2 4 4" xfId="364" xr:uid="{00000000-0005-0000-0000-00006F010000}"/>
    <cellStyle name="Currency 2 2 2 2 4 5" xfId="2107" xr:uid="{9F6A6D1E-4348-485B-8F0B-5DF302C745B4}"/>
    <cellStyle name="Currency 2 2 2 2 5" xfId="365" xr:uid="{00000000-0005-0000-0000-000070010000}"/>
    <cellStyle name="Currency 2 2 2 2 5 2" xfId="366" xr:uid="{00000000-0005-0000-0000-000071010000}"/>
    <cellStyle name="Currency 2 2 2 2 5 2 2" xfId="367" xr:uid="{00000000-0005-0000-0000-000072010000}"/>
    <cellStyle name="Currency 2 2 2 2 5 2 3" xfId="2112" xr:uid="{A78BFEBB-AAEA-4703-B33A-FBB7760B75F0}"/>
    <cellStyle name="Currency 2 2 2 2 5 3" xfId="368" xr:uid="{00000000-0005-0000-0000-000073010000}"/>
    <cellStyle name="Currency 2 2 2 2 5 4" xfId="2111" xr:uid="{3AC2ECB3-7F97-48ED-9CAC-BA2410834E6D}"/>
    <cellStyle name="Currency 2 2 2 2 6" xfId="369" xr:uid="{00000000-0005-0000-0000-000074010000}"/>
    <cellStyle name="Currency 2 2 2 2 6 2" xfId="370" xr:uid="{00000000-0005-0000-0000-000075010000}"/>
    <cellStyle name="Currency 2 2 2 2 6 3" xfId="2113" xr:uid="{3C03A903-C7B2-4AE6-83A2-35754717AB16}"/>
    <cellStyle name="Currency 2 2 2 2 7" xfId="371" xr:uid="{00000000-0005-0000-0000-000076010000}"/>
    <cellStyle name="Currency 2 2 2 2 8" xfId="2067" xr:uid="{2892E11D-9396-40F8-B4FF-3515CF9A41CF}"/>
    <cellStyle name="Currency 2 2 2 3" xfId="372" xr:uid="{00000000-0005-0000-0000-000077010000}"/>
    <cellStyle name="Currency 2 2 2 3 2" xfId="373" xr:uid="{00000000-0005-0000-0000-000078010000}"/>
    <cellStyle name="Currency 2 2 2 3 2 2" xfId="374" xr:uid="{00000000-0005-0000-0000-000079010000}"/>
    <cellStyle name="Currency 2 2 2 3 2 2 2" xfId="375" xr:uid="{00000000-0005-0000-0000-00007A010000}"/>
    <cellStyle name="Currency 2 2 2 3 2 2 2 2" xfId="376" xr:uid="{00000000-0005-0000-0000-00007B010000}"/>
    <cellStyle name="Currency 2 2 2 3 2 2 2 2 2" xfId="377" xr:uid="{00000000-0005-0000-0000-00007C010000}"/>
    <cellStyle name="Currency 2 2 2 3 2 2 2 2 3" xfId="2118" xr:uid="{EFAAD666-4632-4165-97B9-0877AE5FC370}"/>
    <cellStyle name="Currency 2 2 2 3 2 2 2 3" xfId="378" xr:uid="{00000000-0005-0000-0000-00007D010000}"/>
    <cellStyle name="Currency 2 2 2 3 2 2 2 4" xfId="2117" xr:uid="{05FEDDA7-02C6-4ABA-932C-C3317BBEBD2E}"/>
    <cellStyle name="Currency 2 2 2 3 2 2 3" xfId="379" xr:uid="{00000000-0005-0000-0000-00007E010000}"/>
    <cellStyle name="Currency 2 2 2 3 2 2 3 2" xfId="380" xr:uid="{00000000-0005-0000-0000-00007F010000}"/>
    <cellStyle name="Currency 2 2 2 3 2 2 3 3" xfId="2119" xr:uid="{B4CA1ACC-F04A-4BDA-A8E9-E00BC475B4B0}"/>
    <cellStyle name="Currency 2 2 2 3 2 2 4" xfId="381" xr:uid="{00000000-0005-0000-0000-000080010000}"/>
    <cellStyle name="Currency 2 2 2 3 2 2 5" xfId="2116" xr:uid="{022F231F-2824-462B-847E-F9338154F7C6}"/>
    <cellStyle name="Currency 2 2 2 3 2 3" xfId="382" xr:uid="{00000000-0005-0000-0000-000081010000}"/>
    <cellStyle name="Currency 2 2 2 3 2 3 2" xfId="383" xr:uid="{00000000-0005-0000-0000-000082010000}"/>
    <cellStyle name="Currency 2 2 2 3 2 3 2 2" xfId="384" xr:uid="{00000000-0005-0000-0000-000083010000}"/>
    <cellStyle name="Currency 2 2 2 3 2 3 2 3" xfId="2121" xr:uid="{1387C16F-687A-4CF2-B906-43BA018806A4}"/>
    <cellStyle name="Currency 2 2 2 3 2 3 3" xfId="385" xr:uid="{00000000-0005-0000-0000-000084010000}"/>
    <cellStyle name="Currency 2 2 2 3 2 3 4" xfId="2120" xr:uid="{E2020E57-9B0F-48C3-94C2-095D2313F16F}"/>
    <cellStyle name="Currency 2 2 2 3 2 4" xfId="386" xr:uid="{00000000-0005-0000-0000-000085010000}"/>
    <cellStyle name="Currency 2 2 2 3 2 4 2" xfId="387" xr:uid="{00000000-0005-0000-0000-000086010000}"/>
    <cellStyle name="Currency 2 2 2 3 2 4 3" xfId="2122" xr:uid="{A73B764D-1147-454E-B487-6445A1320CA4}"/>
    <cellStyle name="Currency 2 2 2 3 2 5" xfId="388" xr:uid="{00000000-0005-0000-0000-000087010000}"/>
    <cellStyle name="Currency 2 2 2 3 2 6" xfId="2115" xr:uid="{67827766-5E10-44BF-ABFA-23A5CA92C542}"/>
    <cellStyle name="Currency 2 2 2 3 3" xfId="389" xr:uid="{00000000-0005-0000-0000-000088010000}"/>
    <cellStyle name="Currency 2 2 2 3 3 2" xfId="390" xr:uid="{00000000-0005-0000-0000-000089010000}"/>
    <cellStyle name="Currency 2 2 2 3 3 2 2" xfId="391" xr:uid="{00000000-0005-0000-0000-00008A010000}"/>
    <cellStyle name="Currency 2 2 2 3 3 2 2 2" xfId="392" xr:uid="{00000000-0005-0000-0000-00008B010000}"/>
    <cellStyle name="Currency 2 2 2 3 3 2 2 3" xfId="2125" xr:uid="{E769B9CD-CFE0-4D8A-A816-E98757DE4BEF}"/>
    <cellStyle name="Currency 2 2 2 3 3 2 3" xfId="393" xr:uid="{00000000-0005-0000-0000-00008C010000}"/>
    <cellStyle name="Currency 2 2 2 3 3 2 4" xfId="2124" xr:uid="{BD440A59-82A9-4631-8FD7-9F68D26169D8}"/>
    <cellStyle name="Currency 2 2 2 3 3 3" xfId="394" xr:uid="{00000000-0005-0000-0000-00008D010000}"/>
    <cellStyle name="Currency 2 2 2 3 3 3 2" xfId="395" xr:uid="{00000000-0005-0000-0000-00008E010000}"/>
    <cellStyle name="Currency 2 2 2 3 3 3 3" xfId="2126" xr:uid="{BC5DBA35-49A3-4A8E-A784-DC3714690ECC}"/>
    <cellStyle name="Currency 2 2 2 3 3 4" xfId="396" xr:uid="{00000000-0005-0000-0000-00008F010000}"/>
    <cellStyle name="Currency 2 2 2 3 3 5" xfId="2123" xr:uid="{73B85286-86EC-4F29-8A2C-C3BBF6AC92E3}"/>
    <cellStyle name="Currency 2 2 2 3 4" xfId="397" xr:uid="{00000000-0005-0000-0000-000090010000}"/>
    <cellStyle name="Currency 2 2 2 3 4 2" xfId="398" xr:uid="{00000000-0005-0000-0000-000091010000}"/>
    <cellStyle name="Currency 2 2 2 3 4 2 2" xfId="399" xr:uid="{00000000-0005-0000-0000-000092010000}"/>
    <cellStyle name="Currency 2 2 2 3 4 2 3" xfId="2128" xr:uid="{474812A4-AFC2-46FF-BC94-ABD88AF50AC3}"/>
    <cellStyle name="Currency 2 2 2 3 4 3" xfId="400" xr:uid="{00000000-0005-0000-0000-000093010000}"/>
    <cellStyle name="Currency 2 2 2 3 4 4" xfId="2127" xr:uid="{9CA58FE1-C78D-4C59-988A-B1545714FB88}"/>
    <cellStyle name="Currency 2 2 2 3 5" xfId="401" xr:uid="{00000000-0005-0000-0000-000094010000}"/>
    <cellStyle name="Currency 2 2 2 3 5 2" xfId="402" xr:uid="{00000000-0005-0000-0000-000095010000}"/>
    <cellStyle name="Currency 2 2 2 3 5 3" xfId="2129" xr:uid="{35632B86-B0D2-4BC8-88B3-CB3DD9EA5D2B}"/>
    <cellStyle name="Currency 2 2 2 3 6" xfId="403" xr:uid="{00000000-0005-0000-0000-000096010000}"/>
    <cellStyle name="Currency 2 2 2 3 7" xfId="2114" xr:uid="{2C0210A2-705C-4335-A853-AA54250662A2}"/>
    <cellStyle name="Currency 2 2 2 4" xfId="404" xr:uid="{00000000-0005-0000-0000-000097010000}"/>
    <cellStyle name="Currency 2 2 2 4 2" xfId="405" xr:uid="{00000000-0005-0000-0000-000098010000}"/>
    <cellStyle name="Currency 2 2 2 4 2 2" xfId="406" xr:uid="{00000000-0005-0000-0000-000099010000}"/>
    <cellStyle name="Currency 2 2 2 4 2 2 2" xfId="407" xr:uid="{00000000-0005-0000-0000-00009A010000}"/>
    <cellStyle name="Currency 2 2 2 4 2 2 2 2" xfId="408" xr:uid="{00000000-0005-0000-0000-00009B010000}"/>
    <cellStyle name="Currency 2 2 2 4 2 2 2 3" xfId="2133" xr:uid="{3BC90DAD-32C7-4229-9756-FE3C3D0A63C7}"/>
    <cellStyle name="Currency 2 2 2 4 2 2 3" xfId="409" xr:uid="{00000000-0005-0000-0000-00009C010000}"/>
    <cellStyle name="Currency 2 2 2 4 2 2 4" xfId="2132" xr:uid="{61DF412C-44B3-4619-B63A-4963599DEDCF}"/>
    <cellStyle name="Currency 2 2 2 4 2 3" xfId="410" xr:uid="{00000000-0005-0000-0000-00009D010000}"/>
    <cellStyle name="Currency 2 2 2 4 2 3 2" xfId="411" xr:uid="{00000000-0005-0000-0000-00009E010000}"/>
    <cellStyle name="Currency 2 2 2 4 2 3 3" xfId="2134" xr:uid="{31DF27C2-E870-4E2F-A1A9-BA14A68A2EFC}"/>
    <cellStyle name="Currency 2 2 2 4 2 4" xfId="412" xr:uid="{00000000-0005-0000-0000-00009F010000}"/>
    <cellStyle name="Currency 2 2 2 4 2 5" xfId="2131" xr:uid="{A5F2E0AB-DA1B-4FD8-A95A-2B059A2C207B}"/>
    <cellStyle name="Currency 2 2 2 4 3" xfId="413" xr:uid="{00000000-0005-0000-0000-0000A0010000}"/>
    <cellStyle name="Currency 2 2 2 4 3 2" xfId="414" xr:uid="{00000000-0005-0000-0000-0000A1010000}"/>
    <cellStyle name="Currency 2 2 2 4 3 2 2" xfId="415" xr:uid="{00000000-0005-0000-0000-0000A2010000}"/>
    <cellStyle name="Currency 2 2 2 4 3 2 3" xfId="2136" xr:uid="{276B40F9-1403-4A70-9F9C-7AA61745CABE}"/>
    <cellStyle name="Currency 2 2 2 4 3 3" xfId="416" xr:uid="{00000000-0005-0000-0000-0000A3010000}"/>
    <cellStyle name="Currency 2 2 2 4 3 4" xfId="2135" xr:uid="{15819DAC-A9F5-424A-B3F2-A23D7727EEE7}"/>
    <cellStyle name="Currency 2 2 2 4 4" xfId="417" xr:uid="{00000000-0005-0000-0000-0000A4010000}"/>
    <cellStyle name="Currency 2 2 2 4 4 2" xfId="418" xr:uid="{00000000-0005-0000-0000-0000A5010000}"/>
    <cellStyle name="Currency 2 2 2 4 4 3" xfId="2137" xr:uid="{7B0DB4A3-32CA-444D-8B19-EA3F2028006E}"/>
    <cellStyle name="Currency 2 2 2 4 5" xfId="419" xr:uid="{00000000-0005-0000-0000-0000A6010000}"/>
    <cellStyle name="Currency 2 2 2 4 6" xfId="2130" xr:uid="{1E3D1BA8-0D46-4160-831A-F67F4D7FD627}"/>
    <cellStyle name="Currency 2 2 2 5" xfId="420" xr:uid="{00000000-0005-0000-0000-0000A7010000}"/>
    <cellStyle name="Currency 2 2 2 5 2" xfId="421" xr:uid="{00000000-0005-0000-0000-0000A8010000}"/>
    <cellStyle name="Currency 2 2 2 5 2 2" xfId="422" xr:uid="{00000000-0005-0000-0000-0000A9010000}"/>
    <cellStyle name="Currency 2 2 2 5 2 2 2" xfId="423" xr:uid="{00000000-0005-0000-0000-0000AA010000}"/>
    <cellStyle name="Currency 2 2 2 5 2 2 3" xfId="2140" xr:uid="{788D5EAE-DC89-41B0-9C83-988EE6169A83}"/>
    <cellStyle name="Currency 2 2 2 5 2 3" xfId="424" xr:uid="{00000000-0005-0000-0000-0000AB010000}"/>
    <cellStyle name="Currency 2 2 2 5 2 4" xfId="2139" xr:uid="{1141B129-3DEE-4A5E-96A3-C61017814FA3}"/>
    <cellStyle name="Currency 2 2 2 5 3" xfId="425" xr:uid="{00000000-0005-0000-0000-0000AC010000}"/>
    <cellStyle name="Currency 2 2 2 5 3 2" xfId="426" xr:uid="{00000000-0005-0000-0000-0000AD010000}"/>
    <cellStyle name="Currency 2 2 2 5 3 3" xfId="2141" xr:uid="{99F6BA53-2C76-4AC4-B2B7-F862A63A661E}"/>
    <cellStyle name="Currency 2 2 2 5 4" xfId="427" xr:uid="{00000000-0005-0000-0000-0000AE010000}"/>
    <cellStyle name="Currency 2 2 2 5 5" xfId="2138" xr:uid="{BD4E48A2-2F90-4AE3-B406-60E0C33C0A43}"/>
    <cellStyle name="Currency 2 2 2 6" xfId="428" xr:uid="{00000000-0005-0000-0000-0000AF010000}"/>
    <cellStyle name="Currency 2 2 2 6 2" xfId="429" xr:uid="{00000000-0005-0000-0000-0000B0010000}"/>
    <cellStyle name="Currency 2 2 2 6 2 2" xfId="430" xr:uid="{00000000-0005-0000-0000-0000B1010000}"/>
    <cellStyle name="Currency 2 2 2 6 2 3" xfId="2143" xr:uid="{91BC1981-E3CA-449B-90B6-79EB7E21850D}"/>
    <cellStyle name="Currency 2 2 2 6 3" xfId="431" xr:uid="{00000000-0005-0000-0000-0000B2010000}"/>
    <cellStyle name="Currency 2 2 2 6 4" xfId="2142" xr:uid="{BC60036F-EDC7-43D5-9713-5A8E9574043E}"/>
    <cellStyle name="Currency 2 2 2 7" xfId="432" xr:uid="{00000000-0005-0000-0000-0000B3010000}"/>
    <cellStyle name="Currency 2 2 2 7 2" xfId="433" xr:uid="{00000000-0005-0000-0000-0000B4010000}"/>
    <cellStyle name="Currency 2 2 2 7 3" xfId="2144" xr:uid="{04EDAC99-9F2D-4A03-B856-5140BE1A5051}"/>
    <cellStyle name="Currency 2 2 2 8" xfId="434" xr:uid="{00000000-0005-0000-0000-0000B5010000}"/>
    <cellStyle name="Currency 2 2 2 8 2" xfId="435" xr:uid="{00000000-0005-0000-0000-0000B6010000}"/>
    <cellStyle name="Currency 2 2 2 8 3" xfId="2066" xr:uid="{CB7978E1-B0B6-4758-A7E4-666B28D49293}"/>
    <cellStyle name="Currency 2 2 2 9" xfId="436" xr:uid="{00000000-0005-0000-0000-0000B7010000}"/>
    <cellStyle name="Currency 2 2 2 9 2" xfId="437" xr:uid="{00000000-0005-0000-0000-0000B8010000}"/>
    <cellStyle name="Currency 2 2 3" xfId="438" xr:uid="{00000000-0005-0000-0000-0000B9010000}"/>
    <cellStyle name="Currency 2 2 3 10" xfId="439" xr:uid="{00000000-0005-0000-0000-0000BA010000}"/>
    <cellStyle name="Currency 2 2 3 11" xfId="2013" xr:uid="{4F5A2A75-80F7-4808-BC3C-20AAEA36CD85}"/>
    <cellStyle name="Currency 2 2 3 12" xfId="2007" xr:uid="{F66AF7DD-C99D-46ED-90A0-998F38741CBB}"/>
    <cellStyle name="Currency 2 2 3 13" xfId="3042" xr:uid="{6415592B-CF92-4897-9BBE-E0F052A75839}"/>
    <cellStyle name="Currency 2 2 3 2" xfId="440" xr:uid="{00000000-0005-0000-0000-0000BB010000}"/>
    <cellStyle name="Currency 2 2 3 2 2" xfId="441" xr:uid="{00000000-0005-0000-0000-0000BC010000}"/>
    <cellStyle name="Currency 2 2 3 2 2 2" xfId="442" xr:uid="{00000000-0005-0000-0000-0000BD010000}"/>
    <cellStyle name="Currency 2 2 3 2 2 2 2" xfId="443" xr:uid="{00000000-0005-0000-0000-0000BE010000}"/>
    <cellStyle name="Currency 2 2 3 2 2 2 2 2" xfId="444" xr:uid="{00000000-0005-0000-0000-0000BF010000}"/>
    <cellStyle name="Currency 2 2 3 2 2 2 2 2 2" xfId="445" xr:uid="{00000000-0005-0000-0000-0000C0010000}"/>
    <cellStyle name="Currency 2 2 3 2 2 2 2 2 2 2" xfId="446" xr:uid="{00000000-0005-0000-0000-0000C1010000}"/>
    <cellStyle name="Currency 2 2 3 2 2 2 2 2 2 3" xfId="2151" xr:uid="{FD576321-D4E1-4E85-9297-2FB394D534BD}"/>
    <cellStyle name="Currency 2 2 3 2 2 2 2 2 3" xfId="447" xr:uid="{00000000-0005-0000-0000-0000C2010000}"/>
    <cellStyle name="Currency 2 2 3 2 2 2 2 2 4" xfId="2150" xr:uid="{11DDA7CC-BDC2-47A5-A93E-1CED7C916F6F}"/>
    <cellStyle name="Currency 2 2 3 2 2 2 2 3" xfId="448" xr:uid="{00000000-0005-0000-0000-0000C3010000}"/>
    <cellStyle name="Currency 2 2 3 2 2 2 2 3 2" xfId="449" xr:uid="{00000000-0005-0000-0000-0000C4010000}"/>
    <cellStyle name="Currency 2 2 3 2 2 2 2 3 3" xfId="2152" xr:uid="{2F42F481-6AD0-47C3-817C-84AF85023AB7}"/>
    <cellStyle name="Currency 2 2 3 2 2 2 2 4" xfId="450" xr:uid="{00000000-0005-0000-0000-0000C5010000}"/>
    <cellStyle name="Currency 2 2 3 2 2 2 2 5" xfId="2149" xr:uid="{227411C7-5B6F-45E0-B2E1-F7A3FE7F1C58}"/>
    <cellStyle name="Currency 2 2 3 2 2 2 3" xfId="451" xr:uid="{00000000-0005-0000-0000-0000C6010000}"/>
    <cellStyle name="Currency 2 2 3 2 2 2 3 2" xfId="452" xr:uid="{00000000-0005-0000-0000-0000C7010000}"/>
    <cellStyle name="Currency 2 2 3 2 2 2 3 2 2" xfId="453" xr:uid="{00000000-0005-0000-0000-0000C8010000}"/>
    <cellStyle name="Currency 2 2 3 2 2 2 3 2 3" xfId="2154" xr:uid="{E2C33E2A-4466-4BE9-90C3-FB45AD8CB314}"/>
    <cellStyle name="Currency 2 2 3 2 2 2 3 3" xfId="454" xr:uid="{00000000-0005-0000-0000-0000C9010000}"/>
    <cellStyle name="Currency 2 2 3 2 2 2 3 4" xfId="2153" xr:uid="{B5502B19-6E9D-48A5-9B54-4750C5CD5FCD}"/>
    <cellStyle name="Currency 2 2 3 2 2 2 4" xfId="455" xr:uid="{00000000-0005-0000-0000-0000CA010000}"/>
    <cellStyle name="Currency 2 2 3 2 2 2 4 2" xfId="456" xr:uid="{00000000-0005-0000-0000-0000CB010000}"/>
    <cellStyle name="Currency 2 2 3 2 2 2 4 3" xfId="2155" xr:uid="{313029B8-571F-4178-AC45-85DFE22EC884}"/>
    <cellStyle name="Currency 2 2 3 2 2 2 5" xfId="457" xr:uid="{00000000-0005-0000-0000-0000CC010000}"/>
    <cellStyle name="Currency 2 2 3 2 2 2 6" xfId="2148" xr:uid="{AE98E57F-D530-4D84-B2DA-B37EE2F70BD6}"/>
    <cellStyle name="Currency 2 2 3 2 2 3" xfId="458" xr:uid="{00000000-0005-0000-0000-0000CD010000}"/>
    <cellStyle name="Currency 2 2 3 2 2 3 2" xfId="459" xr:uid="{00000000-0005-0000-0000-0000CE010000}"/>
    <cellStyle name="Currency 2 2 3 2 2 3 2 2" xfId="460" xr:uid="{00000000-0005-0000-0000-0000CF010000}"/>
    <cellStyle name="Currency 2 2 3 2 2 3 2 2 2" xfId="461" xr:uid="{00000000-0005-0000-0000-0000D0010000}"/>
    <cellStyle name="Currency 2 2 3 2 2 3 2 2 3" xfId="2158" xr:uid="{550E4947-7077-481B-826E-63458874FA90}"/>
    <cellStyle name="Currency 2 2 3 2 2 3 2 3" xfId="462" xr:uid="{00000000-0005-0000-0000-0000D1010000}"/>
    <cellStyle name="Currency 2 2 3 2 2 3 2 4" xfId="2157" xr:uid="{62537A5F-78B2-4EAA-B5C5-2154C366FE6C}"/>
    <cellStyle name="Currency 2 2 3 2 2 3 3" xfId="463" xr:uid="{00000000-0005-0000-0000-0000D2010000}"/>
    <cellStyle name="Currency 2 2 3 2 2 3 3 2" xfId="464" xr:uid="{00000000-0005-0000-0000-0000D3010000}"/>
    <cellStyle name="Currency 2 2 3 2 2 3 3 3" xfId="2159" xr:uid="{DF710948-5579-4CDC-9C5F-9DCB2C61B4CE}"/>
    <cellStyle name="Currency 2 2 3 2 2 3 4" xfId="465" xr:uid="{00000000-0005-0000-0000-0000D4010000}"/>
    <cellStyle name="Currency 2 2 3 2 2 3 5" xfId="2156" xr:uid="{5A82441C-4451-4E38-9AF2-75FD3991DEF3}"/>
    <cellStyle name="Currency 2 2 3 2 2 4" xfId="466" xr:uid="{00000000-0005-0000-0000-0000D5010000}"/>
    <cellStyle name="Currency 2 2 3 2 2 4 2" xfId="467" xr:uid="{00000000-0005-0000-0000-0000D6010000}"/>
    <cellStyle name="Currency 2 2 3 2 2 4 2 2" xfId="468" xr:uid="{00000000-0005-0000-0000-0000D7010000}"/>
    <cellStyle name="Currency 2 2 3 2 2 4 2 3" xfId="2161" xr:uid="{321C6169-0A8B-48EF-9324-19898DFF7BB4}"/>
    <cellStyle name="Currency 2 2 3 2 2 4 3" xfId="469" xr:uid="{00000000-0005-0000-0000-0000D8010000}"/>
    <cellStyle name="Currency 2 2 3 2 2 4 4" xfId="2160" xr:uid="{3D41B466-EFE1-4C20-9070-38B778CAA490}"/>
    <cellStyle name="Currency 2 2 3 2 2 5" xfId="470" xr:uid="{00000000-0005-0000-0000-0000D9010000}"/>
    <cellStyle name="Currency 2 2 3 2 2 5 2" xfId="471" xr:uid="{00000000-0005-0000-0000-0000DA010000}"/>
    <cellStyle name="Currency 2 2 3 2 2 5 3" xfId="2162" xr:uid="{499ABA68-5FA3-44EA-8D8D-569AAB49617B}"/>
    <cellStyle name="Currency 2 2 3 2 2 6" xfId="472" xr:uid="{00000000-0005-0000-0000-0000DB010000}"/>
    <cellStyle name="Currency 2 2 3 2 2 7" xfId="2147" xr:uid="{6C3540E6-20C7-4CD3-B371-417A5855CFF5}"/>
    <cellStyle name="Currency 2 2 3 2 3" xfId="473" xr:uid="{00000000-0005-0000-0000-0000DC010000}"/>
    <cellStyle name="Currency 2 2 3 2 3 2" xfId="474" xr:uid="{00000000-0005-0000-0000-0000DD010000}"/>
    <cellStyle name="Currency 2 2 3 2 3 2 2" xfId="475" xr:uid="{00000000-0005-0000-0000-0000DE010000}"/>
    <cellStyle name="Currency 2 2 3 2 3 2 2 2" xfId="476" xr:uid="{00000000-0005-0000-0000-0000DF010000}"/>
    <cellStyle name="Currency 2 2 3 2 3 2 2 2 2" xfId="477" xr:uid="{00000000-0005-0000-0000-0000E0010000}"/>
    <cellStyle name="Currency 2 2 3 2 3 2 2 2 3" xfId="2166" xr:uid="{A669A7F2-27D7-4C9F-9A9C-9BF67E9674A3}"/>
    <cellStyle name="Currency 2 2 3 2 3 2 2 3" xfId="478" xr:uid="{00000000-0005-0000-0000-0000E1010000}"/>
    <cellStyle name="Currency 2 2 3 2 3 2 2 4" xfId="2165" xr:uid="{547C2312-FB24-4EAD-B2A3-BBB910AA6DBD}"/>
    <cellStyle name="Currency 2 2 3 2 3 2 3" xfId="479" xr:uid="{00000000-0005-0000-0000-0000E2010000}"/>
    <cellStyle name="Currency 2 2 3 2 3 2 3 2" xfId="480" xr:uid="{00000000-0005-0000-0000-0000E3010000}"/>
    <cellStyle name="Currency 2 2 3 2 3 2 3 3" xfId="2167" xr:uid="{275F2054-7C0F-45A0-93F8-99BF860F42DF}"/>
    <cellStyle name="Currency 2 2 3 2 3 2 4" xfId="481" xr:uid="{00000000-0005-0000-0000-0000E4010000}"/>
    <cellStyle name="Currency 2 2 3 2 3 2 5" xfId="2164" xr:uid="{A48D73BD-EC1A-4FCB-8D13-F85FA1C76AC8}"/>
    <cellStyle name="Currency 2 2 3 2 3 3" xfId="482" xr:uid="{00000000-0005-0000-0000-0000E5010000}"/>
    <cellStyle name="Currency 2 2 3 2 3 3 2" xfId="483" xr:uid="{00000000-0005-0000-0000-0000E6010000}"/>
    <cellStyle name="Currency 2 2 3 2 3 3 2 2" xfId="484" xr:uid="{00000000-0005-0000-0000-0000E7010000}"/>
    <cellStyle name="Currency 2 2 3 2 3 3 2 3" xfId="2169" xr:uid="{745DD3E4-E4E9-4B34-A571-5489475578A4}"/>
    <cellStyle name="Currency 2 2 3 2 3 3 3" xfId="485" xr:uid="{00000000-0005-0000-0000-0000E8010000}"/>
    <cellStyle name="Currency 2 2 3 2 3 3 4" xfId="2168" xr:uid="{53879CFE-9CF5-4C95-901D-1181B23B0BF5}"/>
    <cellStyle name="Currency 2 2 3 2 3 4" xfId="486" xr:uid="{00000000-0005-0000-0000-0000E9010000}"/>
    <cellStyle name="Currency 2 2 3 2 3 4 2" xfId="487" xr:uid="{00000000-0005-0000-0000-0000EA010000}"/>
    <cellStyle name="Currency 2 2 3 2 3 4 3" xfId="2170" xr:uid="{FDE5934D-D4AA-42A6-B3F9-75129C03948E}"/>
    <cellStyle name="Currency 2 2 3 2 3 5" xfId="488" xr:uid="{00000000-0005-0000-0000-0000EB010000}"/>
    <cellStyle name="Currency 2 2 3 2 3 6" xfId="2163" xr:uid="{5F8FD0C5-C338-4573-A620-F7CD1668AD6A}"/>
    <cellStyle name="Currency 2 2 3 2 4" xfId="489" xr:uid="{00000000-0005-0000-0000-0000EC010000}"/>
    <cellStyle name="Currency 2 2 3 2 4 2" xfId="490" xr:uid="{00000000-0005-0000-0000-0000ED010000}"/>
    <cellStyle name="Currency 2 2 3 2 4 2 2" xfId="491" xr:uid="{00000000-0005-0000-0000-0000EE010000}"/>
    <cellStyle name="Currency 2 2 3 2 4 2 2 2" xfId="492" xr:uid="{00000000-0005-0000-0000-0000EF010000}"/>
    <cellStyle name="Currency 2 2 3 2 4 2 2 3" xfId="2173" xr:uid="{D33A683F-CBCD-4186-A31E-5F243DDD33BA}"/>
    <cellStyle name="Currency 2 2 3 2 4 2 3" xfId="493" xr:uid="{00000000-0005-0000-0000-0000F0010000}"/>
    <cellStyle name="Currency 2 2 3 2 4 2 4" xfId="2172" xr:uid="{E58ED319-916E-474E-8143-FCA724743570}"/>
    <cellStyle name="Currency 2 2 3 2 4 3" xfId="494" xr:uid="{00000000-0005-0000-0000-0000F1010000}"/>
    <cellStyle name="Currency 2 2 3 2 4 3 2" xfId="495" xr:uid="{00000000-0005-0000-0000-0000F2010000}"/>
    <cellStyle name="Currency 2 2 3 2 4 3 3" xfId="2174" xr:uid="{B56B0464-FE59-4D81-9536-5686A5321E4E}"/>
    <cellStyle name="Currency 2 2 3 2 4 4" xfId="496" xr:uid="{00000000-0005-0000-0000-0000F3010000}"/>
    <cellStyle name="Currency 2 2 3 2 4 5" xfId="2171" xr:uid="{33666C45-D59B-4C95-8784-15EFFF972566}"/>
    <cellStyle name="Currency 2 2 3 2 5" xfId="497" xr:uid="{00000000-0005-0000-0000-0000F4010000}"/>
    <cellStyle name="Currency 2 2 3 2 5 2" xfId="498" xr:uid="{00000000-0005-0000-0000-0000F5010000}"/>
    <cellStyle name="Currency 2 2 3 2 5 2 2" xfId="499" xr:uid="{00000000-0005-0000-0000-0000F6010000}"/>
    <cellStyle name="Currency 2 2 3 2 5 2 3" xfId="2176" xr:uid="{CC9A850E-E4A7-4CCA-A1A3-8CDE6C8374E2}"/>
    <cellStyle name="Currency 2 2 3 2 5 3" xfId="500" xr:uid="{00000000-0005-0000-0000-0000F7010000}"/>
    <cellStyle name="Currency 2 2 3 2 5 4" xfId="2175" xr:uid="{B1B4E5BB-F22D-4A89-91D7-631B18F2809E}"/>
    <cellStyle name="Currency 2 2 3 2 6" xfId="501" xr:uid="{00000000-0005-0000-0000-0000F8010000}"/>
    <cellStyle name="Currency 2 2 3 2 6 2" xfId="502" xr:uid="{00000000-0005-0000-0000-0000F9010000}"/>
    <cellStyle name="Currency 2 2 3 2 6 3" xfId="2177" xr:uid="{A2CA6B59-67EC-453F-A09F-FD9E0B2F001B}"/>
    <cellStyle name="Currency 2 2 3 2 7" xfId="503" xr:uid="{00000000-0005-0000-0000-0000FA010000}"/>
    <cellStyle name="Currency 2 2 3 2 8" xfId="2146" xr:uid="{7A71DE0D-39E0-48A2-9182-BA602645709D}"/>
    <cellStyle name="Currency 2 2 3 3" xfId="504" xr:uid="{00000000-0005-0000-0000-0000FB010000}"/>
    <cellStyle name="Currency 2 2 3 3 2" xfId="505" xr:uid="{00000000-0005-0000-0000-0000FC010000}"/>
    <cellStyle name="Currency 2 2 3 3 2 2" xfId="506" xr:uid="{00000000-0005-0000-0000-0000FD010000}"/>
    <cellStyle name="Currency 2 2 3 3 2 2 2" xfId="507" xr:uid="{00000000-0005-0000-0000-0000FE010000}"/>
    <cellStyle name="Currency 2 2 3 3 2 2 2 2" xfId="508" xr:uid="{00000000-0005-0000-0000-0000FF010000}"/>
    <cellStyle name="Currency 2 2 3 3 2 2 2 2 2" xfId="509" xr:uid="{00000000-0005-0000-0000-000000020000}"/>
    <cellStyle name="Currency 2 2 3 3 2 2 2 2 3" xfId="2182" xr:uid="{D079A925-624F-47F0-B0AC-C34A9AF745FF}"/>
    <cellStyle name="Currency 2 2 3 3 2 2 2 3" xfId="510" xr:uid="{00000000-0005-0000-0000-000001020000}"/>
    <cellStyle name="Currency 2 2 3 3 2 2 2 4" xfId="2181" xr:uid="{D7AAAF96-7235-40F4-92DF-FC7834E94C04}"/>
    <cellStyle name="Currency 2 2 3 3 2 2 3" xfId="511" xr:uid="{00000000-0005-0000-0000-000002020000}"/>
    <cellStyle name="Currency 2 2 3 3 2 2 3 2" xfId="512" xr:uid="{00000000-0005-0000-0000-000003020000}"/>
    <cellStyle name="Currency 2 2 3 3 2 2 3 3" xfId="2183" xr:uid="{D97B514D-2EED-4160-B36B-016FB61AD48F}"/>
    <cellStyle name="Currency 2 2 3 3 2 2 4" xfId="513" xr:uid="{00000000-0005-0000-0000-000004020000}"/>
    <cellStyle name="Currency 2 2 3 3 2 2 5" xfId="2180" xr:uid="{9B066E09-A0F2-4A9D-9882-72E920563F12}"/>
    <cellStyle name="Currency 2 2 3 3 2 3" xfId="514" xr:uid="{00000000-0005-0000-0000-000005020000}"/>
    <cellStyle name="Currency 2 2 3 3 2 3 2" xfId="515" xr:uid="{00000000-0005-0000-0000-000006020000}"/>
    <cellStyle name="Currency 2 2 3 3 2 3 2 2" xfId="516" xr:uid="{00000000-0005-0000-0000-000007020000}"/>
    <cellStyle name="Currency 2 2 3 3 2 3 2 3" xfId="2185" xr:uid="{AC528E33-85B9-476B-8C31-7739866112B9}"/>
    <cellStyle name="Currency 2 2 3 3 2 3 3" xfId="517" xr:uid="{00000000-0005-0000-0000-000008020000}"/>
    <cellStyle name="Currency 2 2 3 3 2 3 4" xfId="2184" xr:uid="{672AB626-200E-4C94-8816-F15D13201AD6}"/>
    <cellStyle name="Currency 2 2 3 3 2 4" xfId="518" xr:uid="{00000000-0005-0000-0000-000009020000}"/>
    <cellStyle name="Currency 2 2 3 3 2 4 2" xfId="519" xr:uid="{00000000-0005-0000-0000-00000A020000}"/>
    <cellStyle name="Currency 2 2 3 3 2 4 3" xfId="2186" xr:uid="{819F713B-5BCB-4ACA-B7A5-E33B728FB13A}"/>
    <cellStyle name="Currency 2 2 3 3 2 5" xfId="520" xr:uid="{00000000-0005-0000-0000-00000B020000}"/>
    <cellStyle name="Currency 2 2 3 3 2 6" xfId="2179" xr:uid="{2949A3FC-B15E-43A8-8F91-63F1C8B207EA}"/>
    <cellStyle name="Currency 2 2 3 3 3" xfId="521" xr:uid="{00000000-0005-0000-0000-00000C020000}"/>
    <cellStyle name="Currency 2 2 3 3 3 2" xfId="522" xr:uid="{00000000-0005-0000-0000-00000D020000}"/>
    <cellStyle name="Currency 2 2 3 3 3 2 2" xfId="523" xr:uid="{00000000-0005-0000-0000-00000E020000}"/>
    <cellStyle name="Currency 2 2 3 3 3 2 2 2" xfId="524" xr:uid="{00000000-0005-0000-0000-00000F020000}"/>
    <cellStyle name="Currency 2 2 3 3 3 2 2 3" xfId="2189" xr:uid="{A58FB644-A13A-49A4-B63F-5DAE16AC20DE}"/>
    <cellStyle name="Currency 2 2 3 3 3 2 3" xfId="525" xr:uid="{00000000-0005-0000-0000-000010020000}"/>
    <cellStyle name="Currency 2 2 3 3 3 2 4" xfId="2188" xr:uid="{1910C361-A053-467B-A771-F808EC9C5AC2}"/>
    <cellStyle name="Currency 2 2 3 3 3 3" xfId="526" xr:uid="{00000000-0005-0000-0000-000011020000}"/>
    <cellStyle name="Currency 2 2 3 3 3 3 2" xfId="527" xr:uid="{00000000-0005-0000-0000-000012020000}"/>
    <cellStyle name="Currency 2 2 3 3 3 3 3" xfId="2190" xr:uid="{B692DD9E-6278-45FE-AFF8-2DD173794D72}"/>
    <cellStyle name="Currency 2 2 3 3 3 4" xfId="528" xr:uid="{00000000-0005-0000-0000-000013020000}"/>
    <cellStyle name="Currency 2 2 3 3 3 5" xfId="2187" xr:uid="{68E63B6D-BC03-41E4-88AD-194DEACF287C}"/>
    <cellStyle name="Currency 2 2 3 3 4" xfId="529" xr:uid="{00000000-0005-0000-0000-000014020000}"/>
    <cellStyle name="Currency 2 2 3 3 4 2" xfId="530" xr:uid="{00000000-0005-0000-0000-000015020000}"/>
    <cellStyle name="Currency 2 2 3 3 4 2 2" xfId="531" xr:uid="{00000000-0005-0000-0000-000016020000}"/>
    <cellStyle name="Currency 2 2 3 3 4 2 3" xfId="2192" xr:uid="{930FFB5D-56DE-4264-A8D8-8301CA7C2D7F}"/>
    <cellStyle name="Currency 2 2 3 3 4 3" xfId="532" xr:uid="{00000000-0005-0000-0000-000017020000}"/>
    <cellStyle name="Currency 2 2 3 3 4 4" xfId="2191" xr:uid="{B5F7FBBE-457C-429D-839D-E9384DA98D61}"/>
    <cellStyle name="Currency 2 2 3 3 5" xfId="533" xr:uid="{00000000-0005-0000-0000-000018020000}"/>
    <cellStyle name="Currency 2 2 3 3 5 2" xfId="534" xr:uid="{00000000-0005-0000-0000-000019020000}"/>
    <cellStyle name="Currency 2 2 3 3 5 3" xfId="2193" xr:uid="{60C5636C-3D48-4A71-BF64-7ADF59BB89DB}"/>
    <cellStyle name="Currency 2 2 3 3 6" xfId="535" xr:uid="{00000000-0005-0000-0000-00001A020000}"/>
    <cellStyle name="Currency 2 2 3 3 7" xfId="2178" xr:uid="{52D02F5F-B0CC-456A-AB1D-5F1BA5FEF331}"/>
    <cellStyle name="Currency 2 2 3 4" xfId="536" xr:uid="{00000000-0005-0000-0000-00001B020000}"/>
    <cellStyle name="Currency 2 2 3 4 2" xfId="537" xr:uid="{00000000-0005-0000-0000-00001C020000}"/>
    <cellStyle name="Currency 2 2 3 4 2 2" xfId="538" xr:uid="{00000000-0005-0000-0000-00001D020000}"/>
    <cellStyle name="Currency 2 2 3 4 2 2 2" xfId="539" xr:uid="{00000000-0005-0000-0000-00001E020000}"/>
    <cellStyle name="Currency 2 2 3 4 2 2 2 2" xfId="540" xr:uid="{00000000-0005-0000-0000-00001F020000}"/>
    <cellStyle name="Currency 2 2 3 4 2 2 2 3" xfId="2197" xr:uid="{6798B99B-CE9D-49D7-97A4-A6A7AC3C02F7}"/>
    <cellStyle name="Currency 2 2 3 4 2 2 3" xfId="541" xr:uid="{00000000-0005-0000-0000-000020020000}"/>
    <cellStyle name="Currency 2 2 3 4 2 2 4" xfId="2196" xr:uid="{D69C9855-FDB3-48DA-9821-F3E6859E743C}"/>
    <cellStyle name="Currency 2 2 3 4 2 3" xfId="542" xr:uid="{00000000-0005-0000-0000-000021020000}"/>
    <cellStyle name="Currency 2 2 3 4 2 3 2" xfId="543" xr:uid="{00000000-0005-0000-0000-000022020000}"/>
    <cellStyle name="Currency 2 2 3 4 2 3 3" xfId="2198" xr:uid="{47232D8D-C2F1-4109-93BE-761CBF7593F5}"/>
    <cellStyle name="Currency 2 2 3 4 2 4" xfId="544" xr:uid="{00000000-0005-0000-0000-000023020000}"/>
    <cellStyle name="Currency 2 2 3 4 2 5" xfId="2195" xr:uid="{A1B3C1B8-4932-46ED-9EAD-8A7A946DFACA}"/>
    <cellStyle name="Currency 2 2 3 4 3" xfId="545" xr:uid="{00000000-0005-0000-0000-000024020000}"/>
    <cellStyle name="Currency 2 2 3 4 3 2" xfId="546" xr:uid="{00000000-0005-0000-0000-000025020000}"/>
    <cellStyle name="Currency 2 2 3 4 3 2 2" xfId="547" xr:uid="{00000000-0005-0000-0000-000026020000}"/>
    <cellStyle name="Currency 2 2 3 4 3 2 3" xfId="2200" xr:uid="{20D1A7C9-191D-43AF-A2C1-0929008ADF07}"/>
    <cellStyle name="Currency 2 2 3 4 3 3" xfId="548" xr:uid="{00000000-0005-0000-0000-000027020000}"/>
    <cellStyle name="Currency 2 2 3 4 3 4" xfId="2199" xr:uid="{07455179-E1F5-4AD5-B52B-3AE5CA1AEDCB}"/>
    <cellStyle name="Currency 2 2 3 4 4" xfId="549" xr:uid="{00000000-0005-0000-0000-000028020000}"/>
    <cellStyle name="Currency 2 2 3 4 4 2" xfId="550" xr:uid="{00000000-0005-0000-0000-000029020000}"/>
    <cellStyle name="Currency 2 2 3 4 4 3" xfId="2201" xr:uid="{13085C48-A8F0-4946-BB2A-D3B1C1632710}"/>
    <cellStyle name="Currency 2 2 3 4 5" xfId="551" xr:uid="{00000000-0005-0000-0000-00002A020000}"/>
    <cellStyle name="Currency 2 2 3 4 6" xfId="2194" xr:uid="{CB6E4EC9-0A23-4950-BACC-C1C783527DAB}"/>
    <cellStyle name="Currency 2 2 3 5" xfId="552" xr:uid="{00000000-0005-0000-0000-00002B020000}"/>
    <cellStyle name="Currency 2 2 3 5 2" xfId="553" xr:uid="{00000000-0005-0000-0000-00002C020000}"/>
    <cellStyle name="Currency 2 2 3 5 2 2" xfId="554" xr:uid="{00000000-0005-0000-0000-00002D020000}"/>
    <cellStyle name="Currency 2 2 3 5 2 2 2" xfId="555" xr:uid="{00000000-0005-0000-0000-00002E020000}"/>
    <cellStyle name="Currency 2 2 3 5 2 2 3" xfId="2204" xr:uid="{20017CCD-80FA-4F24-898B-7237236DBDB4}"/>
    <cellStyle name="Currency 2 2 3 5 2 3" xfId="556" xr:uid="{00000000-0005-0000-0000-00002F020000}"/>
    <cellStyle name="Currency 2 2 3 5 2 4" xfId="2203" xr:uid="{A42063A3-4168-4630-8BD3-249B87DC61C0}"/>
    <cellStyle name="Currency 2 2 3 5 3" xfId="557" xr:uid="{00000000-0005-0000-0000-000030020000}"/>
    <cellStyle name="Currency 2 2 3 5 3 2" xfId="558" xr:uid="{00000000-0005-0000-0000-000031020000}"/>
    <cellStyle name="Currency 2 2 3 5 3 3" xfId="2205" xr:uid="{A670A47B-A046-401B-ABA3-6078183DAF01}"/>
    <cellStyle name="Currency 2 2 3 5 4" xfId="559" xr:uid="{00000000-0005-0000-0000-000032020000}"/>
    <cellStyle name="Currency 2 2 3 5 5" xfId="2202" xr:uid="{B9796CEE-DC48-4971-9E08-1ABFB654FE23}"/>
    <cellStyle name="Currency 2 2 3 6" xfId="560" xr:uid="{00000000-0005-0000-0000-000033020000}"/>
    <cellStyle name="Currency 2 2 3 6 2" xfId="561" xr:uid="{00000000-0005-0000-0000-000034020000}"/>
    <cellStyle name="Currency 2 2 3 6 2 2" xfId="562" xr:uid="{00000000-0005-0000-0000-000035020000}"/>
    <cellStyle name="Currency 2 2 3 6 2 3" xfId="2207" xr:uid="{AEEECE3C-FA31-4F91-889B-6450C505644F}"/>
    <cellStyle name="Currency 2 2 3 6 3" xfId="563" xr:uid="{00000000-0005-0000-0000-000036020000}"/>
    <cellStyle name="Currency 2 2 3 6 4" xfId="2206" xr:uid="{F533D305-B1DF-40EB-BC1E-B6126967DA93}"/>
    <cellStyle name="Currency 2 2 3 7" xfId="564" xr:uid="{00000000-0005-0000-0000-000037020000}"/>
    <cellStyle name="Currency 2 2 3 7 2" xfId="565" xr:uid="{00000000-0005-0000-0000-000038020000}"/>
    <cellStyle name="Currency 2 2 3 7 3" xfId="2208" xr:uid="{2107F1B7-1288-4AC6-B6F0-9B24475DF81B}"/>
    <cellStyle name="Currency 2 2 3 8" xfId="566" xr:uid="{00000000-0005-0000-0000-000039020000}"/>
    <cellStyle name="Currency 2 2 3 8 2" xfId="567" xr:uid="{00000000-0005-0000-0000-00003A020000}"/>
    <cellStyle name="Currency 2 2 3 8 3" xfId="2145" xr:uid="{846963F7-8A25-4ACD-B3D0-95F78129C2EC}"/>
    <cellStyle name="Currency 2 2 3 9" xfId="568" xr:uid="{00000000-0005-0000-0000-00003B020000}"/>
    <cellStyle name="Currency 2 2 3 9 2" xfId="569" xr:uid="{00000000-0005-0000-0000-00003C020000}"/>
    <cellStyle name="Currency 2 2 4" xfId="570" xr:uid="{00000000-0005-0000-0000-00003D020000}"/>
    <cellStyle name="Currency 2 2 4 2" xfId="571" xr:uid="{00000000-0005-0000-0000-00003E020000}"/>
    <cellStyle name="Currency 2 2 4 2 2" xfId="572" xr:uid="{00000000-0005-0000-0000-00003F020000}"/>
    <cellStyle name="Currency 2 2 4 2 2 2" xfId="573" xr:uid="{00000000-0005-0000-0000-000040020000}"/>
    <cellStyle name="Currency 2 2 4 2 2 2 2" xfId="574" xr:uid="{00000000-0005-0000-0000-000041020000}"/>
    <cellStyle name="Currency 2 2 4 2 2 2 2 2" xfId="575" xr:uid="{00000000-0005-0000-0000-000042020000}"/>
    <cellStyle name="Currency 2 2 4 2 2 2 2 2 2" xfId="576" xr:uid="{00000000-0005-0000-0000-000043020000}"/>
    <cellStyle name="Currency 2 2 4 2 2 2 2 2 3" xfId="2214" xr:uid="{B549CA82-98C5-4102-AEFD-A3272DD93C2A}"/>
    <cellStyle name="Currency 2 2 4 2 2 2 2 3" xfId="577" xr:uid="{00000000-0005-0000-0000-000044020000}"/>
    <cellStyle name="Currency 2 2 4 2 2 2 2 4" xfId="2213" xr:uid="{5869120D-01C3-4BDF-B1B8-D4A11D15108F}"/>
    <cellStyle name="Currency 2 2 4 2 2 2 3" xfId="578" xr:uid="{00000000-0005-0000-0000-000045020000}"/>
    <cellStyle name="Currency 2 2 4 2 2 2 3 2" xfId="579" xr:uid="{00000000-0005-0000-0000-000046020000}"/>
    <cellStyle name="Currency 2 2 4 2 2 2 3 3" xfId="2215" xr:uid="{8AF76DC6-123C-426F-9045-FC68354CB40A}"/>
    <cellStyle name="Currency 2 2 4 2 2 2 4" xfId="580" xr:uid="{00000000-0005-0000-0000-000047020000}"/>
    <cellStyle name="Currency 2 2 4 2 2 2 5" xfId="2212" xr:uid="{884BA6FA-965E-44A8-A053-E6257CA71C5C}"/>
    <cellStyle name="Currency 2 2 4 2 2 3" xfId="581" xr:uid="{00000000-0005-0000-0000-000048020000}"/>
    <cellStyle name="Currency 2 2 4 2 2 3 2" xfId="582" xr:uid="{00000000-0005-0000-0000-000049020000}"/>
    <cellStyle name="Currency 2 2 4 2 2 3 2 2" xfId="583" xr:uid="{00000000-0005-0000-0000-00004A020000}"/>
    <cellStyle name="Currency 2 2 4 2 2 3 2 3" xfId="2217" xr:uid="{4BDD44CE-F231-4F74-8604-E08A06C7389D}"/>
    <cellStyle name="Currency 2 2 4 2 2 3 3" xfId="584" xr:uid="{00000000-0005-0000-0000-00004B020000}"/>
    <cellStyle name="Currency 2 2 4 2 2 3 4" xfId="2216" xr:uid="{325BACF2-4E48-41CE-A689-CC6AEA706987}"/>
    <cellStyle name="Currency 2 2 4 2 2 4" xfId="585" xr:uid="{00000000-0005-0000-0000-00004C020000}"/>
    <cellStyle name="Currency 2 2 4 2 2 4 2" xfId="586" xr:uid="{00000000-0005-0000-0000-00004D020000}"/>
    <cellStyle name="Currency 2 2 4 2 2 4 3" xfId="2218" xr:uid="{D010DC59-8DD6-4C44-A67A-9A9F5CA1F88C}"/>
    <cellStyle name="Currency 2 2 4 2 2 5" xfId="587" xr:uid="{00000000-0005-0000-0000-00004E020000}"/>
    <cellStyle name="Currency 2 2 4 2 2 6" xfId="2211" xr:uid="{A90E82EF-BAAF-416F-83AB-4B211730AFE9}"/>
    <cellStyle name="Currency 2 2 4 2 3" xfId="588" xr:uid="{00000000-0005-0000-0000-00004F020000}"/>
    <cellStyle name="Currency 2 2 4 2 3 2" xfId="589" xr:uid="{00000000-0005-0000-0000-000050020000}"/>
    <cellStyle name="Currency 2 2 4 2 3 2 2" xfId="590" xr:uid="{00000000-0005-0000-0000-000051020000}"/>
    <cellStyle name="Currency 2 2 4 2 3 2 2 2" xfId="591" xr:uid="{00000000-0005-0000-0000-000052020000}"/>
    <cellStyle name="Currency 2 2 4 2 3 2 2 3" xfId="2221" xr:uid="{720BDDF2-51A4-42B5-BAC0-B20F24FF1C87}"/>
    <cellStyle name="Currency 2 2 4 2 3 2 3" xfId="592" xr:uid="{00000000-0005-0000-0000-000053020000}"/>
    <cellStyle name="Currency 2 2 4 2 3 2 4" xfId="2220" xr:uid="{3041D35E-FA7D-4466-AF16-77252DA27D51}"/>
    <cellStyle name="Currency 2 2 4 2 3 3" xfId="593" xr:uid="{00000000-0005-0000-0000-000054020000}"/>
    <cellStyle name="Currency 2 2 4 2 3 3 2" xfId="594" xr:uid="{00000000-0005-0000-0000-000055020000}"/>
    <cellStyle name="Currency 2 2 4 2 3 3 3" xfId="2222" xr:uid="{EB2CFB05-273A-4133-915B-BF5DD167081C}"/>
    <cellStyle name="Currency 2 2 4 2 3 4" xfId="595" xr:uid="{00000000-0005-0000-0000-000056020000}"/>
    <cellStyle name="Currency 2 2 4 2 3 5" xfId="2219" xr:uid="{0C7CBE68-55F6-4724-BC7C-59499A8A1BC1}"/>
    <cellStyle name="Currency 2 2 4 2 4" xfId="596" xr:uid="{00000000-0005-0000-0000-000057020000}"/>
    <cellStyle name="Currency 2 2 4 2 4 2" xfId="597" xr:uid="{00000000-0005-0000-0000-000058020000}"/>
    <cellStyle name="Currency 2 2 4 2 4 2 2" xfId="598" xr:uid="{00000000-0005-0000-0000-000059020000}"/>
    <cellStyle name="Currency 2 2 4 2 4 2 3" xfId="2224" xr:uid="{79619A30-F389-428A-A628-EF733F0F9840}"/>
    <cellStyle name="Currency 2 2 4 2 4 3" xfId="599" xr:uid="{00000000-0005-0000-0000-00005A020000}"/>
    <cellStyle name="Currency 2 2 4 2 4 4" xfId="2223" xr:uid="{D2AD8788-3AC5-4DF0-AE7A-E41F8E8D8E74}"/>
    <cellStyle name="Currency 2 2 4 2 5" xfId="600" xr:uid="{00000000-0005-0000-0000-00005B020000}"/>
    <cellStyle name="Currency 2 2 4 2 5 2" xfId="601" xr:uid="{00000000-0005-0000-0000-00005C020000}"/>
    <cellStyle name="Currency 2 2 4 2 5 3" xfId="2225" xr:uid="{ABF27274-9DDF-4240-B9B1-3AA915FE44D0}"/>
    <cellStyle name="Currency 2 2 4 2 6" xfId="602" xr:uid="{00000000-0005-0000-0000-00005D020000}"/>
    <cellStyle name="Currency 2 2 4 2 7" xfId="2210" xr:uid="{9160D0A5-2D09-4F69-B201-C062161951BD}"/>
    <cellStyle name="Currency 2 2 4 3" xfId="603" xr:uid="{00000000-0005-0000-0000-00005E020000}"/>
    <cellStyle name="Currency 2 2 4 3 2" xfId="604" xr:uid="{00000000-0005-0000-0000-00005F020000}"/>
    <cellStyle name="Currency 2 2 4 3 2 2" xfId="605" xr:uid="{00000000-0005-0000-0000-000060020000}"/>
    <cellStyle name="Currency 2 2 4 3 2 2 2" xfId="606" xr:uid="{00000000-0005-0000-0000-000061020000}"/>
    <cellStyle name="Currency 2 2 4 3 2 2 2 2" xfId="607" xr:uid="{00000000-0005-0000-0000-000062020000}"/>
    <cellStyle name="Currency 2 2 4 3 2 2 2 3" xfId="2229" xr:uid="{061D2892-E140-4A1B-B5BC-29A52E448873}"/>
    <cellStyle name="Currency 2 2 4 3 2 2 3" xfId="608" xr:uid="{00000000-0005-0000-0000-000063020000}"/>
    <cellStyle name="Currency 2 2 4 3 2 2 4" xfId="2228" xr:uid="{B6EE267B-D5C4-4961-84CD-D1074D3BB421}"/>
    <cellStyle name="Currency 2 2 4 3 2 3" xfId="609" xr:uid="{00000000-0005-0000-0000-000064020000}"/>
    <cellStyle name="Currency 2 2 4 3 2 3 2" xfId="610" xr:uid="{00000000-0005-0000-0000-000065020000}"/>
    <cellStyle name="Currency 2 2 4 3 2 3 3" xfId="2230" xr:uid="{0B8447EF-FEB7-4465-ACA8-474B83EE7EB7}"/>
    <cellStyle name="Currency 2 2 4 3 2 4" xfId="611" xr:uid="{00000000-0005-0000-0000-000066020000}"/>
    <cellStyle name="Currency 2 2 4 3 2 5" xfId="2227" xr:uid="{5F874D2E-F7E5-421A-8B68-9854CD024C55}"/>
    <cellStyle name="Currency 2 2 4 3 3" xfId="612" xr:uid="{00000000-0005-0000-0000-000067020000}"/>
    <cellStyle name="Currency 2 2 4 3 3 2" xfId="613" xr:uid="{00000000-0005-0000-0000-000068020000}"/>
    <cellStyle name="Currency 2 2 4 3 3 2 2" xfId="614" xr:uid="{00000000-0005-0000-0000-000069020000}"/>
    <cellStyle name="Currency 2 2 4 3 3 2 3" xfId="2232" xr:uid="{93CF1A77-4A64-4501-8E4D-2A754D0355B4}"/>
    <cellStyle name="Currency 2 2 4 3 3 3" xfId="615" xr:uid="{00000000-0005-0000-0000-00006A020000}"/>
    <cellStyle name="Currency 2 2 4 3 3 4" xfId="2231" xr:uid="{9E05BA88-6D34-4F2B-8EE0-5EA1969D7C2D}"/>
    <cellStyle name="Currency 2 2 4 3 4" xfId="616" xr:uid="{00000000-0005-0000-0000-00006B020000}"/>
    <cellStyle name="Currency 2 2 4 3 4 2" xfId="617" xr:uid="{00000000-0005-0000-0000-00006C020000}"/>
    <cellStyle name="Currency 2 2 4 3 4 3" xfId="2233" xr:uid="{ED360E79-00E3-4727-9E85-636BD0763357}"/>
    <cellStyle name="Currency 2 2 4 3 5" xfId="618" xr:uid="{00000000-0005-0000-0000-00006D020000}"/>
    <cellStyle name="Currency 2 2 4 3 6" xfId="2226" xr:uid="{BDA174FF-7A6A-46B6-87E6-654E585C827C}"/>
    <cellStyle name="Currency 2 2 4 4" xfId="619" xr:uid="{00000000-0005-0000-0000-00006E020000}"/>
    <cellStyle name="Currency 2 2 4 4 2" xfId="620" xr:uid="{00000000-0005-0000-0000-00006F020000}"/>
    <cellStyle name="Currency 2 2 4 4 2 2" xfId="621" xr:uid="{00000000-0005-0000-0000-000070020000}"/>
    <cellStyle name="Currency 2 2 4 4 2 2 2" xfId="622" xr:uid="{00000000-0005-0000-0000-000071020000}"/>
    <cellStyle name="Currency 2 2 4 4 2 2 3" xfId="2236" xr:uid="{7D4EE4FA-49D7-4D3D-9C47-79221EF9E47A}"/>
    <cellStyle name="Currency 2 2 4 4 2 3" xfId="623" xr:uid="{00000000-0005-0000-0000-000072020000}"/>
    <cellStyle name="Currency 2 2 4 4 2 4" xfId="2235" xr:uid="{2777DA70-38B5-4169-9497-F3F6DC735647}"/>
    <cellStyle name="Currency 2 2 4 4 3" xfId="624" xr:uid="{00000000-0005-0000-0000-000073020000}"/>
    <cellStyle name="Currency 2 2 4 4 3 2" xfId="625" xr:uid="{00000000-0005-0000-0000-000074020000}"/>
    <cellStyle name="Currency 2 2 4 4 3 3" xfId="2237" xr:uid="{6C9FAA00-1B81-4D1D-B046-090F3DD01C44}"/>
    <cellStyle name="Currency 2 2 4 4 4" xfId="626" xr:uid="{00000000-0005-0000-0000-000075020000}"/>
    <cellStyle name="Currency 2 2 4 4 5" xfId="2234" xr:uid="{5653C0CF-65F1-4CDB-82F3-1102CA9E358A}"/>
    <cellStyle name="Currency 2 2 4 5" xfId="627" xr:uid="{00000000-0005-0000-0000-000076020000}"/>
    <cellStyle name="Currency 2 2 4 5 2" xfId="628" xr:uid="{00000000-0005-0000-0000-000077020000}"/>
    <cellStyle name="Currency 2 2 4 5 2 2" xfId="629" xr:uid="{00000000-0005-0000-0000-000078020000}"/>
    <cellStyle name="Currency 2 2 4 5 2 3" xfId="2239" xr:uid="{9260BE5E-4F0E-4586-A806-C06CE65F3E34}"/>
    <cellStyle name="Currency 2 2 4 5 3" xfId="630" xr:uid="{00000000-0005-0000-0000-000079020000}"/>
    <cellStyle name="Currency 2 2 4 5 4" xfId="2238" xr:uid="{4DA394BC-94DB-468F-9130-C8678E1802EF}"/>
    <cellStyle name="Currency 2 2 4 6" xfId="631" xr:uid="{00000000-0005-0000-0000-00007A020000}"/>
    <cellStyle name="Currency 2 2 4 6 2" xfId="632" xr:uid="{00000000-0005-0000-0000-00007B020000}"/>
    <cellStyle name="Currency 2 2 4 6 3" xfId="2240" xr:uid="{0CAE5831-B43E-404C-8B3C-16ABA761EBBB}"/>
    <cellStyle name="Currency 2 2 4 7" xfId="633" xr:uid="{00000000-0005-0000-0000-00007C020000}"/>
    <cellStyle name="Currency 2 2 4 8" xfId="2209" xr:uid="{9B457207-18A3-4ACF-881C-E1E5F9223ED8}"/>
    <cellStyle name="Currency 2 2 5" xfId="634" xr:uid="{00000000-0005-0000-0000-00007D020000}"/>
    <cellStyle name="Currency 2 2 5 2" xfId="635" xr:uid="{00000000-0005-0000-0000-00007E020000}"/>
    <cellStyle name="Currency 2 2 5 2 2" xfId="636" xr:uid="{00000000-0005-0000-0000-00007F020000}"/>
    <cellStyle name="Currency 2 2 5 2 2 2" xfId="637" xr:uid="{00000000-0005-0000-0000-000080020000}"/>
    <cellStyle name="Currency 2 2 5 2 2 2 2" xfId="638" xr:uid="{00000000-0005-0000-0000-000081020000}"/>
    <cellStyle name="Currency 2 2 5 2 2 2 2 2" xfId="639" xr:uid="{00000000-0005-0000-0000-000082020000}"/>
    <cellStyle name="Currency 2 2 5 2 2 2 2 3" xfId="2245" xr:uid="{8A0B9810-0F41-4592-BECA-2BEE4E8BB4FC}"/>
    <cellStyle name="Currency 2 2 5 2 2 2 3" xfId="640" xr:uid="{00000000-0005-0000-0000-000083020000}"/>
    <cellStyle name="Currency 2 2 5 2 2 2 4" xfId="2244" xr:uid="{18EEF391-5742-4C99-80B8-787B5DB4052C}"/>
    <cellStyle name="Currency 2 2 5 2 2 3" xfId="641" xr:uid="{00000000-0005-0000-0000-000084020000}"/>
    <cellStyle name="Currency 2 2 5 2 2 3 2" xfId="642" xr:uid="{00000000-0005-0000-0000-000085020000}"/>
    <cellStyle name="Currency 2 2 5 2 2 3 3" xfId="2246" xr:uid="{5BFA7237-7110-45F3-875D-2D47C9EFE51C}"/>
    <cellStyle name="Currency 2 2 5 2 2 4" xfId="643" xr:uid="{00000000-0005-0000-0000-000086020000}"/>
    <cellStyle name="Currency 2 2 5 2 2 5" xfId="2243" xr:uid="{332C5A3F-6A1B-48D0-AF0D-0433B98B6A6C}"/>
    <cellStyle name="Currency 2 2 5 2 3" xfId="644" xr:uid="{00000000-0005-0000-0000-000087020000}"/>
    <cellStyle name="Currency 2 2 5 2 3 2" xfId="645" xr:uid="{00000000-0005-0000-0000-000088020000}"/>
    <cellStyle name="Currency 2 2 5 2 3 2 2" xfId="646" xr:uid="{00000000-0005-0000-0000-000089020000}"/>
    <cellStyle name="Currency 2 2 5 2 3 2 3" xfId="2248" xr:uid="{C92D8AFA-3C59-48D8-A912-EAEA2843456E}"/>
    <cellStyle name="Currency 2 2 5 2 3 3" xfId="647" xr:uid="{00000000-0005-0000-0000-00008A020000}"/>
    <cellStyle name="Currency 2 2 5 2 3 4" xfId="2247" xr:uid="{A0E21C62-2E3A-49E1-A978-0A5A00257E33}"/>
    <cellStyle name="Currency 2 2 5 2 4" xfId="648" xr:uid="{00000000-0005-0000-0000-00008B020000}"/>
    <cellStyle name="Currency 2 2 5 2 4 2" xfId="649" xr:uid="{00000000-0005-0000-0000-00008C020000}"/>
    <cellStyle name="Currency 2 2 5 2 4 3" xfId="2249" xr:uid="{9FFC6AE0-A2CC-45A3-932A-E4CF9F41AC8D}"/>
    <cellStyle name="Currency 2 2 5 2 5" xfId="650" xr:uid="{00000000-0005-0000-0000-00008D020000}"/>
    <cellStyle name="Currency 2 2 5 2 6" xfId="2242" xr:uid="{D8CEDFFA-9B2F-43C7-920A-F22D47EDC40C}"/>
    <cellStyle name="Currency 2 2 5 3" xfId="651" xr:uid="{00000000-0005-0000-0000-00008E020000}"/>
    <cellStyle name="Currency 2 2 5 3 2" xfId="652" xr:uid="{00000000-0005-0000-0000-00008F020000}"/>
    <cellStyle name="Currency 2 2 5 3 2 2" xfId="653" xr:uid="{00000000-0005-0000-0000-000090020000}"/>
    <cellStyle name="Currency 2 2 5 3 2 2 2" xfId="654" xr:uid="{00000000-0005-0000-0000-000091020000}"/>
    <cellStyle name="Currency 2 2 5 3 2 2 3" xfId="2252" xr:uid="{0F477C62-D133-432B-8A96-E42AB1524FAF}"/>
    <cellStyle name="Currency 2 2 5 3 2 3" xfId="655" xr:uid="{00000000-0005-0000-0000-000092020000}"/>
    <cellStyle name="Currency 2 2 5 3 2 4" xfId="2251" xr:uid="{92E03247-7800-45A1-B52E-62B98A2BB301}"/>
    <cellStyle name="Currency 2 2 5 3 3" xfId="656" xr:uid="{00000000-0005-0000-0000-000093020000}"/>
    <cellStyle name="Currency 2 2 5 3 3 2" xfId="657" xr:uid="{00000000-0005-0000-0000-000094020000}"/>
    <cellStyle name="Currency 2 2 5 3 3 3" xfId="2253" xr:uid="{6E2473D9-43BF-41AB-807C-43B83381F899}"/>
    <cellStyle name="Currency 2 2 5 3 4" xfId="658" xr:uid="{00000000-0005-0000-0000-000095020000}"/>
    <cellStyle name="Currency 2 2 5 3 5" xfId="2250" xr:uid="{BAC265F2-022A-404D-A62B-0EDEB67C984B}"/>
    <cellStyle name="Currency 2 2 5 4" xfId="659" xr:uid="{00000000-0005-0000-0000-000096020000}"/>
    <cellStyle name="Currency 2 2 5 4 2" xfId="660" xr:uid="{00000000-0005-0000-0000-000097020000}"/>
    <cellStyle name="Currency 2 2 5 4 2 2" xfId="661" xr:uid="{00000000-0005-0000-0000-000098020000}"/>
    <cellStyle name="Currency 2 2 5 4 2 3" xfId="2255" xr:uid="{3814C2AE-6954-42C4-BB43-2A21AEBB9C08}"/>
    <cellStyle name="Currency 2 2 5 4 3" xfId="662" xr:uid="{00000000-0005-0000-0000-000099020000}"/>
    <cellStyle name="Currency 2 2 5 4 4" xfId="2254" xr:uid="{B7CC7C6A-75C4-4F85-9D7A-259BEAC2E331}"/>
    <cellStyle name="Currency 2 2 5 5" xfId="663" xr:uid="{00000000-0005-0000-0000-00009A020000}"/>
    <cellStyle name="Currency 2 2 5 5 2" xfId="664" xr:uid="{00000000-0005-0000-0000-00009B020000}"/>
    <cellStyle name="Currency 2 2 5 5 3" xfId="2256" xr:uid="{5E8E65B8-C52D-49FF-A896-23E0895E51FB}"/>
    <cellStyle name="Currency 2 2 5 6" xfId="665" xr:uid="{00000000-0005-0000-0000-00009C020000}"/>
    <cellStyle name="Currency 2 2 5 7" xfId="2241" xr:uid="{9B5E6DD6-1A62-4E1B-9DB1-89BF246B9CD0}"/>
    <cellStyle name="Currency 2 2 6" xfId="666" xr:uid="{00000000-0005-0000-0000-00009D020000}"/>
    <cellStyle name="Currency 2 2 6 2" xfId="667" xr:uid="{00000000-0005-0000-0000-00009E020000}"/>
    <cellStyle name="Currency 2 2 6 2 2" xfId="668" xr:uid="{00000000-0005-0000-0000-00009F020000}"/>
    <cellStyle name="Currency 2 2 6 2 2 2" xfId="669" xr:uid="{00000000-0005-0000-0000-0000A0020000}"/>
    <cellStyle name="Currency 2 2 6 2 2 2 2" xfId="670" xr:uid="{00000000-0005-0000-0000-0000A1020000}"/>
    <cellStyle name="Currency 2 2 6 2 2 2 3" xfId="2260" xr:uid="{A5AD3FCF-4768-4457-BEFF-1FBD22DE567B}"/>
    <cellStyle name="Currency 2 2 6 2 2 3" xfId="671" xr:uid="{00000000-0005-0000-0000-0000A2020000}"/>
    <cellStyle name="Currency 2 2 6 2 2 4" xfId="2259" xr:uid="{64302AA3-AA04-4377-88B8-9BA32C19BDCF}"/>
    <cellStyle name="Currency 2 2 6 2 3" xfId="672" xr:uid="{00000000-0005-0000-0000-0000A3020000}"/>
    <cellStyle name="Currency 2 2 6 2 3 2" xfId="673" xr:uid="{00000000-0005-0000-0000-0000A4020000}"/>
    <cellStyle name="Currency 2 2 6 2 3 3" xfId="2261" xr:uid="{D7E61E45-5979-4AEE-BA22-AD78A4B27A61}"/>
    <cellStyle name="Currency 2 2 6 2 4" xfId="674" xr:uid="{00000000-0005-0000-0000-0000A5020000}"/>
    <cellStyle name="Currency 2 2 6 2 5" xfId="2258" xr:uid="{21A0F9B4-A936-465C-95F3-0155DCE113B5}"/>
    <cellStyle name="Currency 2 2 6 3" xfId="675" xr:uid="{00000000-0005-0000-0000-0000A6020000}"/>
    <cellStyle name="Currency 2 2 6 3 2" xfId="676" xr:uid="{00000000-0005-0000-0000-0000A7020000}"/>
    <cellStyle name="Currency 2 2 6 3 2 2" xfId="677" xr:uid="{00000000-0005-0000-0000-0000A8020000}"/>
    <cellStyle name="Currency 2 2 6 3 2 3" xfId="2263" xr:uid="{B17D12DA-11AA-4DDE-B65B-F818B0B5258C}"/>
    <cellStyle name="Currency 2 2 6 3 3" xfId="678" xr:uid="{00000000-0005-0000-0000-0000A9020000}"/>
    <cellStyle name="Currency 2 2 6 3 4" xfId="2262" xr:uid="{C2B0B80C-C0EE-4D65-B69B-D77DDFC9D46E}"/>
    <cellStyle name="Currency 2 2 6 4" xfId="679" xr:uid="{00000000-0005-0000-0000-0000AA020000}"/>
    <cellStyle name="Currency 2 2 6 4 2" xfId="680" xr:uid="{00000000-0005-0000-0000-0000AB020000}"/>
    <cellStyle name="Currency 2 2 6 4 3" xfId="2264" xr:uid="{D577B17A-2C31-4FD0-8C64-8C9D2C4F7AB3}"/>
    <cellStyle name="Currency 2 2 6 5" xfId="681" xr:uid="{00000000-0005-0000-0000-0000AC020000}"/>
    <cellStyle name="Currency 2 2 6 6" xfId="2257" xr:uid="{C7049865-8269-48AB-9725-8514BF5D98D2}"/>
    <cellStyle name="Currency 2 2 7" xfId="682" xr:uid="{00000000-0005-0000-0000-0000AD020000}"/>
    <cellStyle name="Currency 2 2 7 2" xfId="683" xr:uid="{00000000-0005-0000-0000-0000AE020000}"/>
    <cellStyle name="Currency 2 2 7 2 2" xfId="684" xr:uid="{00000000-0005-0000-0000-0000AF020000}"/>
    <cellStyle name="Currency 2 2 7 2 2 2" xfId="685" xr:uid="{00000000-0005-0000-0000-0000B0020000}"/>
    <cellStyle name="Currency 2 2 7 2 2 3" xfId="2267" xr:uid="{EA895ACA-55AD-4BC3-9C40-248D9C6F1F60}"/>
    <cellStyle name="Currency 2 2 7 2 3" xfId="686" xr:uid="{00000000-0005-0000-0000-0000B1020000}"/>
    <cellStyle name="Currency 2 2 7 2 4" xfId="2266" xr:uid="{F8E9F076-D8C1-43DB-8DF9-F2E628D44CCD}"/>
    <cellStyle name="Currency 2 2 7 3" xfId="687" xr:uid="{00000000-0005-0000-0000-0000B2020000}"/>
    <cellStyle name="Currency 2 2 7 3 2" xfId="688" xr:uid="{00000000-0005-0000-0000-0000B3020000}"/>
    <cellStyle name="Currency 2 2 7 3 3" xfId="2268" xr:uid="{8ED79ADF-EFC7-4341-A2C4-B8BA30354939}"/>
    <cellStyle name="Currency 2 2 7 4" xfId="689" xr:uid="{00000000-0005-0000-0000-0000B4020000}"/>
    <cellStyle name="Currency 2 2 7 5" xfId="2265" xr:uid="{DEB4FF22-2918-4391-857B-2049CD69468E}"/>
    <cellStyle name="Currency 2 2 8" xfId="690" xr:uid="{00000000-0005-0000-0000-0000B5020000}"/>
    <cellStyle name="Currency 2 2 8 2" xfId="691" xr:uid="{00000000-0005-0000-0000-0000B6020000}"/>
    <cellStyle name="Currency 2 2 8 2 2" xfId="692" xr:uid="{00000000-0005-0000-0000-0000B7020000}"/>
    <cellStyle name="Currency 2 2 8 2 3" xfId="2270" xr:uid="{E44AA62D-A8FC-4C46-A997-F0735FDDD4B2}"/>
    <cellStyle name="Currency 2 2 8 3" xfId="693" xr:uid="{00000000-0005-0000-0000-0000B8020000}"/>
    <cellStyle name="Currency 2 2 8 4" xfId="2269" xr:uid="{9A393DA6-1560-4319-B272-87DA4EE1FA2C}"/>
    <cellStyle name="Currency 2 2 9" xfId="694" xr:uid="{00000000-0005-0000-0000-0000B9020000}"/>
    <cellStyle name="Currency 2 2 9 2" xfId="695" xr:uid="{00000000-0005-0000-0000-0000BA020000}"/>
    <cellStyle name="Currency 2 2 9 3" xfId="2271" xr:uid="{4AF19001-B6E4-4655-B6EC-98D707FAD14E}"/>
    <cellStyle name="Currency 2 3" xfId="696" xr:uid="{00000000-0005-0000-0000-0000BB020000}"/>
    <cellStyle name="Currency 2 3 10" xfId="697" xr:uid="{00000000-0005-0000-0000-0000BC020000}"/>
    <cellStyle name="Currency 2 3 11" xfId="2014" xr:uid="{20D4FD38-7A5B-4A12-AE52-91AF9BFABA4D}"/>
    <cellStyle name="Currency 2 3 12" xfId="2008" xr:uid="{F06632A4-7BC1-49E8-8FFD-1ECC544CB643}"/>
    <cellStyle name="Currency 2 3 13" xfId="3043" xr:uid="{2CB06329-96B7-4552-BC1A-0FC5B2911192}"/>
    <cellStyle name="Currency 2 3 2" xfId="698" xr:uid="{00000000-0005-0000-0000-0000BD020000}"/>
    <cellStyle name="Currency 2 3 2 2" xfId="699" xr:uid="{00000000-0005-0000-0000-0000BE020000}"/>
    <cellStyle name="Currency 2 3 2 2 2" xfId="700" xr:uid="{00000000-0005-0000-0000-0000BF020000}"/>
    <cellStyle name="Currency 2 3 2 2 2 2" xfId="701" xr:uid="{00000000-0005-0000-0000-0000C0020000}"/>
    <cellStyle name="Currency 2 3 2 2 2 2 2" xfId="702" xr:uid="{00000000-0005-0000-0000-0000C1020000}"/>
    <cellStyle name="Currency 2 3 2 2 2 2 2 2" xfId="703" xr:uid="{00000000-0005-0000-0000-0000C2020000}"/>
    <cellStyle name="Currency 2 3 2 2 2 2 2 2 2" xfId="704" xr:uid="{00000000-0005-0000-0000-0000C3020000}"/>
    <cellStyle name="Currency 2 3 2 2 2 2 2 2 3" xfId="2278" xr:uid="{C2DF77DE-FBCF-47A8-9A38-590006C1EDFB}"/>
    <cellStyle name="Currency 2 3 2 2 2 2 2 3" xfId="705" xr:uid="{00000000-0005-0000-0000-0000C4020000}"/>
    <cellStyle name="Currency 2 3 2 2 2 2 2 4" xfId="2277" xr:uid="{2AFDD188-1BC7-4A56-A6EC-8DEE072156B1}"/>
    <cellStyle name="Currency 2 3 2 2 2 2 3" xfId="706" xr:uid="{00000000-0005-0000-0000-0000C5020000}"/>
    <cellStyle name="Currency 2 3 2 2 2 2 3 2" xfId="707" xr:uid="{00000000-0005-0000-0000-0000C6020000}"/>
    <cellStyle name="Currency 2 3 2 2 2 2 3 3" xfId="2279" xr:uid="{72FEE175-BB99-4630-B60D-73EC4500CAE9}"/>
    <cellStyle name="Currency 2 3 2 2 2 2 4" xfId="708" xr:uid="{00000000-0005-0000-0000-0000C7020000}"/>
    <cellStyle name="Currency 2 3 2 2 2 2 5" xfId="2276" xr:uid="{7B2B9663-6D54-46D2-91F2-F0A2B9CEBFA9}"/>
    <cellStyle name="Currency 2 3 2 2 2 3" xfId="709" xr:uid="{00000000-0005-0000-0000-0000C8020000}"/>
    <cellStyle name="Currency 2 3 2 2 2 3 2" xfId="710" xr:uid="{00000000-0005-0000-0000-0000C9020000}"/>
    <cellStyle name="Currency 2 3 2 2 2 3 2 2" xfId="711" xr:uid="{00000000-0005-0000-0000-0000CA020000}"/>
    <cellStyle name="Currency 2 3 2 2 2 3 2 3" xfId="2281" xr:uid="{78ED8BBD-EE6B-4E59-898E-F2B56CB54EC3}"/>
    <cellStyle name="Currency 2 3 2 2 2 3 3" xfId="712" xr:uid="{00000000-0005-0000-0000-0000CB020000}"/>
    <cellStyle name="Currency 2 3 2 2 2 3 4" xfId="2280" xr:uid="{68EF30AF-A819-4A91-B22E-55F1EDF7CE02}"/>
    <cellStyle name="Currency 2 3 2 2 2 4" xfId="713" xr:uid="{00000000-0005-0000-0000-0000CC020000}"/>
    <cellStyle name="Currency 2 3 2 2 2 4 2" xfId="714" xr:uid="{00000000-0005-0000-0000-0000CD020000}"/>
    <cellStyle name="Currency 2 3 2 2 2 4 3" xfId="2282" xr:uid="{17FE8079-9484-47C4-93D2-FF7A8F4DE230}"/>
    <cellStyle name="Currency 2 3 2 2 2 5" xfId="715" xr:uid="{00000000-0005-0000-0000-0000CE020000}"/>
    <cellStyle name="Currency 2 3 2 2 2 6" xfId="2275" xr:uid="{8D9C0EE8-A237-4CE6-86F3-9E8616BA56F9}"/>
    <cellStyle name="Currency 2 3 2 2 3" xfId="716" xr:uid="{00000000-0005-0000-0000-0000CF020000}"/>
    <cellStyle name="Currency 2 3 2 2 3 2" xfId="717" xr:uid="{00000000-0005-0000-0000-0000D0020000}"/>
    <cellStyle name="Currency 2 3 2 2 3 2 2" xfId="718" xr:uid="{00000000-0005-0000-0000-0000D1020000}"/>
    <cellStyle name="Currency 2 3 2 2 3 2 2 2" xfId="719" xr:uid="{00000000-0005-0000-0000-0000D2020000}"/>
    <cellStyle name="Currency 2 3 2 2 3 2 2 3" xfId="2285" xr:uid="{58BC3D93-3DB0-4E69-A523-BB949FD402C2}"/>
    <cellStyle name="Currency 2 3 2 2 3 2 3" xfId="720" xr:uid="{00000000-0005-0000-0000-0000D3020000}"/>
    <cellStyle name="Currency 2 3 2 2 3 2 4" xfId="2284" xr:uid="{EFD72992-10C2-4D61-8E20-5E4F530D0170}"/>
    <cellStyle name="Currency 2 3 2 2 3 3" xfId="721" xr:uid="{00000000-0005-0000-0000-0000D4020000}"/>
    <cellStyle name="Currency 2 3 2 2 3 3 2" xfId="722" xr:uid="{00000000-0005-0000-0000-0000D5020000}"/>
    <cellStyle name="Currency 2 3 2 2 3 3 3" xfId="2286" xr:uid="{6195D077-1C06-4ACD-9E06-59FF2C925069}"/>
    <cellStyle name="Currency 2 3 2 2 3 4" xfId="723" xr:uid="{00000000-0005-0000-0000-0000D6020000}"/>
    <cellStyle name="Currency 2 3 2 2 3 5" xfId="2283" xr:uid="{2233FBCC-D6B2-4BD2-9065-82C2C4C16F49}"/>
    <cellStyle name="Currency 2 3 2 2 4" xfId="724" xr:uid="{00000000-0005-0000-0000-0000D7020000}"/>
    <cellStyle name="Currency 2 3 2 2 4 2" xfId="725" xr:uid="{00000000-0005-0000-0000-0000D8020000}"/>
    <cellStyle name="Currency 2 3 2 2 4 2 2" xfId="726" xr:uid="{00000000-0005-0000-0000-0000D9020000}"/>
    <cellStyle name="Currency 2 3 2 2 4 2 3" xfId="2288" xr:uid="{72DA0462-7D79-411E-B6D4-D056E81FB1E7}"/>
    <cellStyle name="Currency 2 3 2 2 4 3" xfId="727" xr:uid="{00000000-0005-0000-0000-0000DA020000}"/>
    <cellStyle name="Currency 2 3 2 2 4 4" xfId="2287" xr:uid="{30921E19-382A-43B3-A46B-29DD2CB8E279}"/>
    <cellStyle name="Currency 2 3 2 2 5" xfId="728" xr:uid="{00000000-0005-0000-0000-0000DB020000}"/>
    <cellStyle name="Currency 2 3 2 2 5 2" xfId="729" xr:uid="{00000000-0005-0000-0000-0000DC020000}"/>
    <cellStyle name="Currency 2 3 2 2 5 3" xfId="2289" xr:uid="{F32A8E49-5F91-4BC3-8ABC-9C8C852F7A00}"/>
    <cellStyle name="Currency 2 3 2 2 6" xfId="730" xr:uid="{00000000-0005-0000-0000-0000DD020000}"/>
    <cellStyle name="Currency 2 3 2 2 7" xfId="2274" xr:uid="{F279BFCC-B5D2-4978-BCB9-7DCEEDB91999}"/>
    <cellStyle name="Currency 2 3 2 3" xfId="731" xr:uid="{00000000-0005-0000-0000-0000DE020000}"/>
    <cellStyle name="Currency 2 3 2 3 2" xfId="732" xr:uid="{00000000-0005-0000-0000-0000DF020000}"/>
    <cellStyle name="Currency 2 3 2 3 2 2" xfId="733" xr:uid="{00000000-0005-0000-0000-0000E0020000}"/>
    <cellStyle name="Currency 2 3 2 3 2 2 2" xfId="734" xr:uid="{00000000-0005-0000-0000-0000E1020000}"/>
    <cellStyle name="Currency 2 3 2 3 2 2 2 2" xfId="735" xr:uid="{00000000-0005-0000-0000-0000E2020000}"/>
    <cellStyle name="Currency 2 3 2 3 2 2 2 3" xfId="2293" xr:uid="{858181BC-BD89-46D0-90BC-E9E842382527}"/>
    <cellStyle name="Currency 2 3 2 3 2 2 3" xfId="736" xr:uid="{00000000-0005-0000-0000-0000E3020000}"/>
    <cellStyle name="Currency 2 3 2 3 2 2 4" xfId="2292" xr:uid="{4F057E25-FC83-4280-A2AF-08BF96107ED2}"/>
    <cellStyle name="Currency 2 3 2 3 2 3" xfId="737" xr:uid="{00000000-0005-0000-0000-0000E4020000}"/>
    <cellStyle name="Currency 2 3 2 3 2 3 2" xfId="738" xr:uid="{00000000-0005-0000-0000-0000E5020000}"/>
    <cellStyle name="Currency 2 3 2 3 2 3 3" xfId="2294" xr:uid="{1BB575E8-C6F8-4DC6-8B11-7857CFDBD332}"/>
    <cellStyle name="Currency 2 3 2 3 2 4" xfId="739" xr:uid="{00000000-0005-0000-0000-0000E6020000}"/>
    <cellStyle name="Currency 2 3 2 3 2 5" xfId="2291" xr:uid="{E29A70ED-B782-4E0F-BDB2-6F958B460C44}"/>
    <cellStyle name="Currency 2 3 2 3 3" xfId="740" xr:uid="{00000000-0005-0000-0000-0000E7020000}"/>
    <cellStyle name="Currency 2 3 2 3 3 2" xfId="741" xr:uid="{00000000-0005-0000-0000-0000E8020000}"/>
    <cellStyle name="Currency 2 3 2 3 3 2 2" xfId="742" xr:uid="{00000000-0005-0000-0000-0000E9020000}"/>
    <cellStyle name="Currency 2 3 2 3 3 2 3" xfId="2296" xr:uid="{6A6FDB6B-C5B5-43ED-B76A-EA83897E6F38}"/>
    <cellStyle name="Currency 2 3 2 3 3 3" xfId="743" xr:uid="{00000000-0005-0000-0000-0000EA020000}"/>
    <cellStyle name="Currency 2 3 2 3 3 4" xfId="2295" xr:uid="{735513B6-80EA-4262-8F03-D881D2D9A6BB}"/>
    <cellStyle name="Currency 2 3 2 3 4" xfId="744" xr:uid="{00000000-0005-0000-0000-0000EB020000}"/>
    <cellStyle name="Currency 2 3 2 3 4 2" xfId="745" xr:uid="{00000000-0005-0000-0000-0000EC020000}"/>
    <cellStyle name="Currency 2 3 2 3 4 3" xfId="2297" xr:uid="{797E4A9D-F6AC-4447-AF2D-114E56843705}"/>
    <cellStyle name="Currency 2 3 2 3 5" xfId="746" xr:uid="{00000000-0005-0000-0000-0000ED020000}"/>
    <cellStyle name="Currency 2 3 2 3 6" xfId="2290" xr:uid="{41784B60-C2AE-4984-B762-CED47FD4720C}"/>
    <cellStyle name="Currency 2 3 2 4" xfId="747" xr:uid="{00000000-0005-0000-0000-0000EE020000}"/>
    <cellStyle name="Currency 2 3 2 4 2" xfId="748" xr:uid="{00000000-0005-0000-0000-0000EF020000}"/>
    <cellStyle name="Currency 2 3 2 4 2 2" xfId="749" xr:uid="{00000000-0005-0000-0000-0000F0020000}"/>
    <cellStyle name="Currency 2 3 2 4 2 2 2" xfId="750" xr:uid="{00000000-0005-0000-0000-0000F1020000}"/>
    <cellStyle name="Currency 2 3 2 4 2 2 3" xfId="2300" xr:uid="{A8D68004-3FE3-4CDB-B54A-F9B62E82C440}"/>
    <cellStyle name="Currency 2 3 2 4 2 3" xfId="751" xr:uid="{00000000-0005-0000-0000-0000F2020000}"/>
    <cellStyle name="Currency 2 3 2 4 2 4" xfId="2299" xr:uid="{271257F3-71D5-4D46-8F36-DAEC62FD5B4A}"/>
    <cellStyle name="Currency 2 3 2 4 3" xfId="752" xr:uid="{00000000-0005-0000-0000-0000F3020000}"/>
    <cellStyle name="Currency 2 3 2 4 3 2" xfId="753" xr:uid="{00000000-0005-0000-0000-0000F4020000}"/>
    <cellStyle name="Currency 2 3 2 4 3 3" xfId="2301" xr:uid="{E893710D-7570-4D01-8152-2D50306E7A6A}"/>
    <cellStyle name="Currency 2 3 2 4 4" xfId="754" xr:uid="{00000000-0005-0000-0000-0000F5020000}"/>
    <cellStyle name="Currency 2 3 2 4 5" xfId="2298" xr:uid="{3E4B21EE-F65C-4AE8-9174-F06EC76AE67B}"/>
    <cellStyle name="Currency 2 3 2 5" xfId="755" xr:uid="{00000000-0005-0000-0000-0000F6020000}"/>
    <cellStyle name="Currency 2 3 2 5 2" xfId="756" xr:uid="{00000000-0005-0000-0000-0000F7020000}"/>
    <cellStyle name="Currency 2 3 2 5 2 2" xfId="757" xr:uid="{00000000-0005-0000-0000-0000F8020000}"/>
    <cellStyle name="Currency 2 3 2 5 2 3" xfId="2303" xr:uid="{FD9A55C0-28D6-4E12-B968-D3D829C8B27F}"/>
    <cellStyle name="Currency 2 3 2 5 3" xfId="758" xr:uid="{00000000-0005-0000-0000-0000F9020000}"/>
    <cellStyle name="Currency 2 3 2 5 4" xfId="2302" xr:uid="{1542D36D-F78C-4EBE-9D43-1BA81624151F}"/>
    <cellStyle name="Currency 2 3 2 6" xfId="759" xr:uid="{00000000-0005-0000-0000-0000FA020000}"/>
    <cellStyle name="Currency 2 3 2 6 2" xfId="760" xr:uid="{00000000-0005-0000-0000-0000FB020000}"/>
    <cellStyle name="Currency 2 3 2 6 3" xfId="2304" xr:uid="{9BF08BF9-A9DC-4C9E-BF5E-FB92FE0F91DE}"/>
    <cellStyle name="Currency 2 3 2 7" xfId="761" xr:uid="{00000000-0005-0000-0000-0000FC020000}"/>
    <cellStyle name="Currency 2 3 2 8" xfId="2273" xr:uid="{434D26F3-A0A1-40C2-8A66-1379351DB581}"/>
    <cellStyle name="Currency 2 3 3" xfId="762" xr:uid="{00000000-0005-0000-0000-0000FD020000}"/>
    <cellStyle name="Currency 2 3 3 2" xfId="763" xr:uid="{00000000-0005-0000-0000-0000FE020000}"/>
    <cellStyle name="Currency 2 3 3 2 2" xfId="764" xr:uid="{00000000-0005-0000-0000-0000FF020000}"/>
    <cellStyle name="Currency 2 3 3 2 2 2" xfId="765" xr:uid="{00000000-0005-0000-0000-000000030000}"/>
    <cellStyle name="Currency 2 3 3 2 2 2 2" xfId="766" xr:uid="{00000000-0005-0000-0000-000001030000}"/>
    <cellStyle name="Currency 2 3 3 2 2 2 2 2" xfId="767" xr:uid="{00000000-0005-0000-0000-000002030000}"/>
    <cellStyle name="Currency 2 3 3 2 2 2 2 3" xfId="2309" xr:uid="{F4567382-5C07-46A4-8C5C-198152CBCD0D}"/>
    <cellStyle name="Currency 2 3 3 2 2 2 3" xfId="768" xr:uid="{00000000-0005-0000-0000-000003030000}"/>
    <cellStyle name="Currency 2 3 3 2 2 2 4" xfId="2308" xr:uid="{998E1F4F-A199-40E7-94CB-D7CF0FB2ECCE}"/>
    <cellStyle name="Currency 2 3 3 2 2 3" xfId="769" xr:uid="{00000000-0005-0000-0000-000004030000}"/>
    <cellStyle name="Currency 2 3 3 2 2 3 2" xfId="770" xr:uid="{00000000-0005-0000-0000-000005030000}"/>
    <cellStyle name="Currency 2 3 3 2 2 3 3" xfId="2310" xr:uid="{B638177E-66DA-4042-862F-0EB9B554E083}"/>
    <cellStyle name="Currency 2 3 3 2 2 4" xfId="771" xr:uid="{00000000-0005-0000-0000-000006030000}"/>
    <cellStyle name="Currency 2 3 3 2 2 5" xfId="2307" xr:uid="{F763DA9C-5C98-4AAC-AAA3-F54DD36EA06B}"/>
    <cellStyle name="Currency 2 3 3 2 3" xfId="772" xr:uid="{00000000-0005-0000-0000-000007030000}"/>
    <cellStyle name="Currency 2 3 3 2 3 2" xfId="773" xr:uid="{00000000-0005-0000-0000-000008030000}"/>
    <cellStyle name="Currency 2 3 3 2 3 2 2" xfId="774" xr:uid="{00000000-0005-0000-0000-000009030000}"/>
    <cellStyle name="Currency 2 3 3 2 3 2 3" xfId="2312" xr:uid="{E7A25BE1-BB64-4BD9-B2C6-CFCDBCF8EA32}"/>
    <cellStyle name="Currency 2 3 3 2 3 3" xfId="775" xr:uid="{00000000-0005-0000-0000-00000A030000}"/>
    <cellStyle name="Currency 2 3 3 2 3 4" xfId="2311" xr:uid="{217D5C8D-6793-47CD-93B9-A80232D370DA}"/>
    <cellStyle name="Currency 2 3 3 2 4" xfId="776" xr:uid="{00000000-0005-0000-0000-00000B030000}"/>
    <cellStyle name="Currency 2 3 3 2 4 2" xfId="777" xr:uid="{00000000-0005-0000-0000-00000C030000}"/>
    <cellStyle name="Currency 2 3 3 2 4 3" xfId="2313" xr:uid="{4942D637-BD98-46A8-8614-1D92EB40F427}"/>
    <cellStyle name="Currency 2 3 3 2 5" xfId="778" xr:uid="{00000000-0005-0000-0000-00000D030000}"/>
    <cellStyle name="Currency 2 3 3 2 6" xfId="2306" xr:uid="{6CE51437-F508-4E5A-9818-63829D655E42}"/>
    <cellStyle name="Currency 2 3 3 3" xfId="779" xr:uid="{00000000-0005-0000-0000-00000E030000}"/>
    <cellStyle name="Currency 2 3 3 3 2" xfId="780" xr:uid="{00000000-0005-0000-0000-00000F030000}"/>
    <cellStyle name="Currency 2 3 3 3 2 2" xfId="781" xr:uid="{00000000-0005-0000-0000-000010030000}"/>
    <cellStyle name="Currency 2 3 3 3 2 2 2" xfId="782" xr:uid="{00000000-0005-0000-0000-000011030000}"/>
    <cellStyle name="Currency 2 3 3 3 2 2 3" xfId="2316" xr:uid="{C6467113-3BA9-4F47-8093-50E109B82108}"/>
    <cellStyle name="Currency 2 3 3 3 2 3" xfId="783" xr:uid="{00000000-0005-0000-0000-000012030000}"/>
    <cellStyle name="Currency 2 3 3 3 2 4" xfId="2315" xr:uid="{A666112C-7898-4DC1-9689-A3869BA40657}"/>
    <cellStyle name="Currency 2 3 3 3 3" xfId="784" xr:uid="{00000000-0005-0000-0000-000013030000}"/>
    <cellStyle name="Currency 2 3 3 3 3 2" xfId="785" xr:uid="{00000000-0005-0000-0000-000014030000}"/>
    <cellStyle name="Currency 2 3 3 3 3 3" xfId="2317" xr:uid="{AFF0416C-14FD-4CEC-91AE-4689D1C9D1AF}"/>
    <cellStyle name="Currency 2 3 3 3 4" xfId="786" xr:uid="{00000000-0005-0000-0000-000015030000}"/>
    <cellStyle name="Currency 2 3 3 3 5" xfId="2314" xr:uid="{B0D15B94-5C41-4D1F-A63C-45F0656A3BCC}"/>
    <cellStyle name="Currency 2 3 3 4" xfId="787" xr:uid="{00000000-0005-0000-0000-000016030000}"/>
    <cellStyle name="Currency 2 3 3 4 2" xfId="788" xr:uid="{00000000-0005-0000-0000-000017030000}"/>
    <cellStyle name="Currency 2 3 3 4 2 2" xfId="789" xr:uid="{00000000-0005-0000-0000-000018030000}"/>
    <cellStyle name="Currency 2 3 3 4 2 3" xfId="2319" xr:uid="{E2004FE3-A7D1-485A-A45C-E6E8067FC1E5}"/>
    <cellStyle name="Currency 2 3 3 4 3" xfId="790" xr:uid="{00000000-0005-0000-0000-000019030000}"/>
    <cellStyle name="Currency 2 3 3 4 4" xfId="2318" xr:uid="{8A3EEACD-DFF6-49BD-B1DB-2EDD2E86F690}"/>
    <cellStyle name="Currency 2 3 3 5" xfId="791" xr:uid="{00000000-0005-0000-0000-00001A030000}"/>
    <cellStyle name="Currency 2 3 3 5 2" xfId="792" xr:uid="{00000000-0005-0000-0000-00001B030000}"/>
    <cellStyle name="Currency 2 3 3 5 3" xfId="2320" xr:uid="{263EDEB5-CA8D-40AA-95D3-FE5F1BC5F3B0}"/>
    <cellStyle name="Currency 2 3 3 6" xfId="793" xr:uid="{00000000-0005-0000-0000-00001C030000}"/>
    <cellStyle name="Currency 2 3 3 7" xfId="2305" xr:uid="{6BAB82ED-68FD-440A-9ABE-79B1F8A1D309}"/>
    <cellStyle name="Currency 2 3 4" xfId="794" xr:uid="{00000000-0005-0000-0000-00001D030000}"/>
    <cellStyle name="Currency 2 3 4 2" xfId="795" xr:uid="{00000000-0005-0000-0000-00001E030000}"/>
    <cellStyle name="Currency 2 3 4 2 2" xfId="796" xr:uid="{00000000-0005-0000-0000-00001F030000}"/>
    <cellStyle name="Currency 2 3 4 2 2 2" xfId="797" xr:uid="{00000000-0005-0000-0000-000020030000}"/>
    <cellStyle name="Currency 2 3 4 2 2 2 2" xfId="798" xr:uid="{00000000-0005-0000-0000-000021030000}"/>
    <cellStyle name="Currency 2 3 4 2 2 2 3" xfId="2324" xr:uid="{BAA79234-896A-4F3B-9359-34DE12ECEDFA}"/>
    <cellStyle name="Currency 2 3 4 2 2 3" xfId="799" xr:uid="{00000000-0005-0000-0000-000022030000}"/>
    <cellStyle name="Currency 2 3 4 2 2 4" xfId="2323" xr:uid="{2EBF742F-1BB9-4489-8701-3F606BCA7F8C}"/>
    <cellStyle name="Currency 2 3 4 2 3" xfId="800" xr:uid="{00000000-0005-0000-0000-000023030000}"/>
    <cellStyle name="Currency 2 3 4 2 3 2" xfId="801" xr:uid="{00000000-0005-0000-0000-000024030000}"/>
    <cellStyle name="Currency 2 3 4 2 3 3" xfId="2325" xr:uid="{31C281B8-36A6-404A-AFA5-8D30430C83F6}"/>
    <cellStyle name="Currency 2 3 4 2 4" xfId="802" xr:uid="{00000000-0005-0000-0000-000025030000}"/>
    <cellStyle name="Currency 2 3 4 2 5" xfId="2322" xr:uid="{BDD7420F-C294-47B6-9BEE-E6F3039E9EE2}"/>
    <cellStyle name="Currency 2 3 4 3" xfId="803" xr:uid="{00000000-0005-0000-0000-000026030000}"/>
    <cellStyle name="Currency 2 3 4 3 2" xfId="804" xr:uid="{00000000-0005-0000-0000-000027030000}"/>
    <cellStyle name="Currency 2 3 4 3 2 2" xfId="805" xr:uid="{00000000-0005-0000-0000-000028030000}"/>
    <cellStyle name="Currency 2 3 4 3 2 3" xfId="2327" xr:uid="{7FA5CBE1-5CD0-45A1-9C7A-7A12A34D498A}"/>
    <cellStyle name="Currency 2 3 4 3 3" xfId="806" xr:uid="{00000000-0005-0000-0000-000029030000}"/>
    <cellStyle name="Currency 2 3 4 3 4" xfId="2326" xr:uid="{8B65B841-5BE2-4965-B34F-2D565D24D7CE}"/>
    <cellStyle name="Currency 2 3 4 4" xfId="807" xr:uid="{00000000-0005-0000-0000-00002A030000}"/>
    <cellStyle name="Currency 2 3 4 4 2" xfId="808" xr:uid="{00000000-0005-0000-0000-00002B030000}"/>
    <cellStyle name="Currency 2 3 4 4 3" xfId="2328" xr:uid="{2F6241F0-405D-4DE7-B63B-0438C027EF38}"/>
    <cellStyle name="Currency 2 3 4 5" xfId="809" xr:uid="{00000000-0005-0000-0000-00002C030000}"/>
    <cellStyle name="Currency 2 3 4 6" xfId="2321" xr:uid="{BA5EC4AF-F1F4-46EA-85C8-A0E29CE86EB8}"/>
    <cellStyle name="Currency 2 3 5" xfId="810" xr:uid="{00000000-0005-0000-0000-00002D030000}"/>
    <cellStyle name="Currency 2 3 5 2" xfId="811" xr:uid="{00000000-0005-0000-0000-00002E030000}"/>
    <cellStyle name="Currency 2 3 5 2 2" xfId="812" xr:uid="{00000000-0005-0000-0000-00002F030000}"/>
    <cellStyle name="Currency 2 3 5 2 2 2" xfId="813" xr:uid="{00000000-0005-0000-0000-000030030000}"/>
    <cellStyle name="Currency 2 3 5 2 2 3" xfId="2331" xr:uid="{4B6CBE77-FC9F-4493-9755-1F03169FED1E}"/>
    <cellStyle name="Currency 2 3 5 2 3" xfId="814" xr:uid="{00000000-0005-0000-0000-000031030000}"/>
    <cellStyle name="Currency 2 3 5 2 4" xfId="2330" xr:uid="{7E414031-4384-43FE-BBED-DA778230D1FF}"/>
    <cellStyle name="Currency 2 3 5 3" xfId="815" xr:uid="{00000000-0005-0000-0000-000032030000}"/>
    <cellStyle name="Currency 2 3 5 3 2" xfId="816" xr:uid="{00000000-0005-0000-0000-000033030000}"/>
    <cellStyle name="Currency 2 3 5 3 3" xfId="2332" xr:uid="{08F1DD60-07B1-49C3-8C2E-9116232D5468}"/>
    <cellStyle name="Currency 2 3 5 4" xfId="817" xr:uid="{00000000-0005-0000-0000-000034030000}"/>
    <cellStyle name="Currency 2 3 5 5" xfId="2329" xr:uid="{36C19E02-9F81-4F1C-95D7-E07C5133D1BF}"/>
    <cellStyle name="Currency 2 3 6" xfId="818" xr:uid="{00000000-0005-0000-0000-000035030000}"/>
    <cellStyle name="Currency 2 3 6 2" xfId="819" xr:uid="{00000000-0005-0000-0000-000036030000}"/>
    <cellStyle name="Currency 2 3 6 2 2" xfId="820" xr:uid="{00000000-0005-0000-0000-000037030000}"/>
    <cellStyle name="Currency 2 3 6 2 3" xfId="2334" xr:uid="{92CE3F2F-A580-49D0-8E82-A801BA92943D}"/>
    <cellStyle name="Currency 2 3 6 3" xfId="821" xr:uid="{00000000-0005-0000-0000-000038030000}"/>
    <cellStyle name="Currency 2 3 6 4" xfId="2333" xr:uid="{B60A3C24-10CD-4275-92ED-ABEA4DA96DC9}"/>
    <cellStyle name="Currency 2 3 7" xfId="822" xr:uid="{00000000-0005-0000-0000-000039030000}"/>
    <cellStyle name="Currency 2 3 7 2" xfId="823" xr:uid="{00000000-0005-0000-0000-00003A030000}"/>
    <cellStyle name="Currency 2 3 7 3" xfId="2335" xr:uid="{4D5D1063-B172-4A5F-A661-B7E672A7A256}"/>
    <cellStyle name="Currency 2 3 8" xfId="824" xr:uid="{00000000-0005-0000-0000-00003B030000}"/>
    <cellStyle name="Currency 2 3 8 2" xfId="825" xr:uid="{00000000-0005-0000-0000-00003C030000}"/>
    <cellStyle name="Currency 2 3 8 3" xfId="2272" xr:uid="{08F3D119-A3CD-49BB-A413-0B51122ECFAE}"/>
    <cellStyle name="Currency 2 3 9" xfId="826" xr:uid="{00000000-0005-0000-0000-00003D030000}"/>
    <cellStyle name="Currency 2 3 9 2" xfId="827" xr:uid="{00000000-0005-0000-0000-00003E030000}"/>
    <cellStyle name="Currency 2 4" xfId="828" xr:uid="{00000000-0005-0000-0000-00003F030000}"/>
    <cellStyle name="Currency 2 4 10" xfId="829" xr:uid="{00000000-0005-0000-0000-000040030000}"/>
    <cellStyle name="Currency 2 4 11" xfId="2015" xr:uid="{9A41038A-7FD4-4EB6-99B3-CE3EE99F311B}"/>
    <cellStyle name="Currency 2 4 12" xfId="2009" xr:uid="{E5297B1E-5466-4546-AC82-BEFBB11B83A4}"/>
    <cellStyle name="Currency 2 4 13" xfId="3044" xr:uid="{8338E01E-0AB6-4ECA-A92E-DBD9C540B338}"/>
    <cellStyle name="Currency 2 4 2" xfId="830" xr:uid="{00000000-0005-0000-0000-000041030000}"/>
    <cellStyle name="Currency 2 4 2 2" xfId="831" xr:uid="{00000000-0005-0000-0000-000042030000}"/>
    <cellStyle name="Currency 2 4 2 2 2" xfId="832" xr:uid="{00000000-0005-0000-0000-000043030000}"/>
    <cellStyle name="Currency 2 4 2 2 2 2" xfId="833" xr:uid="{00000000-0005-0000-0000-000044030000}"/>
    <cellStyle name="Currency 2 4 2 2 2 2 2" xfId="834" xr:uid="{00000000-0005-0000-0000-000045030000}"/>
    <cellStyle name="Currency 2 4 2 2 2 2 2 2" xfId="835" xr:uid="{00000000-0005-0000-0000-000046030000}"/>
    <cellStyle name="Currency 2 4 2 2 2 2 2 2 2" xfId="836" xr:uid="{00000000-0005-0000-0000-000047030000}"/>
    <cellStyle name="Currency 2 4 2 2 2 2 2 2 3" xfId="2342" xr:uid="{8EBFDB2A-3567-47AE-AFE6-90FEB0FA8413}"/>
    <cellStyle name="Currency 2 4 2 2 2 2 2 3" xfId="837" xr:uid="{00000000-0005-0000-0000-000048030000}"/>
    <cellStyle name="Currency 2 4 2 2 2 2 2 4" xfId="2341" xr:uid="{CAE98391-53B4-446F-89EF-817B831A71E7}"/>
    <cellStyle name="Currency 2 4 2 2 2 2 3" xfId="838" xr:uid="{00000000-0005-0000-0000-000049030000}"/>
    <cellStyle name="Currency 2 4 2 2 2 2 3 2" xfId="839" xr:uid="{00000000-0005-0000-0000-00004A030000}"/>
    <cellStyle name="Currency 2 4 2 2 2 2 3 3" xfId="2343" xr:uid="{549A1D16-ED0F-40C5-BBDF-28F5DDC1EBEB}"/>
    <cellStyle name="Currency 2 4 2 2 2 2 4" xfId="840" xr:uid="{00000000-0005-0000-0000-00004B030000}"/>
    <cellStyle name="Currency 2 4 2 2 2 2 5" xfId="2340" xr:uid="{5124FDC3-B6BA-4042-B0D6-AD80453BAC78}"/>
    <cellStyle name="Currency 2 4 2 2 2 3" xfId="841" xr:uid="{00000000-0005-0000-0000-00004C030000}"/>
    <cellStyle name="Currency 2 4 2 2 2 3 2" xfId="842" xr:uid="{00000000-0005-0000-0000-00004D030000}"/>
    <cellStyle name="Currency 2 4 2 2 2 3 2 2" xfId="843" xr:uid="{00000000-0005-0000-0000-00004E030000}"/>
    <cellStyle name="Currency 2 4 2 2 2 3 2 3" xfId="2345" xr:uid="{21D64057-B45F-4071-B46D-AF6698F1C05D}"/>
    <cellStyle name="Currency 2 4 2 2 2 3 3" xfId="844" xr:uid="{00000000-0005-0000-0000-00004F030000}"/>
    <cellStyle name="Currency 2 4 2 2 2 3 4" xfId="2344" xr:uid="{1C92BB9F-F96A-4403-9706-7D7B366936A5}"/>
    <cellStyle name="Currency 2 4 2 2 2 4" xfId="845" xr:uid="{00000000-0005-0000-0000-000050030000}"/>
    <cellStyle name="Currency 2 4 2 2 2 4 2" xfId="846" xr:uid="{00000000-0005-0000-0000-000051030000}"/>
    <cellStyle name="Currency 2 4 2 2 2 4 3" xfId="2346" xr:uid="{D5BB1197-056E-4373-9593-E4255AC5BB73}"/>
    <cellStyle name="Currency 2 4 2 2 2 5" xfId="847" xr:uid="{00000000-0005-0000-0000-000052030000}"/>
    <cellStyle name="Currency 2 4 2 2 2 6" xfId="2339" xr:uid="{FD36EDF0-9B08-4F25-A3AC-35685EB12178}"/>
    <cellStyle name="Currency 2 4 2 2 3" xfId="848" xr:uid="{00000000-0005-0000-0000-000053030000}"/>
    <cellStyle name="Currency 2 4 2 2 3 2" xfId="849" xr:uid="{00000000-0005-0000-0000-000054030000}"/>
    <cellStyle name="Currency 2 4 2 2 3 2 2" xfId="850" xr:uid="{00000000-0005-0000-0000-000055030000}"/>
    <cellStyle name="Currency 2 4 2 2 3 2 2 2" xfId="851" xr:uid="{00000000-0005-0000-0000-000056030000}"/>
    <cellStyle name="Currency 2 4 2 2 3 2 2 3" xfId="2349" xr:uid="{940C8AA6-F823-4BAD-AB26-F5618952F346}"/>
    <cellStyle name="Currency 2 4 2 2 3 2 3" xfId="852" xr:uid="{00000000-0005-0000-0000-000057030000}"/>
    <cellStyle name="Currency 2 4 2 2 3 2 4" xfId="2348" xr:uid="{BEB09E46-99D9-4E72-B9E9-1897D7062BD4}"/>
    <cellStyle name="Currency 2 4 2 2 3 3" xfId="853" xr:uid="{00000000-0005-0000-0000-000058030000}"/>
    <cellStyle name="Currency 2 4 2 2 3 3 2" xfId="854" xr:uid="{00000000-0005-0000-0000-000059030000}"/>
    <cellStyle name="Currency 2 4 2 2 3 3 3" xfId="2350" xr:uid="{759FC827-82BA-46F6-9A8A-05B708EEE4BE}"/>
    <cellStyle name="Currency 2 4 2 2 3 4" xfId="855" xr:uid="{00000000-0005-0000-0000-00005A030000}"/>
    <cellStyle name="Currency 2 4 2 2 3 5" xfId="2347" xr:uid="{524F12C7-C6EC-4A7A-8DA8-0F367B3EEA61}"/>
    <cellStyle name="Currency 2 4 2 2 4" xfId="856" xr:uid="{00000000-0005-0000-0000-00005B030000}"/>
    <cellStyle name="Currency 2 4 2 2 4 2" xfId="857" xr:uid="{00000000-0005-0000-0000-00005C030000}"/>
    <cellStyle name="Currency 2 4 2 2 4 2 2" xfId="858" xr:uid="{00000000-0005-0000-0000-00005D030000}"/>
    <cellStyle name="Currency 2 4 2 2 4 2 3" xfId="2352" xr:uid="{6FB0AB01-DDAB-4019-A5B4-72A1A25C4830}"/>
    <cellStyle name="Currency 2 4 2 2 4 3" xfId="859" xr:uid="{00000000-0005-0000-0000-00005E030000}"/>
    <cellStyle name="Currency 2 4 2 2 4 4" xfId="2351" xr:uid="{B8825264-CDDA-4807-989A-29AA0A294A02}"/>
    <cellStyle name="Currency 2 4 2 2 5" xfId="860" xr:uid="{00000000-0005-0000-0000-00005F030000}"/>
    <cellStyle name="Currency 2 4 2 2 5 2" xfId="861" xr:uid="{00000000-0005-0000-0000-000060030000}"/>
    <cellStyle name="Currency 2 4 2 2 5 3" xfId="2353" xr:uid="{B7210F03-4387-4748-8F51-830ACD59623E}"/>
    <cellStyle name="Currency 2 4 2 2 6" xfId="862" xr:uid="{00000000-0005-0000-0000-000061030000}"/>
    <cellStyle name="Currency 2 4 2 2 7" xfId="2338" xr:uid="{E57A7BB1-8D4C-4E86-932F-BDD9E69E114A}"/>
    <cellStyle name="Currency 2 4 2 3" xfId="863" xr:uid="{00000000-0005-0000-0000-000062030000}"/>
    <cellStyle name="Currency 2 4 2 3 2" xfId="864" xr:uid="{00000000-0005-0000-0000-000063030000}"/>
    <cellStyle name="Currency 2 4 2 3 2 2" xfId="865" xr:uid="{00000000-0005-0000-0000-000064030000}"/>
    <cellStyle name="Currency 2 4 2 3 2 2 2" xfId="866" xr:uid="{00000000-0005-0000-0000-000065030000}"/>
    <cellStyle name="Currency 2 4 2 3 2 2 2 2" xfId="867" xr:uid="{00000000-0005-0000-0000-000066030000}"/>
    <cellStyle name="Currency 2 4 2 3 2 2 2 3" xfId="2357" xr:uid="{78B4B8CA-1E4B-4D5C-B0E9-C466BCFA02E7}"/>
    <cellStyle name="Currency 2 4 2 3 2 2 3" xfId="868" xr:uid="{00000000-0005-0000-0000-000067030000}"/>
    <cellStyle name="Currency 2 4 2 3 2 2 4" xfId="2356" xr:uid="{58EE1A4C-7123-4B4C-80B4-AE8EF6A41A1A}"/>
    <cellStyle name="Currency 2 4 2 3 2 3" xfId="869" xr:uid="{00000000-0005-0000-0000-000068030000}"/>
    <cellStyle name="Currency 2 4 2 3 2 3 2" xfId="870" xr:uid="{00000000-0005-0000-0000-000069030000}"/>
    <cellStyle name="Currency 2 4 2 3 2 3 3" xfId="2358" xr:uid="{E9F83448-53E4-4F40-B0B8-119DAA4C4BA7}"/>
    <cellStyle name="Currency 2 4 2 3 2 4" xfId="871" xr:uid="{00000000-0005-0000-0000-00006A030000}"/>
    <cellStyle name="Currency 2 4 2 3 2 5" xfId="2355" xr:uid="{994DECC9-F9EB-42B0-A705-B4202965932C}"/>
    <cellStyle name="Currency 2 4 2 3 3" xfId="872" xr:uid="{00000000-0005-0000-0000-00006B030000}"/>
    <cellStyle name="Currency 2 4 2 3 3 2" xfId="873" xr:uid="{00000000-0005-0000-0000-00006C030000}"/>
    <cellStyle name="Currency 2 4 2 3 3 2 2" xfId="874" xr:uid="{00000000-0005-0000-0000-00006D030000}"/>
    <cellStyle name="Currency 2 4 2 3 3 2 3" xfId="2360" xr:uid="{D029DBCA-B3BD-47BF-A301-1B1E9F285B17}"/>
    <cellStyle name="Currency 2 4 2 3 3 3" xfId="875" xr:uid="{00000000-0005-0000-0000-00006E030000}"/>
    <cellStyle name="Currency 2 4 2 3 3 4" xfId="2359" xr:uid="{E4DB3CFD-EEAA-4FED-9FA3-9809E358D8AD}"/>
    <cellStyle name="Currency 2 4 2 3 4" xfId="876" xr:uid="{00000000-0005-0000-0000-00006F030000}"/>
    <cellStyle name="Currency 2 4 2 3 4 2" xfId="877" xr:uid="{00000000-0005-0000-0000-000070030000}"/>
    <cellStyle name="Currency 2 4 2 3 4 3" xfId="2361" xr:uid="{845281D3-333F-4C03-AD61-961423D937C7}"/>
    <cellStyle name="Currency 2 4 2 3 5" xfId="878" xr:uid="{00000000-0005-0000-0000-000071030000}"/>
    <cellStyle name="Currency 2 4 2 3 6" xfId="2354" xr:uid="{02AB1A89-14B3-4CF8-AD11-132A78BC724C}"/>
    <cellStyle name="Currency 2 4 2 4" xfId="879" xr:uid="{00000000-0005-0000-0000-000072030000}"/>
    <cellStyle name="Currency 2 4 2 4 2" xfId="880" xr:uid="{00000000-0005-0000-0000-000073030000}"/>
    <cellStyle name="Currency 2 4 2 4 2 2" xfId="881" xr:uid="{00000000-0005-0000-0000-000074030000}"/>
    <cellStyle name="Currency 2 4 2 4 2 2 2" xfId="882" xr:uid="{00000000-0005-0000-0000-000075030000}"/>
    <cellStyle name="Currency 2 4 2 4 2 2 3" xfId="2364" xr:uid="{AC070F77-B63F-4E42-850F-ECA5AE427935}"/>
    <cellStyle name="Currency 2 4 2 4 2 3" xfId="883" xr:uid="{00000000-0005-0000-0000-000076030000}"/>
    <cellStyle name="Currency 2 4 2 4 2 4" xfId="2363" xr:uid="{03A69EC8-30AC-4673-938E-014D33AB949C}"/>
    <cellStyle name="Currency 2 4 2 4 3" xfId="884" xr:uid="{00000000-0005-0000-0000-000077030000}"/>
    <cellStyle name="Currency 2 4 2 4 3 2" xfId="885" xr:uid="{00000000-0005-0000-0000-000078030000}"/>
    <cellStyle name="Currency 2 4 2 4 3 3" xfId="2365" xr:uid="{AFC158B8-213F-4BA6-96C8-F318A7313BD8}"/>
    <cellStyle name="Currency 2 4 2 4 4" xfId="886" xr:uid="{00000000-0005-0000-0000-000079030000}"/>
    <cellStyle name="Currency 2 4 2 4 5" xfId="2362" xr:uid="{CF0D447C-3F47-49AB-B4EE-5B9664563A6A}"/>
    <cellStyle name="Currency 2 4 2 5" xfId="887" xr:uid="{00000000-0005-0000-0000-00007A030000}"/>
    <cellStyle name="Currency 2 4 2 5 2" xfId="888" xr:uid="{00000000-0005-0000-0000-00007B030000}"/>
    <cellStyle name="Currency 2 4 2 5 2 2" xfId="889" xr:uid="{00000000-0005-0000-0000-00007C030000}"/>
    <cellStyle name="Currency 2 4 2 5 2 3" xfId="2367" xr:uid="{B4257AF1-93E8-4A04-9061-3AE01486C93D}"/>
    <cellStyle name="Currency 2 4 2 5 3" xfId="890" xr:uid="{00000000-0005-0000-0000-00007D030000}"/>
    <cellStyle name="Currency 2 4 2 5 4" xfId="2366" xr:uid="{9B8E21F3-10C2-4345-9127-9CF5F55CDEFF}"/>
    <cellStyle name="Currency 2 4 2 6" xfId="891" xr:uid="{00000000-0005-0000-0000-00007E030000}"/>
    <cellStyle name="Currency 2 4 2 6 2" xfId="892" xr:uid="{00000000-0005-0000-0000-00007F030000}"/>
    <cellStyle name="Currency 2 4 2 6 3" xfId="2368" xr:uid="{6A266065-CE5B-4B89-A970-CCAC99BBE286}"/>
    <cellStyle name="Currency 2 4 2 7" xfId="893" xr:uid="{00000000-0005-0000-0000-000080030000}"/>
    <cellStyle name="Currency 2 4 2 8" xfId="2337" xr:uid="{1D7846A6-0630-4F2F-AB03-DA668F25DC3F}"/>
    <cellStyle name="Currency 2 4 3" xfId="894" xr:uid="{00000000-0005-0000-0000-000081030000}"/>
    <cellStyle name="Currency 2 4 3 2" xfId="895" xr:uid="{00000000-0005-0000-0000-000082030000}"/>
    <cellStyle name="Currency 2 4 3 2 2" xfId="896" xr:uid="{00000000-0005-0000-0000-000083030000}"/>
    <cellStyle name="Currency 2 4 3 2 2 2" xfId="897" xr:uid="{00000000-0005-0000-0000-000084030000}"/>
    <cellStyle name="Currency 2 4 3 2 2 2 2" xfId="898" xr:uid="{00000000-0005-0000-0000-000085030000}"/>
    <cellStyle name="Currency 2 4 3 2 2 2 2 2" xfId="899" xr:uid="{00000000-0005-0000-0000-000086030000}"/>
    <cellStyle name="Currency 2 4 3 2 2 2 2 3" xfId="2373" xr:uid="{1C42DE77-D39B-49CF-A7BD-1011C6F9FF06}"/>
    <cellStyle name="Currency 2 4 3 2 2 2 3" xfId="900" xr:uid="{00000000-0005-0000-0000-000087030000}"/>
    <cellStyle name="Currency 2 4 3 2 2 2 4" xfId="2372" xr:uid="{CC6DACA2-5702-4734-B3C6-8F445DE095E1}"/>
    <cellStyle name="Currency 2 4 3 2 2 3" xfId="901" xr:uid="{00000000-0005-0000-0000-000088030000}"/>
    <cellStyle name="Currency 2 4 3 2 2 3 2" xfId="902" xr:uid="{00000000-0005-0000-0000-000089030000}"/>
    <cellStyle name="Currency 2 4 3 2 2 3 3" xfId="2374" xr:uid="{DBF3BE58-1CC5-4EAB-AC26-8070685F19D9}"/>
    <cellStyle name="Currency 2 4 3 2 2 4" xfId="903" xr:uid="{00000000-0005-0000-0000-00008A030000}"/>
    <cellStyle name="Currency 2 4 3 2 2 5" xfId="2371" xr:uid="{49B6BF3E-D56F-415B-B60C-4AF88B2B7722}"/>
    <cellStyle name="Currency 2 4 3 2 3" xfId="904" xr:uid="{00000000-0005-0000-0000-00008B030000}"/>
    <cellStyle name="Currency 2 4 3 2 3 2" xfId="905" xr:uid="{00000000-0005-0000-0000-00008C030000}"/>
    <cellStyle name="Currency 2 4 3 2 3 2 2" xfId="906" xr:uid="{00000000-0005-0000-0000-00008D030000}"/>
    <cellStyle name="Currency 2 4 3 2 3 2 3" xfId="2376" xr:uid="{71D1D152-AEBD-4678-A108-01DCE098CDD6}"/>
    <cellStyle name="Currency 2 4 3 2 3 3" xfId="907" xr:uid="{00000000-0005-0000-0000-00008E030000}"/>
    <cellStyle name="Currency 2 4 3 2 3 4" xfId="2375" xr:uid="{8ABE25BA-E54A-4BA0-B57D-C6F55BB04627}"/>
    <cellStyle name="Currency 2 4 3 2 4" xfId="908" xr:uid="{00000000-0005-0000-0000-00008F030000}"/>
    <cellStyle name="Currency 2 4 3 2 4 2" xfId="909" xr:uid="{00000000-0005-0000-0000-000090030000}"/>
    <cellStyle name="Currency 2 4 3 2 4 3" xfId="2377" xr:uid="{ACFD699E-5417-4C9D-9E0D-92B187A99EC5}"/>
    <cellStyle name="Currency 2 4 3 2 5" xfId="910" xr:uid="{00000000-0005-0000-0000-000091030000}"/>
    <cellStyle name="Currency 2 4 3 2 6" xfId="2370" xr:uid="{36FADD27-7571-4B94-A334-1ADD793022DB}"/>
    <cellStyle name="Currency 2 4 3 3" xfId="911" xr:uid="{00000000-0005-0000-0000-000092030000}"/>
    <cellStyle name="Currency 2 4 3 3 2" xfId="912" xr:uid="{00000000-0005-0000-0000-000093030000}"/>
    <cellStyle name="Currency 2 4 3 3 2 2" xfId="913" xr:uid="{00000000-0005-0000-0000-000094030000}"/>
    <cellStyle name="Currency 2 4 3 3 2 2 2" xfId="914" xr:uid="{00000000-0005-0000-0000-000095030000}"/>
    <cellStyle name="Currency 2 4 3 3 2 2 3" xfId="2380" xr:uid="{C17DB9D9-E666-42C8-8D70-215318DCD3B1}"/>
    <cellStyle name="Currency 2 4 3 3 2 3" xfId="915" xr:uid="{00000000-0005-0000-0000-000096030000}"/>
    <cellStyle name="Currency 2 4 3 3 2 4" xfId="2379" xr:uid="{05B2304D-6101-4357-A3E2-90F5330F93C9}"/>
    <cellStyle name="Currency 2 4 3 3 3" xfId="916" xr:uid="{00000000-0005-0000-0000-000097030000}"/>
    <cellStyle name="Currency 2 4 3 3 3 2" xfId="917" xr:uid="{00000000-0005-0000-0000-000098030000}"/>
    <cellStyle name="Currency 2 4 3 3 3 3" xfId="2381" xr:uid="{47CC80B2-F7D8-4823-B66F-81D46B203C15}"/>
    <cellStyle name="Currency 2 4 3 3 4" xfId="918" xr:uid="{00000000-0005-0000-0000-000099030000}"/>
    <cellStyle name="Currency 2 4 3 3 5" xfId="2378" xr:uid="{338822C9-BDF3-4343-B811-1A2FC7A648DA}"/>
    <cellStyle name="Currency 2 4 3 4" xfId="919" xr:uid="{00000000-0005-0000-0000-00009A030000}"/>
    <cellStyle name="Currency 2 4 3 4 2" xfId="920" xr:uid="{00000000-0005-0000-0000-00009B030000}"/>
    <cellStyle name="Currency 2 4 3 4 2 2" xfId="921" xr:uid="{00000000-0005-0000-0000-00009C030000}"/>
    <cellStyle name="Currency 2 4 3 4 2 3" xfId="2383" xr:uid="{3B1CFA3D-F489-4141-8651-DA28C6A074F8}"/>
    <cellStyle name="Currency 2 4 3 4 3" xfId="922" xr:uid="{00000000-0005-0000-0000-00009D030000}"/>
    <cellStyle name="Currency 2 4 3 4 4" xfId="2382" xr:uid="{8DB833A4-F0C8-4236-B8D4-C69B24CD1ADC}"/>
    <cellStyle name="Currency 2 4 3 5" xfId="923" xr:uid="{00000000-0005-0000-0000-00009E030000}"/>
    <cellStyle name="Currency 2 4 3 5 2" xfId="924" xr:uid="{00000000-0005-0000-0000-00009F030000}"/>
    <cellStyle name="Currency 2 4 3 5 3" xfId="2384" xr:uid="{FE537276-7115-48C0-B408-FB631E899E17}"/>
    <cellStyle name="Currency 2 4 3 6" xfId="925" xr:uid="{00000000-0005-0000-0000-0000A0030000}"/>
    <cellStyle name="Currency 2 4 3 7" xfId="2369" xr:uid="{2738DAD5-BA8F-464C-92BB-C139B9B8C322}"/>
    <cellStyle name="Currency 2 4 4" xfId="926" xr:uid="{00000000-0005-0000-0000-0000A1030000}"/>
    <cellStyle name="Currency 2 4 4 2" xfId="927" xr:uid="{00000000-0005-0000-0000-0000A2030000}"/>
    <cellStyle name="Currency 2 4 4 2 2" xfId="928" xr:uid="{00000000-0005-0000-0000-0000A3030000}"/>
    <cellStyle name="Currency 2 4 4 2 2 2" xfId="929" xr:uid="{00000000-0005-0000-0000-0000A4030000}"/>
    <cellStyle name="Currency 2 4 4 2 2 2 2" xfId="930" xr:uid="{00000000-0005-0000-0000-0000A5030000}"/>
    <cellStyle name="Currency 2 4 4 2 2 2 3" xfId="2388" xr:uid="{3F10B9A8-7895-416E-9D6A-0F986640DAC9}"/>
    <cellStyle name="Currency 2 4 4 2 2 3" xfId="931" xr:uid="{00000000-0005-0000-0000-0000A6030000}"/>
    <cellStyle name="Currency 2 4 4 2 2 4" xfId="2387" xr:uid="{3A1AA97E-7C10-4EAE-A8C9-25F0D8705BFD}"/>
    <cellStyle name="Currency 2 4 4 2 3" xfId="932" xr:uid="{00000000-0005-0000-0000-0000A7030000}"/>
    <cellStyle name="Currency 2 4 4 2 3 2" xfId="933" xr:uid="{00000000-0005-0000-0000-0000A8030000}"/>
    <cellStyle name="Currency 2 4 4 2 3 3" xfId="2389" xr:uid="{7DF73382-85F4-440D-8DA1-970BAFB3681A}"/>
    <cellStyle name="Currency 2 4 4 2 4" xfId="934" xr:uid="{00000000-0005-0000-0000-0000A9030000}"/>
    <cellStyle name="Currency 2 4 4 2 5" xfId="2386" xr:uid="{3593CB46-2CF3-46BB-8F0E-14F75695526C}"/>
    <cellStyle name="Currency 2 4 4 3" xfId="935" xr:uid="{00000000-0005-0000-0000-0000AA030000}"/>
    <cellStyle name="Currency 2 4 4 3 2" xfId="936" xr:uid="{00000000-0005-0000-0000-0000AB030000}"/>
    <cellStyle name="Currency 2 4 4 3 2 2" xfId="937" xr:uid="{00000000-0005-0000-0000-0000AC030000}"/>
    <cellStyle name="Currency 2 4 4 3 2 3" xfId="2391" xr:uid="{8B30E9BC-4B59-496B-A399-B81BB0D649ED}"/>
    <cellStyle name="Currency 2 4 4 3 3" xfId="938" xr:uid="{00000000-0005-0000-0000-0000AD030000}"/>
    <cellStyle name="Currency 2 4 4 3 4" xfId="2390" xr:uid="{BADC6F9D-FFCB-44F4-899A-7AE4AE78D83F}"/>
    <cellStyle name="Currency 2 4 4 4" xfId="939" xr:uid="{00000000-0005-0000-0000-0000AE030000}"/>
    <cellStyle name="Currency 2 4 4 4 2" xfId="940" xr:uid="{00000000-0005-0000-0000-0000AF030000}"/>
    <cellStyle name="Currency 2 4 4 4 3" xfId="2392" xr:uid="{765D2AF3-31FD-4AB2-AC5B-E6B7B947CD11}"/>
    <cellStyle name="Currency 2 4 4 5" xfId="941" xr:uid="{00000000-0005-0000-0000-0000B0030000}"/>
    <cellStyle name="Currency 2 4 4 6" xfId="2385" xr:uid="{AECB6440-E045-4D6A-8736-7FF643D67F33}"/>
    <cellStyle name="Currency 2 4 5" xfId="942" xr:uid="{00000000-0005-0000-0000-0000B1030000}"/>
    <cellStyle name="Currency 2 4 5 2" xfId="943" xr:uid="{00000000-0005-0000-0000-0000B2030000}"/>
    <cellStyle name="Currency 2 4 5 2 2" xfId="944" xr:uid="{00000000-0005-0000-0000-0000B3030000}"/>
    <cellStyle name="Currency 2 4 5 2 2 2" xfId="945" xr:uid="{00000000-0005-0000-0000-0000B4030000}"/>
    <cellStyle name="Currency 2 4 5 2 2 3" xfId="2395" xr:uid="{9EF64853-AA41-441F-8630-2F0CFF1141EE}"/>
    <cellStyle name="Currency 2 4 5 2 3" xfId="946" xr:uid="{00000000-0005-0000-0000-0000B5030000}"/>
    <cellStyle name="Currency 2 4 5 2 4" xfId="2394" xr:uid="{55542E27-E04A-4D54-ABA1-B9F2815839EC}"/>
    <cellStyle name="Currency 2 4 5 3" xfId="947" xr:uid="{00000000-0005-0000-0000-0000B6030000}"/>
    <cellStyle name="Currency 2 4 5 3 2" xfId="948" xr:uid="{00000000-0005-0000-0000-0000B7030000}"/>
    <cellStyle name="Currency 2 4 5 3 3" xfId="2396" xr:uid="{F004FC1E-F396-4628-9F12-FEC6546B2385}"/>
    <cellStyle name="Currency 2 4 5 4" xfId="949" xr:uid="{00000000-0005-0000-0000-0000B8030000}"/>
    <cellStyle name="Currency 2 4 5 5" xfId="2393" xr:uid="{BBFD92EC-C71A-4AB2-8D52-14957A95572B}"/>
    <cellStyle name="Currency 2 4 6" xfId="950" xr:uid="{00000000-0005-0000-0000-0000B9030000}"/>
    <cellStyle name="Currency 2 4 6 2" xfId="951" xr:uid="{00000000-0005-0000-0000-0000BA030000}"/>
    <cellStyle name="Currency 2 4 6 2 2" xfId="952" xr:uid="{00000000-0005-0000-0000-0000BB030000}"/>
    <cellStyle name="Currency 2 4 6 2 3" xfId="2398" xr:uid="{1D235995-E1AD-463D-9264-9A6BAEC5D56F}"/>
    <cellStyle name="Currency 2 4 6 3" xfId="953" xr:uid="{00000000-0005-0000-0000-0000BC030000}"/>
    <cellStyle name="Currency 2 4 6 4" xfId="2397" xr:uid="{2375611B-F8BF-41F0-9D73-0C229C7C9C94}"/>
    <cellStyle name="Currency 2 4 7" xfId="954" xr:uid="{00000000-0005-0000-0000-0000BD030000}"/>
    <cellStyle name="Currency 2 4 7 2" xfId="955" xr:uid="{00000000-0005-0000-0000-0000BE030000}"/>
    <cellStyle name="Currency 2 4 7 3" xfId="2399" xr:uid="{19EA7B7D-8240-46CA-A3FD-9162142D667E}"/>
    <cellStyle name="Currency 2 4 8" xfId="956" xr:uid="{00000000-0005-0000-0000-0000BF030000}"/>
    <cellStyle name="Currency 2 4 8 2" xfId="957" xr:uid="{00000000-0005-0000-0000-0000C0030000}"/>
    <cellStyle name="Currency 2 4 8 3" xfId="2336" xr:uid="{77D12D70-FD9E-41F8-94BB-E0897E7B0390}"/>
    <cellStyle name="Currency 2 4 9" xfId="958" xr:uid="{00000000-0005-0000-0000-0000C1030000}"/>
    <cellStyle name="Currency 2 4 9 2" xfId="959" xr:uid="{00000000-0005-0000-0000-0000C2030000}"/>
    <cellStyle name="Currency 2 5" xfId="960" xr:uid="{00000000-0005-0000-0000-0000C3030000}"/>
    <cellStyle name="Currency 2 5 2" xfId="961" xr:uid="{00000000-0005-0000-0000-0000C4030000}"/>
    <cellStyle name="Currency 2 5 2 2" xfId="962" xr:uid="{00000000-0005-0000-0000-0000C5030000}"/>
    <cellStyle name="Currency 2 5 2 2 2" xfId="963" xr:uid="{00000000-0005-0000-0000-0000C6030000}"/>
    <cellStyle name="Currency 2 5 2 2 2 2" xfId="964" xr:uid="{00000000-0005-0000-0000-0000C7030000}"/>
    <cellStyle name="Currency 2 5 2 2 2 2 2" xfId="965" xr:uid="{00000000-0005-0000-0000-0000C8030000}"/>
    <cellStyle name="Currency 2 5 2 2 2 2 2 2" xfId="966" xr:uid="{00000000-0005-0000-0000-0000C9030000}"/>
    <cellStyle name="Currency 2 5 2 2 2 2 2 3" xfId="2405" xr:uid="{BAF59D54-AACD-4C4A-AB83-7DE5E97CF56D}"/>
    <cellStyle name="Currency 2 5 2 2 2 2 3" xfId="967" xr:uid="{00000000-0005-0000-0000-0000CA030000}"/>
    <cellStyle name="Currency 2 5 2 2 2 2 4" xfId="2404" xr:uid="{7ED1D4AE-E8A3-43DD-967C-2F1746B9BEC8}"/>
    <cellStyle name="Currency 2 5 2 2 2 3" xfId="968" xr:uid="{00000000-0005-0000-0000-0000CB030000}"/>
    <cellStyle name="Currency 2 5 2 2 2 3 2" xfId="969" xr:uid="{00000000-0005-0000-0000-0000CC030000}"/>
    <cellStyle name="Currency 2 5 2 2 2 3 3" xfId="2406" xr:uid="{B42AA295-7AF2-4A83-A4AC-970F8CB00D86}"/>
    <cellStyle name="Currency 2 5 2 2 2 4" xfId="970" xr:uid="{00000000-0005-0000-0000-0000CD030000}"/>
    <cellStyle name="Currency 2 5 2 2 2 5" xfId="2403" xr:uid="{9BB4CA87-1F6A-4367-9994-3CD6A08C4BAF}"/>
    <cellStyle name="Currency 2 5 2 2 3" xfId="971" xr:uid="{00000000-0005-0000-0000-0000CE030000}"/>
    <cellStyle name="Currency 2 5 2 2 3 2" xfId="972" xr:uid="{00000000-0005-0000-0000-0000CF030000}"/>
    <cellStyle name="Currency 2 5 2 2 3 2 2" xfId="973" xr:uid="{00000000-0005-0000-0000-0000D0030000}"/>
    <cellStyle name="Currency 2 5 2 2 3 2 3" xfId="2408" xr:uid="{97283EF2-1EE1-4B86-8A7A-92A33769BCBD}"/>
    <cellStyle name="Currency 2 5 2 2 3 3" xfId="974" xr:uid="{00000000-0005-0000-0000-0000D1030000}"/>
    <cellStyle name="Currency 2 5 2 2 3 4" xfId="2407" xr:uid="{892684AC-444C-4A49-B49A-0FBC361C1494}"/>
    <cellStyle name="Currency 2 5 2 2 4" xfId="975" xr:uid="{00000000-0005-0000-0000-0000D2030000}"/>
    <cellStyle name="Currency 2 5 2 2 4 2" xfId="976" xr:uid="{00000000-0005-0000-0000-0000D3030000}"/>
    <cellStyle name="Currency 2 5 2 2 4 3" xfId="2409" xr:uid="{D4E989BA-813C-4C8B-A273-903D93FCACB6}"/>
    <cellStyle name="Currency 2 5 2 2 5" xfId="977" xr:uid="{00000000-0005-0000-0000-0000D4030000}"/>
    <cellStyle name="Currency 2 5 2 2 6" xfId="2402" xr:uid="{537557E3-E075-41E1-A398-1DAF0B7983C0}"/>
    <cellStyle name="Currency 2 5 2 3" xfId="978" xr:uid="{00000000-0005-0000-0000-0000D5030000}"/>
    <cellStyle name="Currency 2 5 2 3 2" xfId="979" xr:uid="{00000000-0005-0000-0000-0000D6030000}"/>
    <cellStyle name="Currency 2 5 2 3 2 2" xfId="980" xr:uid="{00000000-0005-0000-0000-0000D7030000}"/>
    <cellStyle name="Currency 2 5 2 3 2 2 2" xfId="981" xr:uid="{00000000-0005-0000-0000-0000D8030000}"/>
    <cellStyle name="Currency 2 5 2 3 2 2 3" xfId="2412" xr:uid="{C2EA5669-8C94-4B8E-A16D-FA6D0239DB9C}"/>
    <cellStyle name="Currency 2 5 2 3 2 3" xfId="982" xr:uid="{00000000-0005-0000-0000-0000D9030000}"/>
    <cellStyle name="Currency 2 5 2 3 2 4" xfId="2411" xr:uid="{0AB2D633-3D7E-4D7C-B172-AE4BE6170961}"/>
    <cellStyle name="Currency 2 5 2 3 3" xfId="983" xr:uid="{00000000-0005-0000-0000-0000DA030000}"/>
    <cellStyle name="Currency 2 5 2 3 3 2" xfId="984" xr:uid="{00000000-0005-0000-0000-0000DB030000}"/>
    <cellStyle name="Currency 2 5 2 3 3 3" xfId="2413" xr:uid="{9ABB0429-C99F-43D3-AD77-36A528ABF1D6}"/>
    <cellStyle name="Currency 2 5 2 3 4" xfId="985" xr:uid="{00000000-0005-0000-0000-0000DC030000}"/>
    <cellStyle name="Currency 2 5 2 3 5" xfId="2410" xr:uid="{975E1C57-D86F-468B-88C3-A644BC82D12C}"/>
    <cellStyle name="Currency 2 5 2 4" xfId="986" xr:uid="{00000000-0005-0000-0000-0000DD030000}"/>
    <cellStyle name="Currency 2 5 2 4 2" xfId="987" xr:uid="{00000000-0005-0000-0000-0000DE030000}"/>
    <cellStyle name="Currency 2 5 2 4 2 2" xfId="988" xr:uid="{00000000-0005-0000-0000-0000DF030000}"/>
    <cellStyle name="Currency 2 5 2 4 2 3" xfId="2415" xr:uid="{E32CE8FE-F856-4001-8FAC-C33218450CD8}"/>
    <cellStyle name="Currency 2 5 2 4 3" xfId="989" xr:uid="{00000000-0005-0000-0000-0000E0030000}"/>
    <cellStyle name="Currency 2 5 2 4 4" xfId="2414" xr:uid="{406C5643-DFD4-43C6-A01F-98F3C604AADA}"/>
    <cellStyle name="Currency 2 5 2 5" xfId="990" xr:uid="{00000000-0005-0000-0000-0000E1030000}"/>
    <cellStyle name="Currency 2 5 2 5 2" xfId="991" xr:uid="{00000000-0005-0000-0000-0000E2030000}"/>
    <cellStyle name="Currency 2 5 2 5 3" xfId="2416" xr:uid="{38DE6F72-76CE-4E67-96E2-E1CCCC743304}"/>
    <cellStyle name="Currency 2 5 2 6" xfId="992" xr:uid="{00000000-0005-0000-0000-0000E3030000}"/>
    <cellStyle name="Currency 2 5 2 7" xfId="2401" xr:uid="{9822D30B-0FF7-41F1-8491-D4DE72C2857B}"/>
    <cellStyle name="Currency 2 5 3" xfId="993" xr:uid="{00000000-0005-0000-0000-0000E4030000}"/>
    <cellStyle name="Currency 2 5 3 2" xfId="994" xr:uid="{00000000-0005-0000-0000-0000E5030000}"/>
    <cellStyle name="Currency 2 5 3 2 2" xfId="995" xr:uid="{00000000-0005-0000-0000-0000E6030000}"/>
    <cellStyle name="Currency 2 5 3 2 2 2" xfId="996" xr:uid="{00000000-0005-0000-0000-0000E7030000}"/>
    <cellStyle name="Currency 2 5 3 2 2 2 2" xfId="997" xr:uid="{00000000-0005-0000-0000-0000E8030000}"/>
    <cellStyle name="Currency 2 5 3 2 2 2 3" xfId="2420" xr:uid="{3136B7DD-FB2A-4CE2-BD25-A1754FB9E53C}"/>
    <cellStyle name="Currency 2 5 3 2 2 3" xfId="998" xr:uid="{00000000-0005-0000-0000-0000E9030000}"/>
    <cellStyle name="Currency 2 5 3 2 2 4" xfId="2419" xr:uid="{73913035-439D-4A7A-9AA5-F600DD00C011}"/>
    <cellStyle name="Currency 2 5 3 2 3" xfId="999" xr:uid="{00000000-0005-0000-0000-0000EA030000}"/>
    <cellStyle name="Currency 2 5 3 2 3 2" xfId="1000" xr:uid="{00000000-0005-0000-0000-0000EB030000}"/>
    <cellStyle name="Currency 2 5 3 2 3 3" xfId="2421" xr:uid="{2458DACC-4C61-4DDC-8ABB-44F8176068BA}"/>
    <cellStyle name="Currency 2 5 3 2 4" xfId="1001" xr:uid="{00000000-0005-0000-0000-0000EC030000}"/>
    <cellStyle name="Currency 2 5 3 2 5" xfId="2418" xr:uid="{F7E689B4-B31E-4117-AE2B-D481C13FB452}"/>
    <cellStyle name="Currency 2 5 3 3" xfId="1002" xr:uid="{00000000-0005-0000-0000-0000ED030000}"/>
    <cellStyle name="Currency 2 5 3 3 2" xfId="1003" xr:uid="{00000000-0005-0000-0000-0000EE030000}"/>
    <cellStyle name="Currency 2 5 3 3 2 2" xfId="1004" xr:uid="{00000000-0005-0000-0000-0000EF030000}"/>
    <cellStyle name="Currency 2 5 3 3 2 3" xfId="2423" xr:uid="{80136018-37F4-4A3A-AA7F-3E95C68AA609}"/>
    <cellStyle name="Currency 2 5 3 3 3" xfId="1005" xr:uid="{00000000-0005-0000-0000-0000F0030000}"/>
    <cellStyle name="Currency 2 5 3 3 4" xfId="2422" xr:uid="{FFBB3233-A8B9-4A6E-8645-3541A86B7366}"/>
    <cellStyle name="Currency 2 5 3 4" xfId="1006" xr:uid="{00000000-0005-0000-0000-0000F1030000}"/>
    <cellStyle name="Currency 2 5 3 4 2" xfId="1007" xr:uid="{00000000-0005-0000-0000-0000F2030000}"/>
    <cellStyle name="Currency 2 5 3 4 3" xfId="2424" xr:uid="{42050E9F-EDA1-4046-A71B-CDAAEEE81298}"/>
    <cellStyle name="Currency 2 5 3 5" xfId="1008" xr:uid="{00000000-0005-0000-0000-0000F3030000}"/>
    <cellStyle name="Currency 2 5 3 6" xfId="2417" xr:uid="{FA8D332F-D85B-41B9-B51C-5F3EC1A6743B}"/>
    <cellStyle name="Currency 2 5 4" xfId="1009" xr:uid="{00000000-0005-0000-0000-0000F4030000}"/>
    <cellStyle name="Currency 2 5 4 2" xfId="1010" xr:uid="{00000000-0005-0000-0000-0000F5030000}"/>
    <cellStyle name="Currency 2 5 4 2 2" xfId="1011" xr:uid="{00000000-0005-0000-0000-0000F6030000}"/>
    <cellStyle name="Currency 2 5 4 2 2 2" xfId="1012" xr:uid="{00000000-0005-0000-0000-0000F7030000}"/>
    <cellStyle name="Currency 2 5 4 2 2 3" xfId="2427" xr:uid="{E1A1576A-D540-460A-8E29-8E4C2DA46956}"/>
    <cellStyle name="Currency 2 5 4 2 3" xfId="1013" xr:uid="{00000000-0005-0000-0000-0000F8030000}"/>
    <cellStyle name="Currency 2 5 4 2 4" xfId="2426" xr:uid="{6BF29628-6C29-497B-B8AC-4EBE3122660B}"/>
    <cellStyle name="Currency 2 5 4 3" xfId="1014" xr:uid="{00000000-0005-0000-0000-0000F9030000}"/>
    <cellStyle name="Currency 2 5 4 3 2" xfId="1015" xr:uid="{00000000-0005-0000-0000-0000FA030000}"/>
    <cellStyle name="Currency 2 5 4 3 3" xfId="2428" xr:uid="{702CABC3-1EB7-4776-A6D7-18F087436A2B}"/>
    <cellStyle name="Currency 2 5 4 4" xfId="1016" xr:uid="{00000000-0005-0000-0000-0000FB030000}"/>
    <cellStyle name="Currency 2 5 4 5" xfId="2425" xr:uid="{3AA39257-A8EF-41A1-B3C0-1F08985D400F}"/>
    <cellStyle name="Currency 2 5 5" xfId="1017" xr:uid="{00000000-0005-0000-0000-0000FC030000}"/>
    <cellStyle name="Currency 2 5 5 2" xfId="1018" xr:uid="{00000000-0005-0000-0000-0000FD030000}"/>
    <cellStyle name="Currency 2 5 5 2 2" xfId="1019" xr:uid="{00000000-0005-0000-0000-0000FE030000}"/>
    <cellStyle name="Currency 2 5 5 2 3" xfId="2430" xr:uid="{429D6DEF-8A7D-4A59-961D-0F6D6E02C747}"/>
    <cellStyle name="Currency 2 5 5 3" xfId="1020" xr:uid="{00000000-0005-0000-0000-0000FF030000}"/>
    <cellStyle name="Currency 2 5 5 4" xfId="2429" xr:uid="{0A2459A7-4468-4AE8-859E-1AA972FC9F77}"/>
    <cellStyle name="Currency 2 5 6" xfId="1021" xr:uid="{00000000-0005-0000-0000-000000040000}"/>
    <cellStyle name="Currency 2 5 6 2" xfId="1022" xr:uid="{00000000-0005-0000-0000-000001040000}"/>
    <cellStyle name="Currency 2 5 6 3" xfId="2431" xr:uid="{23EAA748-491A-436C-A117-2AA7F5588DFE}"/>
    <cellStyle name="Currency 2 5 7" xfId="1023" xr:uid="{00000000-0005-0000-0000-000002040000}"/>
    <cellStyle name="Currency 2 5 8" xfId="2400" xr:uid="{20F10D13-CBDB-4C06-9136-717A9D604482}"/>
    <cellStyle name="Currency 2 6" xfId="1024" xr:uid="{00000000-0005-0000-0000-000003040000}"/>
    <cellStyle name="Currency 2 6 2" xfId="1025" xr:uid="{00000000-0005-0000-0000-000004040000}"/>
    <cellStyle name="Currency 2 6 2 2" xfId="1026" xr:uid="{00000000-0005-0000-0000-000005040000}"/>
    <cellStyle name="Currency 2 6 2 2 2" xfId="1027" xr:uid="{00000000-0005-0000-0000-000006040000}"/>
    <cellStyle name="Currency 2 6 2 2 2 2" xfId="1028" xr:uid="{00000000-0005-0000-0000-000007040000}"/>
    <cellStyle name="Currency 2 6 2 2 2 2 2" xfId="1029" xr:uid="{00000000-0005-0000-0000-000008040000}"/>
    <cellStyle name="Currency 2 6 2 2 2 2 3" xfId="2436" xr:uid="{8C79FE2C-05FD-4F9F-81C4-3FCEBCC5786E}"/>
    <cellStyle name="Currency 2 6 2 2 2 3" xfId="1030" xr:uid="{00000000-0005-0000-0000-000009040000}"/>
    <cellStyle name="Currency 2 6 2 2 2 4" xfId="2435" xr:uid="{03CECD1A-77BD-40FB-8A6C-42D60DAD4526}"/>
    <cellStyle name="Currency 2 6 2 2 3" xfId="1031" xr:uid="{00000000-0005-0000-0000-00000A040000}"/>
    <cellStyle name="Currency 2 6 2 2 3 2" xfId="1032" xr:uid="{00000000-0005-0000-0000-00000B040000}"/>
    <cellStyle name="Currency 2 6 2 2 3 3" xfId="2437" xr:uid="{A8BEDD31-DD50-469A-B84E-6004915623A5}"/>
    <cellStyle name="Currency 2 6 2 2 4" xfId="1033" xr:uid="{00000000-0005-0000-0000-00000C040000}"/>
    <cellStyle name="Currency 2 6 2 2 5" xfId="2434" xr:uid="{44F4F040-F6E5-46DA-AD6A-86C6CD9FFE28}"/>
    <cellStyle name="Currency 2 6 2 3" xfId="1034" xr:uid="{00000000-0005-0000-0000-00000D040000}"/>
    <cellStyle name="Currency 2 6 2 3 2" xfId="1035" xr:uid="{00000000-0005-0000-0000-00000E040000}"/>
    <cellStyle name="Currency 2 6 2 3 2 2" xfId="1036" xr:uid="{00000000-0005-0000-0000-00000F040000}"/>
    <cellStyle name="Currency 2 6 2 3 2 3" xfId="2439" xr:uid="{039138D7-FD17-4403-9B32-D6B64D5F3CFE}"/>
    <cellStyle name="Currency 2 6 2 3 3" xfId="1037" xr:uid="{00000000-0005-0000-0000-000010040000}"/>
    <cellStyle name="Currency 2 6 2 3 4" xfId="2438" xr:uid="{B459C92E-D002-42B2-BFC4-C1662A98D753}"/>
    <cellStyle name="Currency 2 6 2 4" xfId="1038" xr:uid="{00000000-0005-0000-0000-000011040000}"/>
    <cellStyle name="Currency 2 6 2 4 2" xfId="1039" xr:uid="{00000000-0005-0000-0000-000012040000}"/>
    <cellStyle name="Currency 2 6 2 4 3" xfId="2440" xr:uid="{136D590C-96EA-44BC-94C3-D5437C4E0A23}"/>
    <cellStyle name="Currency 2 6 2 5" xfId="1040" xr:uid="{00000000-0005-0000-0000-000013040000}"/>
    <cellStyle name="Currency 2 6 2 6" xfId="2433" xr:uid="{4EFCC412-A7D6-4589-8E5B-18315329AC7B}"/>
    <cellStyle name="Currency 2 6 3" xfId="1041" xr:uid="{00000000-0005-0000-0000-000014040000}"/>
    <cellStyle name="Currency 2 6 3 2" xfId="1042" xr:uid="{00000000-0005-0000-0000-000015040000}"/>
    <cellStyle name="Currency 2 6 3 2 2" xfId="1043" xr:uid="{00000000-0005-0000-0000-000016040000}"/>
    <cellStyle name="Currency 2 6 3 2 2 2" xfId="1044" xr:uid="{00000000-0005-0000-0000-000017040000}"/>
    <cellStyle name="Currency 2 6 3 2 2 3" xfId="2443" xr:uid="{AB6DA677-7A35-4EE2-924B-13531E835CDC}"/>
    <cellStyle name="Currency 2 6 3 2 3" xfId="1045" xr:uid="{00000000-0005-0000-0000-000018040000}"/>
    <cellStyle name="Currency 2 6 3 2 4" xfId="2442" xr:uid="{9879444F-62AF-44BF-8BDA-FE09DFD1E641}"/>
    <cellStyle name="Currency 2 6 3 3" xfId="1046" xr:uid="{00000000-0005-0000-0000-000019040000}"/>
    <cellStyle name="Currency 2 6 3 3 2" xfId="1047" xr:uid="{00000000-0005-0000-0000-00001A040000}"/>
    <cellStyle name="Currency 2 6 3 3 3" xfId="2444" xr:uid="{E4A19DE5-16C3-4E53-9ED8-74F73F6CF8E8}"/>
    <cellStyle name="Currency 2 6 3 4" xfId="1048" xr:uid="{00000000-0005-0000-0000-00001B040000}"/>
    <cellStyle name="Currency 2 6 3 5" xfId="2441" xr:uid="{569C9152-B4FE-4FD7-8B94-B716034E4060}"/>
    <cellStyle name="Currency 2 6 4" xfId="1049" xr:uid="{00000000-0005-0000-0000-00001C040000}"/>
    <cellStyle name="Currency 2 6 4 2" xfId="1050" xr:uid="{00000000-0005-0000-0000-00001D040000}"/>
    <cellStyle name="Currency 2 6 4 2 2" xfId="1051" xr:uid="{00000000-0005-0000-0000-00001E040000}"/>
    <cellStyle name="Currency 2 6 4 2 3" xfId="2446" xr:uid="{C31B873D-4D69-4561-A582-6236D16F4E14}"/>
    <cellStyle name="Currency 2 6 4 3" xfId="1052" xr:uid="{00000000-0005-0000-0000-00001F040000}"/>
    <cellStyle name="Currency 2 6 4 4" xfId="2445" xr:uid="{C1C94250-0023-4066-8773-7B64D9F07158}"/>
    <cellStyle name="Currency 2 6 5" xfId="1053" xr:uid="{00000000-0005-0000-0000-000020040000}"/>
    <cellStyle name="Currency 2 6 5 2" xfId="1054" xr:uid="{00000000-0005-0000-0000-000021040000}"/>
    <cellStyle name="Currency 2 6 5 3" xfId="2447" xr:uid="{F4564DA6-45B2-4108-AFC3-8AC4DDC74CD3}"/>
    <cellStyle name="Currency 2 6 6" xfId="1055" xr:uid="{00000000-0005-0000-0000-000022040000}"/>
    <cellStyle name="Currency 2 6 7" xfId="2432" xr:uid="{91889B11-D749-423B-930A-01268BFEB6F4}"/>
    <cellStyle name="Currency 2 7" xfId="1056" xr:uid="{00000000-0005-0000-0000-000023040000}"/>
    <cellStyle name="Currency 2 7 2" xfId="1057" xr:uid="{00000000-0005-0000-0000-000024040000}"/>
    <cellStyle name="Currency 2 7 2 2" xfId="1058" xr:uid="{00000000-0005-0000-0000-000025040000}"/>
    <cellStyle name="Currency 2 7 2 2 2" xfId="1059" xr:uid="{00000000-0005-0000-0000-000026040000}"/>
    <cellStyle name="Currency 2 7 2 2 2 2" xfId="1060" xr:uid="{00000000-0005-0000-0000-000027040000}"/>
    <cellStyle name="Currency 2 7 2 2 2 3" xfId="2451" xr:uid="{DD4EA856-9A13-4886-AB54-8EDF369C92B6}"/>
    <cellStyle name="Currency 2 7 2 2 3" xfId="1061" xr:uid="{00000000-0005-0000-0000-000028040000}"/>
    <cellStyle name="Currency 2 7 2 2 4" xfId="2450" xr:uid="{809D6CDD-2DDC-4131-BC23-F6CFB49EF86D}"/>
    <cellStyle name="Currency 2 7 2 3" xfId="1062" xr:uid="{00000000-0005-0000-0000-000029040000}"/>
    <cellStyle name="Currency 2 7 2 3 2" xfId="1063" xr:uid="{00000000-0005-0000-0000-00002A040000}"/>
    <cellStyle name="Currency 2 7 2 3 3" xfId="2452" xr:uid="{83CD1E6E-821E-407C-9C39-39BA3FEDE5BA}"/>
    <cellStyle name="Currency 2 7 2 4" xfId="1064" xr:uid="{00000000-0005-0000-0000-00002B040000}"/>
    <cellStyle name="Currency 2 7 2 5" xfId="2449" xr:uid="{6AB57F87-4101-40EF-9DDB-754B112ADA03}"/>
    <cellStyle name="Currency 2 7 3" xfId="1065" xr:uid="{00000000-0005-0000-0000-00002C040000}"/>
    <cellStyle name="Currency 2 7 3 2" xfId="1066" xr:uid="{00000000-0005-0000-0000-00002D040000}"/>
    <cellStyle name="Currency 2 7 3 2 2" xfId="1067" xr:uid="{00000000-0005-0000-0000-00002E040000}"/>
    <cellStyle name="Currency 2 7 3 2 3" xfId="2454" xr:uid="{178E8C92-0B47-41A1-B199-E79A018F4452}"/>
    <cellStyle name="Currency 2 7 3 3" xfId="1068" xr:uid="{00000000-0005-0000-0000-00002F040000}"/>
    <cellStyle name="Currency 2 7 3 4" xfId="2453" xr:uid="{050E3E3F-180C-4413-9D5E-25527F733521}"/>
    <cellStyle name="Currency 2 7 4" xfId="1069" xr:uid="{00000000-0005-0000-0000-000030040000}"/>
    <cellStyle name="Currency 2 7 4 2" xfId="1070" xr:uid="{00000000-0005-0000-0000-000031040000}"/>
    <cellStyle name="Currency 2 7 4 3" xfId="2455" xr:uid="{9F451F6C-8919-4866-8824-F5361FA226A7}"/>
    <cellStyle name="Currency 2 7 5" xfId="1071" xr:uid="{00000000-0005-0000-0000-000032040000}"/>
    <cellStyle name="Currency 2 7 6" xfId="2448" xr:uid="{F077E5DD-2BCE-40D7-B6FB-FC8877D1DD42}"/>
    <cellStyle name="Currency 2 8" xfId="1072" xr:uid="{00000000-0005-0000-0000-000033040000}"/>
    <cellStyle name="Currency 2 8 2" xfId="1073" xr:uid="{00000000-0005-0000-0000-000034040000}"/>
    <cellStyle name="Currency 2 8 2 2" xfId="1074" xr:uid="{00000000-0005-0000-0000-000035040000}"/>
    <cellStyle name="Currency 2 8 2 2 2" xfId="1075" xr:uid="{00000000-0005-0000-0000-000036040000}"/>
    <cellStyle name="Currency 2 8 2 2 3" xfId="2458" xr:uid="{5035DE8B-0C57-4B07-AFD2-BB04F4CF6ECB}"/>
    <cellStyle name="Currency 2 8 2 3" xfId="1076" xr:uid="{00000000-0005-0000-0000-000037040000}"/>
    <cellStyle name="Currency 2 8 2 4" xfId="2457" xr:uid="{0AA4DF23-CC11-443A-A0B6-BA3CCD8FD89F}"/>
    <cellStyle name="Currency 2 8 3" xfId="1077" xr:uid="{00000000-0005-0000-0000-000038040000}"/>
    <cellStyle name="Currency 2 8 3 2" xfId="1078" xr:uid="{00000000-0005-0000-0000-000039040000}"/>
    <cellStyle name="Currency 2 8 3 3" xfId="2459" xr:uid="{FA678061-69F1-4F2D-9074-23F217D71982}"/>
    <cellStyle name="Currency 2 8 4" xfId="1079" xr:uid="{00000000-0005-0000-0000-00003A040000}"/>
    <cellStyle name="Currency 2 8 5" xfId="2456" xr:uid="{0571B95D-3AA9-43F4-ABBF-D6960E1C09B7}"/>
    <cellStyle name="Currency 2 9" xfId="1080" xr:uid="{00000000-0005-0000-0000-00003B040000}"/>
    <cellStyle name="Currency 2 9 2" xfId="1081" xr:uid="{00000000-0005-0000-0000-00003C040000}"/>
    <cellStyle name="Currency 2 9 2 2" xfId="1082" xr:uid="{00000000-0005-0000-0000-00003D040000}"/>
    <cellStyle name="Currency 2 9 2 3" xfId="2461" xr:uid="{4C2B8EAC-0F35-4FB0-9793-879CBE863F24}"/>
    <cellStyle name="Currency 2 9 3" xfId="1083" xr:uid="{00000000-0005-0000-0000-00003E040000}"/>
    <cellStyle name="Currency 2 9 4" xfId="2460" xr:uid="{0A921E8E-762C-4E30-B973-2BBBCD170AC9}"/>
    <cellStyle name="Encabezado 1" xfId="1084" builtinId="16" customBuiltin="1"/>
    <cellStyle name="Encabezado 1 2" xfId="2016" xr:uid="{024D3912-343D-4774-A2FD-64930C586CDF}"/>
    <cellStyle name="Encabezado 4" xfId="1085" builtinId="19" customBuiltin="1"/>
    <cellStyle name="Encabezado 4 2" xfId="1086" xr:uid="{00000000-0005-0000-0000-000041040000}"/>
    <cellStyle name="Encabezado 4 2 2" xfId="1087" xr:uid="{00000000-0005-0000-0000-000042040000}"/>
    <cellStyle name="Encabezado 4 3" xfId="1088" xr:uid="{00000000-0005-0000-0000-000043040000}"/>
    <cellStyle name="Encabezado 4 3 2" xfId="1089" xr:uid="{00000000-0005-0000-0000-000044040000}"/>
    <cellStyle name="Encabezado 4 4" xfId="1090" xr:uid="{00000000-0005-0000-0000-000045040000}"/>
    <cellStyle name="Encabezado 4 5" xfId="2091" xr:uid="{CCE8841B-0CE9-41C4-B03D-47D563CA90B6}"/>
    <cellStyle name="Énfasis1" xfId="1091" builtinId="29" customBuiltin="1"/>
    <cellStyle name="Énfasis1 2" xfId="1092" xr:uid="{00000000-0005-0000-0000-000046040000}"/>
    <cellStyle name="Énfasis1 2 2" xfId="1093" xr:uid="{00000000-0005-0000-0000-000047040000}"/>
    <cellStyle name="Énfasis1 3" xfId="1094" xr:uid="{00000000-0005-0000-0000-000048040000}"/>
    <cellStyle name="Énfasis1 3 2" xfId="1095" xr:uid="{00000000-0005-0000-0000-000049040000}"/>
    <cellStyle name="Énfasis1 4" xfId="1096" xr:uid="{00000000-0005-0000-0000-00004A040000}"/>
    <cellStyle name="Énfasis1 5" xfId="2030" xr:uid="{3E807B52-98C8-4906-9A12-7F9CB20A2C90}"/>
    <cellStyle name="Énfasis2" xfId="1097" builtinId="33" customBuiltin="1"/>
    <cellStyle name="Énfasis2 2" xfId="1098" xr:uid="{00000000-0005-0000-0000-00004B040000}"/>
    <cellStyle name="Énfasis2 2 2" xfId="1099" xr:uid="{00000000-0005-0000-0000-00004C040000}"/>
    <cellStyle name="Énfasis2 3" xfId="1100" xr:uid="{00000000-0005-0000-0000-00004D040000}"/>
    <cellStyle name="Énfasis2 3 2" xfId="1101" xr:uid="{00000000-0005-0000-0000-00004E040000}"/>
    <cellStyle name="Énfasis2 4" xfId="1102" xr:uid="{00000000-0005-0000-0000-00004F040000}"/>
    <cellStyle name="Énfasis2 5" xfId="2033" xr:uid="{7F20857B-DF6C-4E8A-BDF4-69D6A250F72B}"/>
    <cellStyle name="Énfasis3" xfId="1103" builtinId="37" customBuiltin="1"/>
    <cellStyle name="Énfasis3 2" xfId="1104" xr:uid="{00000000-0005-0000-0000-000050040000}"/>
    <cellStyle name="Énfasis3 2 2" xfId="1105" xr:uid="{00000000-0005-0000-0000-000051040000}"/>
    <cellStyle name="Énfasis3 3" xfId="1106" xr:uid="{00000000-0005-0000-0000-000052040000}"/>
    <cellStyle name="Énfasis3 3 2" xfId="1107" xr:uid="{00000000-0005-0000-0000-000053040000}"/>
    <cellStyle name="Énfasis3 4" xfId="1108" xr:uid="{00000000-0005-0000-0000-000054040000}"/>
    <cellStyle name="Énfasis3 5" xfId="2037" xr:uid="{A4040364-E066-4862-A998-FBB2D752DAE2}"/>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4 5" xfId="2042" xr:uid="{46C4C8BF-4B30-4A27-A517-FC822B551E5E}"/>
    <cellStyle name="Énfasis5" xfId="1115" builtinId="45" customBuiltin="1"/>
    <cellStyle name="Énfasis5 2" xfId="1116" xr:uid="{00000000-0005-0000-0000-00005A040000}"/>
    <cellStyle name="Énfasis5 2 2" xfId="1117" xr:uid="{00000000-0005-0000-0000-00005B040000}"/>
    <cellStyle name="Énfasis5 3" xfId="1118" xr:uid="{00000000-0005-0000-0000-00005C040000}"/>
    <cellStyle name="Énfasis5 3 2" xfId="1119" xr:uid="{00000000-0005-0000-0000-00005D040000}"/>
    <cellStyle name="Énfasis5 4" xfId="1120" xr:uid="{00000000-0005-0000-0000-00005E040000}"/>
    <cellStyle name="Énfasis5 5" xfId="2094" xr:uid="{A4E8722E-3706-4094-8BFF-376DCA1219E6}"/>
    <cellStyle name="Énfasis6" xfId="1121" builtinId="49" customBuiltin="1"/>
    <cellStyle name="Énfasis6 2" xfId="1122" xr:uid="{00000000-0005-0000-0000-00005F040000}"/>
    <cellStyle name="Énfasis6 2 2" xfId="1123" xr:uid="{00000000-0005-0000-0000-000060040000}"/>
    <cellStyle name="Énfasis6 3" xfId="1124" xr:uid="{00000000-0005-0000-0000-000061040000}"/>
    <cellStyle name="Énfasis6 3 2" xfId="1125" xr:uid="{00000000-0005-0000-0000-000062040000}"/>
    <cellStyle name="Énfasis6 4" xfId="1126" xr:uid="{00000000-0005-0000-0000-000063040000}"/>
    <cellStyle name="Énfasis6 5" xfId="2085" xr:uid="{CB6BD943-EB6D-4FA3-9A67-F57E0ADE40FF}"/>
    <cellStyle name="Entrada" xfId="1127" builtinId="20" customBuiltin="1"/>
    <cellStyle name="Entrada 2" xfId="1128" xr:uid="{00000000-0005-0000-0000-000064040000}"/>
    <cellStyle name="Entrada 2 2" xfId="1129" xr:uid="{00000000-0005-0000-0000-000065040000}"/>
    <cellStyle name="Entrada 2 2 2" xfId="1130" xr:uid="{00000000-0005-0000-0000-000066040000}"/>
    <cellStyle name="Entrada 3" xfId="1131" xr:uid="{00000000-0005-0000-0000-000067040000}"/>
    <cellStyle name="Entrada 3 2" xfId="1132" xr:uid="{00000000-0005-0000-0000-000068040000}"/>
    <cellStyle name="Entrada 3 2 2" xfId="1133" xr:uid="{00000000-0005-0000-0000-000069040000}"/>
    <cellStyle name="Entrada 4" xfId="1134" xr:uid="{00000000-0005-0000-0000-00006A040000}"/>
    <cellStyle name="Entrada 5" xfId="2022" xr:uid="{2FDEAEAB-91B0-4BC0-8B83-A90B53BADB41}"/>
    <cellStyle name="Excel Built-in Normal" xfId="1135" xr:uid="{00000000-0005-0000-0000-00006D040000}"/>
    <cellStyle name="Hipervínculo" xfId="1136" builtinId="8" customBuiltin="1"/>
    <cellStyle name="Hipervínculo 2" xfId="1137" xr:uid="{00000000-0005-0000-0000-00006F040000}"/>
    <cellStyle name="Hipervínculo 2 2" xfId="1138" xr:uid="{00000000-0005-0000-0000-000070040000}"/>
    <cellStyle name="Hipervínculo 2 2 2" xfId="1139" xr:uid="{00000000-0005-0000-0000-000071040000}"/>
    <cellStyle name="Hipervínculo 2 3" xfId="1999" xr:uid="{6C24B29C-03B3-4211-A563-B41D91B8EB1C}"/>
    <cellStyle name="Hipervínculo 3" xfId="1140" xr:uid="{00000000-0005-0000-0000-000072040000}"/>
    <cellStyle name="Hipervínculo 3 2" xfId="1141" xr:uid="{00000000-0005-0000-0000-000073040000}"/>
    <cellStyle name="Hipervínculo 3 3" xfId="1142" xr:uid="{00000000-0005-0000-0000-000074040000}"/>
    <cellStyle name="Hipervínculo 3 4" xfId="2032" xr:uid="{B87A1601-3233-4B79-92DA-1D976F1B0BBE}"/>
    <cellStyle name="Hipervínculo 4" xfId="1143" xr:uid="{00000000-0005-0000-0000-000075040000}"/>
    <cellStyle name="Hipervínculo 5" xfId="1144" xr:uid="{00000000-0005-0000-0000-000076040000}"/>
    <cellStyle name="Hipervínculo 6" xfId="1145" xr:uid="{00000000-0005-0000-0000-000077040000}"/>
    <cellStyle name="Incorrecto" xfId="1146" builtinId="27" customBuiltin="1"/>
    <cellStyle name="Incorrecto 2" xfId="1147" xr:uid="{00000000-0005-0000-0000-000079040000}"/>
    <cellStyle name="Incorrecto 2 2" xfId="1148" xr:uid="{00000000-0005-0000-0000-00007A040000}"/>
    <cellStyle name="Incorrecto 3" xfId="1149" xr:uid="{00000000-0005-0000-0000-00007B040000}"/>
    <cellStyle name="Incorrecto 3 2" xfId="1150" xr:uid="{00000000-0005-0000-0000-00007C040000}"/>
    <cellStyle name="Incorrecto 4" xfId="1151" xr:uid="{00000000-0005-0000-0000-00007D040000}"/>
    <cellStyle name="Incorrecto 5" xfId="2020" xr:uid="{678C0AB6-D386-4FA5-A67C-30F53362E5A5}"/>
    <cellStyle name="Millares" xfId="1152" builtinId="3"/>
    <cellStyle name="Millares [0]" xfId="1153" builtinId="6"/>
    <cellStyle name="Millares [0] 10" xfId="3036" xr:uid="{52774D35-84A3-4C35-9610-0A22C802D2EE}"/>
    <cellStyle name="Millares [0] 11" xfId="3038" xr:uid="{9ACA97AE-10D2-48F8-BA01-FA8819BC7156}"/>
    <cellStyle name="Millares [0] 12" xfId="3061" xr:uid="{5541D302-FD77-434D-8584-B19C493F777F}"/>
    <cellStyle name="Millares [0] 2" xfId="1154" xr:uid="{00000000-0005-0000-0000-00007F040000}"/>
    <cellStyle name="Millares [0] 2 2" xfId="1155" xr:uid="{00000000-0005-0000-0000-000080040000}"/>
    <cellStyle name="Millares [0] 2 2 2" xfId="1156" xr:uid="{00000000-0005-0000-0000-000081040000}"/>
    <cellStyle name="Millares [0] 2 2 2 2" xfId="1157" xr:uid="{00000000-0005-0000-0000-000082040000}"/>
    <cellStyle name="Millares [0] 2 2 3" xfId="1158" xr:uid="{00000000-0005-0000-0000-000083040000}"/>
    <cellStyle name="Millares [0] 2 3" xfId="1159" xr:uid="{00000000-0005-0000-0000-000084040000}"/>
    <cellStyle name="Millares [0] 2 3 2" xfId="1160" xr:uid="{00000000-0005-0000-0000-000085040000}"/>
    <cellStyle name="Millares [0] 2 4" xfId="1161" xr:uid="{00000000-0005-0000-0000-000086040000}"/>
    <cellStyle name="Millares [0] 3" xfId="1162" xr:uid="{00000000-0005-0000-0000-000087040000}"/>
    <cellStyle name="Millares [0] 3 2" xfId="1163" xr:uid="{00000000-0005-0000-0000-000088040000}"/>
    <cellStyle name="Millares [0] 4" xfId="1164" xr:uid="{00000000-0005-0000-0000-000089040000}"/>
    <cellStyle name="Millares [0] 4 2" xfId="1165" xr:uid="{00000000-0005-0000-0000-00008A040000}"/>
    <cellStyle name="Millares [0] 5" xfId="1166" xr:uid="{00000000-0005-0000-0000-00008B040000}"/>
    <cellStyle name="Millares [0] 6" xfId="1167" xr:uid="{00000000-0005-0000-0000-00008C040000}"/>
    <cellStyle name="Millares [0] 6 2" xfId="1168" xr:uid="{00000000-0005-0000-0000-00008D040000}"/>
    <cellStyle name="Millares [0] 7" xfId="2000" xr:uid="{35CA1447-7BD7-4FED-8291-761A73DA8798}"/>
    <cellStyle name="Millares [0] 8" xfId="2003" xr:uid="{EE465A13-B4D4-489E-AB38-DCFFC15C48C0}"/>
    <cellStyle name="Millares [0] 9" xfId="2088" xr:uid="{E4F1F1E7-5321-4026-9DE0-713626064895}"/>
    <cellStyle name="Millares 10" xfId="1169" xr:uid="{00000000-0005-0000-0000-00008E040000}"/>
    <cellStyle name="Millares 10 2" xfId="1170" xr:uid="{00000000-0005-0000-0000-00008F040000}"/>
    <cellStyle name="Millares 11" xfId="1171" xr:uid="{00000000-0005-0000-0000-000090040000}"/>
    <cellStyle name="Millares 11 2" xfId="1172" xr:uid="{00000000-0005-0000-0000-000091040000}"/>
    <cellStyle name="Millares 12" xfId="1173" xr:uid="{00000000-0005-0000-0000-000092040000}"/>
    <cellStyle name="Millares 13" xfId="1174" xr:uid="{00000000-0005-0000-0000-000093040000}"/>
    <cellStyle name="Millares 14" xfId="1175" xr:uid="{00000000-0005-0000-0000-000094040000}"/>
    <cellStyle name="Millares 15" xfId="1176" xr:uid="{00000000-0005-0000-0000-000095040000}"/>
    <cellStyle name="Millares 16" xfId="1177" xr:uid="{00000000-0005-0000-0000-000096040000}"/>
    <cellStyle name="Millares 17" xfId="1178" xr:uid="{00000000-0005-0000-0000-000097040000}"/>
    <cellStyle name="Millares 18" xfId="1179" xr:uid="{00000000-0005-0000-0000-000098040000}"/>
    <cellStyle name="Millares 19" xfId="1180" xr:uid="{00000000-0005-0000-0000-000099040000}"/>
    <cellStyle name="Millares 2" xfId="1181" xr:uid="{00000000-0005-0000-0000-00009A040000}"/>
    <cellStyle name="Millares 2 2" xfId="1182" xr:uid="{00000000-0005-0000-0000-00009B040000}"/>
    <cellStyle name="Millares 2 2 2" xfId="1183" xr:uid="{00000000-0005-0000-0000-00009C040000}"/>
    <cellStyle name="Millares 2 2 2 2" xfId="1184" xr:uid="{00000000-0005-0000-0000-00009D040000}"/>
    <cellStyle name="Millares 2 2 3" xfId="1185" xr:uid="{00000000-0005-0000-0000-00009E040000}"/>
    <cellStyle name="Millares 2 3" xfId="1186" xr:uid="{00000000-0005-0000-0000-00009F040000}"/>
    <cellStyle name="Millares 2 4" xfId="1187" xr:uid="{00000000-0005-0000-0000-0000A0040000}"/>
    <cellStyle name="Millares 2 5" xfId="1188" xr:uid="{00000000-0005-0000-0000-0000A1040000}"/>
    <cellStyle name="Millares 20" xfId="1189" xr:uid="{00000000-0005-0000-0000-0000A2040000}"/>
    <cellStyle name="Millares 21" xfId="1190" xr:uid="{00000000-0005-0000-0000-0000A3040000}"/>
    <cellStyle name="Millares 22" xfId="1191" xr:uid="{00000000-0005-0000-0000-0000A4040000}"/>
    <cellStyle name="Millares 23" xfId="1192" xr:uid="{00000000-0005-0000-0000-0000A5040000}"/>
    <cellStyle name="Millares 23 2" xfId="1193" xr:uid="{00000000-0005-0000-0000-0000A6040000}"/>
    <cellStyle name="Millares 24" xfId="1194" xr:uid="{00000000-0005-0000-0000-0000A7040000}"/>
    <cellStyle name="Millares 24 2" xfId="1195" xr:uid="{00000000-0005-0000-0000-0000A8040000}"/>
    <cellStyle name="Millares 25" xfId="1196" xr:uid="{00000000-0005-0000-0000-0000A9040000}"/>
    <cellStyle name="Millares 25 2" xfId="1197" xr:uid="{00000000-0005-0000-0000-0000AA040000}"/>
    <cellStyle name="Millares 26" xfId="1198" xr:uid="{00000000-0005-0000-0000-0000AB040000}"/>
    <cellStyle name="Millares 26 2" xfId="1199" xr:uid="{00000000-0005-0000-0000-0000AC040000}"/>
    <cellStyle name="Millares 27" xfId="2001" xr:uid="{304CFE35-E740-4107-AC96-D555DF4BBE53}"/>
    <cellStyle name="Millares 28" xfId="2084" xr:uid="{B9CBD574-A418-4DE1-A6B3-C2E95B7FC95A}"/>
    <cellStyle name="Millares 29" xfId="2093" xr:uid="{90ADDB99-3C6D-4826-A1D2-DCA2DD0A28BE}"/>
    <cellStyle name="Millares 3" xfId="1200" xr:uid="{00000000-0005-0000-0000-0000AD040000}"/>
    <cellStyle name="Millares 3 2" xfId="1201" xr:uid="{00000000-0005-0000-0000-0000AE040000}"/>
    <cellStyle name="Millares 3 2 2" xfId="1202" xr:uid="{00000000-0005-0000-0000-0000AF040000}"/>
    <cellStyle name="Millares 3 3" xfId="1203" xr:uid="{00000000-0005-0000-0000-0000B0040000}"/>
    <cellStyle name="Millares 3 4" xfId="2040" xr:uid="{A2CED791-8656-426C-9515-A1281B8B2C7F}"/>
    <cellStyle name="Millares 3 5" xfId="3045" xr:uid="{27B7339C-89E2-4C74-9AB8-E9E9E84622EC}"/>
    <cellStyle name="Millares 30" xfId="2080" xr:uid="{F63131EF-C421-4A6D-9497-00618C0E4471}"/>
    <cellStyle name="Millares 31" xfId="2090" xr:uid="{C55A3916-15A2-48CC-B134-24D6FC4E88BD}"/>
    <cellStyle name="Millares 32" xfId="2089" xr:uid="{8BF13DB7-C699-491C-B0D6-DC95F343120E}"/>
    <cellStyle name="Millares 33" xfId="3029" xr:uid="{91B0ACF0-E5EA-4A4C-8FBE-A20ABFD3D274}"/>
    <cellStyle name="Millares 34" xfId="3058" xr:uid="{EC9EC162-774B-439E-886D-4B87B6558958}"/>
    <cellStyle name="Millares 35" xfId="3059" xr:uid="{35A1B8DE-11D7-48D7-B750-3E3BAB4F1A42}"/>
    <cellStyle name="Millares 4" xfId="1204" xr:uid="{00000000-0005-0000-0000-0000B1040000}"/>
    <cellStyle name="Millares 4 2" xfId="1205" xr:uid="{00000000-0005-0000-0000-0000B2040000}"/>
    <cellStyle name="Millares 5" xfId="1206" xr:uid="{00000000-0005-0000-0000-0000B3040000}"/>
    <cellStyle name="Millares 5 2" xfId="1207" xr:uid="{00000000-0005-0000-0000-0000B4040000}"/>
    <cellStyle name="Millares 6" xfId="1208" xr:uid="{00000000-0005-0000-0000-0000B5040000}"/>
    <cellStyle name="Millares 6 2" xfId="1209" xr:uid="{00000000-0005-0000-0000-0000B6040000}"/>
    <cellStyle name="Millares 7" xfId="1210" xr:uid="{00000000-0005-0000-0000-0000B7040000}"/>
    <cellStyle name="Millares 7 2" xfId="1211" xr:uid="{00000000-0005-0000-0000-0000B8040000}"/>
    <cellStyle name="Millares 8" xfId="1212" xr:uid="{00000000-0005-0000-0000-0000B9040000}"/>
    <cellStyle name="Millares 8 2" xfId="1213" xr:uid="{00000000-0005-0000-0000-0000BA040000}"/>
    <cellStyle name="Millares 9" xfId="1214" xr:uid="{00000000-0005-0000-0000-0000BB040000}"/>
    <cellStyle name="Millares 9 2" xfId="1215" xr:uid="{00000000-0005-0000-0000-0000BC040000}"/>
    <cellStyle name="Neutral" xfId="1216" builtinId="28" customBuiltin="1"/>
    <cellStyle name="Neutral 2" xfId="1217" xr:uid="{00000000-0005-0000-0000-0000BE040000}"/>
    <cellStyle name="Neutral 2 2" xfId="1218" xr:uid="{00000000-0005-0000-0000-0000BF040000}"/>
    <cellStyle name="Neutral 2 3" xfId="1989" xr:uid="{F5F8A604-6DC4-4B55-9779-899A10A02F31}"/>
    <cellStyle name="Neutral 3" xfId="1219" xr:uid="{00000000-0005-0000-0000-0000C0040000}"/>
    <cellStyle name="Neutral 3 2" xfId="1220" xr:uid="{00000000-0005-0000-0000-0000C1040000}"/>
    <cellStyle name="Neutral 4" xfId="1221" xr:uid="{00000000-0005-0000-0000-0000C2040000}"/>
    <cellStyle name="Neutral 5" xfId="2021" xr:uid="{2DD267ED-BA13-4A80-9A05-4AD1D24EBED0}"/>
    <cellStyle name="No-definido" xfId="1222" xr:uid="{00000000-0005-0000-0000-0000C3040000}"/>
    <cellStyle name="No-definido 2" xfId="1223" xr:uid="{00000000-0005-0000-0000-0000C4040000}"/>
    <cellStyle name="Normal" xfId="0" builtinId="0"/>
    <cellStyle name="Normal 10" xfId="1224" xr:uid="{00000000-0005-0000-0000-0000C5040000}"/>
    <cellStyle name="Normal 10 2" xfId="1225" xr:uid="{00000000-0005-0000-0000-0000C6040000}"/>
    <cellStyle name="Normal 10 3" xfId="1226" xr:uid="{00000000-0005-0000-0000-0000C7040000}"/>
    <cellStyle name="Normal 10 4" xfId="1227" xr:uid="{00000000-0005-0000-0000-0000C8040000}"/>
    <cellStyle name="Normal 10 4 2" xfId="1228" xr:uid="{00000000-0005-0000-0000-0000C9040000}"/>
    <cellStyle name="Normal 10 5" xfId="3032" xr:uid="{339D8327-CD20-4522-8F0A-F3A52A511196}"/>
    <cellStyle name="Normal 11" xfId="1229" xr:uid="{00000000-0005-0000-0000-0000CA040000}"/>
    <cellStyle name="Normal 11 2" xfId="3033" xr:uid="{37BA7B13-4E74-4763-91DA-F2E14EC2ACF1}"/>
    <cellStyle name="Normal 12" xfId="1230" xr:uid="{00000000-0005-0000-0000-0000CB040000}"/>
    <cellStyle name="Normal 12 2" xfId="3034" xr:uid="{09B875B4-51B2-4F6B-B2EF-4E46586BA403}"/>
    <cellStyle name="Normal 13" xfId="1231" xr:uid="{00000000-0005-0000-0000-0000CC040000}"/>
    <cellStyle name="Normal 13 2" xfId="1232" xr:uid="{00000000-0005-0000-0000-0000CD040000}"/>
    <cellStyle name="Normal 14" xfId="1233" xr:uid="{00000000-0005-0000-0000-0000CE040000}"/>
    <cellStyle name="Normal 15" xfId="1234" xr:uid="{00000000-0005-0000-0000-0000CF040000}"/>
    <cellStyle name="Normal 16" xfId="1235" xr:uid="{00000000-0005-0000-0000-0000D0040000}"/>
    <cellStyle name="Normal 16 2" xfId="1236" xr:uid="{00000000-0005-0000-0000-0000D1040000}"/>
    <cellStyle name="Normal 17" xfId="1237" xr:uid="{00000000-0005-0000-0000-0000D2040000}"/>
    <cellStyle name="Normal 17 2" xfId="1238" xr:uid="{00000000-0005-0000-0000-0000D3040000}"/>
    <cellStyle name="Normal 17 3" xfId="1239" xr:uid="{00000000-0005-0000-0000-0000D4040000}"/>
    <cellStyle name="Normal 18" xfId="1240" xr:uid="{00000000-0005-0000-0000-0000D5040000}"/>
    <cellStyle name="Normal 18 2" xfId="1241" xr:uid="{00000000-0005-0000-0000-0000D6040000}"/>
    <cellStyle name="Normal 19" xfId="1242" xr:uid="{00000000-0005-0000-0000-0000D7040000}"/>
    <cellStyle name="Normal 19 2" xfId="1243" xr:uid="{00000000-0005-0000-0000-0000D8040000}"/>
    <cellStyle name="Normal 19 3" xfId="1244" xr:uid="{00000000-0005-0000-0000-0000D9040000}"/>
    <cellStyle name="Normal 2" xfId="1245" xr:uid="{00000000-0005-0000-0000-0000DA040000}"/>
    <cellStyle name="Normal 2 2" xfId="1246" xr:uid="{00000000-0005-0000-0000-0000DB040000}"/>
    <cellStyle name="Normal 2 2 2" xfId="1247" xr:uid="{00000000-0005-0000-0000-0000DC040000}"/>
    <cellStyle name="Normal 2 2 2 2" xfId="1248" xr:uid="{00000000-0005-0000-0000-0000DD040000}"/>
    <cellStyle name="Normal 2 2 2 3" xfId="1249" xr:uid="{00000000-0005-0000-0000-0000DE040000}"/>
    <cellStyle name="Normal 2 2 2 4" xfId="1990" xr:uid="{B2BD50CB-6101-4BD7-AAA3-55EB1E8AD776}"/>
    <cellStyle name="Normal 2 2 3" xfId="1250" xr:uid="{00000000-0005-0000-0000-0000DF040000}"/>
    <cellStyle name="Normal 2 2 4" xfId="2047" xr:uid="{18C5EBFD-093A-4991-976B-A0105092233F}"/>
    <cellStyle name="Normal 2 2 5" xfId="3046" xr:uid="{04D65303-7F53-4D07-9A0A-B70FDB15DF74}"/>
    <cellStyle name="Normal 2 3" xfId="1251" xr:uid="{00000000-0005-0000-0000-0000E0040000}"/>
    <cellStyle name="Normal 2 3 2" xfId="1252" xr:uid="{00000000-0005-0000-0000-0000E1040000}"/>
    <cellStyle name="Normal 2 3 2 2" xfId="1253" xr:uid="{00000000-0005-0000-0000-0000E2040000}"/>
    <cellStyle name="Normal 2 3 3" xfId="1254" xr:uid="{00000000-0005-0000-0000-0000E3040000}"/>
    <cellStyle name="Normal 2 3 4" xfId="1255" xr:uid="{00000000-0005-0000-0000-0000E4040000}"/>
    <cellStyle name="Normal 2 4" xfId="1256" xr:uid="{00000000-0005-0000-0000-0000E5040000}"/>
    <cellStyle name="Normal 2 4 2" xfId="1257" xr:uid="{00000000-0005-0000-0000-0000E6040000}"/>
    <cellStyle name="Normal 2 4 3" xfId="1258" xr:uid="{00000000-0005-0000-0000-0000E7040000}"/>
    <cellStyle name="Normal 2 5" xfId="1259" xr:uid="{00000000-0005-0000-0000-0000E8040000}"/>
    <cellStyle name="Normal 2 5 2" xfId="1260" xr:uid="{00000000-0005-0000-0000-0000E9040000}"/>
    <cellStyle name="Normal 2 5 3" xfId="1261" xr:uid="{00000000-0005-0000-0000-0000EA040000}"/>
    <cellStyle name="Normal 2 6" xfId="1982" xr:uid="{00000000-0005-0000-0000-0000C1070000}"/>
    <cellStyle name="Normal 20" xfId="1262" xr:uid="{00000000-0005-0000-0000-0000EB040000}"/>
    <cellStyle name="Normal 20 2" xfId="1263" xr:uid="{00000000-0005-0000-0000-0000EC040000}"/>
    <cellStyle name="Normal 20 3" xfId="1264" xr:uid="{00000000-0005-0000-0000-0000ED040000}"/>
    <cellStyle name="Normal 21" xfId="1265" xr:uid="{00000000-0005-0000-0000-0000EE040000}"/>
    <cellStyle name="Normal 21 2" xfId="1266" xr:uid="{00000000-0005-0000-0000-0000EF040000}"/>
    <cellStyle name="Normal 22" xfId="1267" xr:uid="{00000000-0005-0000-0000-0000F0040000}"/>
    <cellStyle name="Normal 22 2" xfId="1268" xr:uid="{00000000-0005-0000-0000-0000F1040000}"/>
    <cellStyle name="Normal 23" xfId="1269" xr:uid="{00000000-0005-0000-0000-0000F2040000}"/>
    <cellStyle name="Normal 24" xfId="1270" xr:uid="{00000000-0005-0000-0000-0000F3040000}"/>
    <cellStyle name="Normal 24 2" xfId="1271" xr:uid="{00000000-0005-0000-0000-0000F4040000}"/>
    <cellStyle name="Normal 25" xfId="1272" xr:uid="{00000000-0005-0000-0000-0000F5040000}"/>
    <cellStyle name="Normal 25 2" xfId="1273" xr:uid="{00000000-0005-0000-0000-0000F6040000}"/>
    <cellStyle name="Normal 26" xfId="1274" xr:uid="{00000000-0005-0000-0000-0000F7040000}"/>
    <cellStyle name="Normal 26 2" xfId="1275" xr:uid="{00000000-0005-0000-0000-0000F8040000}"/>
    <cellStyle name="Normal 27" xfId="1276" xr:uid="{00000000-0005-0000-0000-0000F9040000}"/>
    <cellStyle name="Normal 28" xfId="1983" xr:uid="{03DF3168-D494-4DB2-811B-176193B5D748}"/>
    <cellStyle name="Normal 29" xfId="1984" xr:uid="{1164D285-BD7D-4442-8C43-5811070EA8E3}"/>
    <cellStyle name="Normal 3" xfId="1277" xr:uid="{00000000-0005-0000-0000-0000FA040000}"/>
    <cellStyle name="Normal 3 2" xfId="1278" xr:uid="{00000000-0005-0000-0000-0000FB040000}"/>
    <cellStyle name="Normal 3 2 2" xfId="1279" xr:uid="{00000000-0005-0000-0000-0000FC040000}"/>
    <cellStyle name="Normal 3 2 2 2" xfId="1280" xr:uid="{00000000-0005-0000-0000-0000FD040000}"/>
    <cellStyle name="Normal 3 2 2 2 2" xfId="1993" xr:uid="{E5936FE9-057C-4645-938D-8F2B482F79C4}"/>
    <cellStyle name="Normal 3 2 2 3" xfId="1994" xr:uid="{631DFAB7-E520-4CA8-AAA4-F143148E9963}"/>
    <cellStyle name="Normal 3 2 2 4" xfId="1995" xr:uid="{065BFBE7-5137-4911-873B-EBE2446A17F7}"/>
    <cellStyle name="Normal 3 2 2 5" xfId="1996" xr:uid="{AD083736-BB9D-46DD-90F1-817B5DE84AB4}"/>
    <cellStyle name="Normal 3 2 2 6" xfId="1992" xr:uid="{A364A7C7-B9BC-4E9D-AD2C-E925F16BF2AE}"/>
    <cellStyle name="Normal 3 2 3" xfId="1281" xr:uid="{00000000-0005-0000-0000-0000FE040000}"/>
    <cellStyle name="Normal 3 2 4" xfId="1282" xr:uid="{00000000-0005-0000-0000-0000FF040000}"/>
    <cellStyle name="Normal 3 2 5" xfId="1991" xr:uid="{268DB4F5-72D8-41A3-B144-BBC1FD2A8BFF}"/>
    <cellStyle name="Normal 3 3" xfId="1283" xr:uid="{00000000-0005-0000-0000-000000050000}"/>
    <cellStyle name="Normal 3 3 2" xfId="1284" xr:uid="{00000000-0005-0000-0000-000001050000}"/>
    <cellStyle name="Normal 3 4" xfId="1285" xr:uid="{00000000-0005-0000-0000-000002050000}"/>
    <cellStyle name="Normal 3 5" xfId="1286" xr:uid="{00000000-0005-0000-0000-000003050000}"/>
    <cellStyle name="Normal 30" xfId="1985" xr:uid="{2A475D4B-ED00-4F67-943C-74512CB32A82}"/>
    <cellStyle name="Normal 31" xfId="1986" xr:uid="{080C3A6D-22A1-4B0B-B264-36C581A0836C}"/>
    <cellStyle name="Normal 32" xfId="1987" xr:uid="{6CE7DE3B-FC54-48A4-AD18-8C4B4F3FFE4F}"/>
    <cellStyle name="Normal 33" xfId="1988" xr:uid="{65E5548C-A91D-48E6-BABD-3FC8000AD105}"/>
    <cellStyle name="Normal 34" xfId="1998" xr:uid="{ACF1078D-5166-4BD9-9E80-79A668884E7F}"/>
    <cellStyle name="Normal 35" xfId="2002" xr:uid="{5BAE54D3-A8DB-4A2C-A6F8-44C8E91FE46F}"/>
    <cellStyle name="Normal 36" xfId="3035" xr:uid="{BFDC3BC0-277F-470D-8F50-0E5F0CFC3CD0}"/>
    <cellStyle name="Normal 37" xfId="3037" xr:uid="{E0EBDCDA-4735-4391-96E6-8F8267A4403D}"/>
    <cellStyle name="Normal 38" xfId="3060" xr:uid="{38143CFF-CB55-4605-9FF9-1417B0F82F94}"/>
    <cellStyle name="Normal 39" xfId="3062" xr:uid="{7DABB5FB-D1B9-4429-9B45-0284E4444E3E}"/>
    <cellStyle name="Normal 4" xfId="1287" xr:uid="{00000000-0005-0000-0000-000004050000}"/>
    <cellStyle name="Normal 4 10" xfId="1288" xr:uid="{00000000-0005-0000-0000-000005050000}"/>
    <cellStyle name="Normal 4 10 2" xfId="2462" xr:uid="{928CB59B-51FC-439C-8367-963E14919371}"/>
    <cellStyle name="Normal 4 11" xfId="1289" xr:uid="{00000000-0005-0000-0000-000006050000}"/>
    <cellStyle name="Normal 4 12" xfId="1290" xr:uid="{00000000-0005-0000-0000-000007050000}"/>
    <cellStyle name="Normal 4 13" xfId="1291" xr:uid="{00000000-0005-0000-0000-000008050000}"/>
    <cellStyle name="Normal 4 14" xfId="2086" xr:uid="{ADD27A49-D45C-4768-9D38-FD61DCC541F7}"/>
    <cellStyle name="Normal 4 2" xfId="1292" xr:uid="{00000000-0005-0000-0000-000009050000}"/>
    <cellStyle name="Normal 4 2 10" xfId="1293" xr:uid="{00000000-0005-0000-0000-00000A050000}"/>
    <cellStyle name="Normal 4 2 11" xfId="2050" xr:uid="{7F52B102-237D-4556-9750-2A79F8004D6B}"/>
    <cellStyle name="Normal 4 2 12" xfId="3047" xr:uid="{CAC9F66A-7C3A-4A3E-B8BD-96195B90C6E8}"/>
    <cellStyle name="Normal 4 2 2" xfId="1294" xr:uid="{00000000-0005-0000-0000-00000B050000}"/>
    <cellStyle name="Normal 4 2 2 2" xfId="1295" xr:uid="{00000000-0005-0000-0000-00000C050000}"/>
    <cellStyle name="Normal 4 2 2 2 2" xfId="1296" xr:uid="{00000000-0005-0000-0000-00000D050000}"/>
    <cellStyle name="Normal 4 2 2 2 2 2" xfId="1297" xr:uid="{00000000-0005-0000-0000-00000E050000}"/>
    <cellStyle name="Normal 4 2 2 2 2 2 2" xfId="1298" xr:uid="{00000000-0005-0000-0000-00000F050000}"/>
    <cellStyle name="Normal 4 2 2 2 2 2 2 2" xfId="1299" xr:uid="{00000000-0005-0000-0000-000010050000}"/>
    <cellStyle name="Normal 4 2 2 2 2 2 2 2 2" xfId="1300" xr:uid="{00000000-0005-0000-0000-000011050000}"/>
    <cellStyle name="Normal 4 2 2 2 2 2 2 2 2 2" xfId="2468" xr:uid="{CEE26DDE-C408-4012-BA10-FB9F8CD89B1E}"/>
    <cellStyle name="Normal 4 2 2 2 2 2 2 2 3" xfId="2467" xr:uid="{4186F549-6257-4311-9F14-50A2A8236A43}"/>
    <cellStyle name="Normal 4 2 2 2 2 2 2 3" xfId="1301" xr:uid="{00000000-0005-0000-0000-000012050000}"/>
    <cellStyle name="Normal 4 2 2 2 2 2 2 3 2" xfId="2469" xr:uid="{2B8A8A37-CDC5-4814-B14D-11E7801447F8}"/>
    <cellStyle name="Normal 4 2 2 2 2 2 2 4" xfId="2466" xr:uid="{A3B1F945-1F10-4D53-A1CB-3551A5637BBE}"/>
    <cellStyle name="Normal 4 2 2 2 2 2 3" xfId="1302" xr:uid="{00000000-0005-0000-0000-000013050000}"/>
    <cellStyle name="Normal 4 2 2 2 2 2 3 2" xfId="1303" xr:uid="{00000000-0005-0000-0000-000014050000}"/>
    <cellStyle name="Normal 4 2 2 2 2 2 3 2 2" xfId="2471" xr:uid="{AF20B950-1771-4708-AD1E-3CE1205D10D3}"/>
    <cellStyle name="Normal 4 2 2 2 2 2 3 3" xfId="2470" xr:uid="{CF9371B9-DE35-403C-8F5A-5167C0A4628C}"/>
    <cellStyle name="Normal 4 2 2 2 2 2 4" xfId="1304" xr:uid="{00000000-0005-0000-0000-000015050000}"/>
    <cellStyle name="Normal 4 2 2 2 2 2 4 2" xfId="2472" xr:uid="{D1E12149-5E54-4BF1-AA3A-1FE471CF896B}"/>
    <cellStyle name="Normal 4 2 2 2 2 2 5" xfId="2465" xr:uid="{3ADF17B2-B5F8-411E-A329-F53BB4E6DEF8}"/>
    <cellStyle name="Normal 4 2 2 2 2 3" xfId="1305" xr:uid="{00000000-0005-0000-0000-000016050000}"/>
    <cellStyle name="Normal 4 2 2 2 2 3 2" xfId="1306" xr:uid="{00000000-0005-0000-0000-000017050000}"/>
    <cellStyle name="Normal 4 2 2 2 2 3 2 2" xfId="1307" xr:uid="{00000000-0005-0000-0000-000018050000}"/>
    <cellStyle name="Normal 4 2 2 2 2 3 2 2 2" xfId="2475" xr:uid="{2B1180B9-CD59-4AE6-B5A5-AADBDFEDB10F}"/>
    <cellStyle name="Normal 4 2 2 2 2 3 2 3" xfId="2474" xr:uid="{B9C83C45-88F6-4B57-90F0-69A2A33AA9EB}"/>
    <cellStyle name="Normal 4 2 2 2 2 3 3" xfId="1308" xr:uid="{00000000-0005-0000-0000-000019050000}"/>
    <cellStyle name="Normal 4 2 2 2 2 3 3 2" xfId="2476" xr:uid="{0B4B4039-EC6E-4D69-B349-0C42272793B6}"/>
    <cellStyle name="Normal 4 2 2 2 2 3 4" xfId="2473" xr:uid="{EB3280F6-2701-475E-AEBB-E2FD70F2DDDA}"/>
    <cellStyle name="Normal 4 2 2 2 2 4" xfId="1309" xr:uid="{00000000-0005-0000-0000-00001A050000}"/>
    <cellStyle name="Normal 4 2 2 2 2 4 2" xfId="1310" xr:uid="{00000000-0005-0000-0000-00001B050000}"/>
    <cellStyle name="Normal 4 2 2 2 2 4 2 2" xfId="2478" xr:uid="{EFB60555-F91E-4020-8DFF-873B92172EF8}"/>
    <cellStyle name="Normal 4 2 2 2 2 4 3" xfId="2477" xr:uid="{DBE54BAC-AC3A-474E-8A88-E94A16B24264}"/>
    <cellStyle name="Normal 4 2 2 2 2 5" xfId="1311" xr:uid="{00000000-0005-0000-0000-00001C050000}"/>
    <cellStyle name="Normal 4 2 2 2 2 5 2" xfId="2479" xr:uid="{B06F93AC-C474-4B12-809B-49A467C6DDDE}"/>
    <cellStyle name="Normal 4 2 2 2 2 6" xfId="2464" xr:uid="{42D24060-7DDD-4B01-985E-7B7C085F5747}"/>
    <cellStyle name="Normal 4 2 2 2 3" xfId="1312" xr:uid="{00000000-0005-0000-0000-00001D050000}"/>
    <cellStyle name="Normal 4 2 2 2 3 2" xfId="1313" xr:uid="{00000000-0005-0000-0000-00001E050000}"/>
    <cellStyle name="Normal 4 2 2 2 3 2 2" xfId="1314" xr:uid="{00000000-0005-0000-0000-00001F050000}"/>
    <cellStyle name="Normal 4 2 2 2 3 2 2 2" xfId="1315" xr:uid="{00000000-0005-0000-0000-000020050000}"/>
    <cellStyle name="Normal 4 2 2 2 3 2 2 2 2" xfId="2483" xr:uid="{8F812044-61B2-4208-8B51-12D910552E80}"/>
    <cellStyle name="Normal 4 2 2 2 3 2 2 3" xfId="2482" xr:uid="{F402264B-EC42-40E5-A4CC-DB4CD6C75CCA}"/>
    <cellStyle name="Normal 4 2 2 2 3 2 3" xfId="1316" xr:uid="{00000000-0005-0000-0000-000021050000}"/>
    <cellStyle name="Normal 4 2 2 2 3 2 3 2" xfId="2484" xr:uid="{C2635394-57F3-4633-B29B-ADCA4E68CCEF}"/>
    <cellStyle name="Normal 4 2 2 2 3 2 4" xfId="2481" xr:uid="{FA29AA81-E2CA-4826-BDDE-5B490AD90B26}"/>
    <cellStyle name="Normal 4 2 2 2 3 3" xfId="1317" xr:uid="{00000000-0005-0000-0000-000022050000}"/>
    <cellStyle name="Normal 4 2 2 2 3 3 2" xfId="1318" xr:uid="{00000000-0005-0000-0000-000023050000}"/>
    <cellStyle name="Normal 4 2 2 2 3 3 2 2" xfId="2486" xr:uid="{AD3AC00C-2B00-4F34-86BD-7759BE3F9875}"/>
    <cellStyle name="Normal 4 2 2 2 3 3 3" xfId="2485" xr:uid="{927F6C36-8565-475F-8089-05105960B489}"/>
    <cellStyle name="Normal 4 2 2 2 3 4" xfId="1319" xr:uid="{00000000-0005-0000-0000-000024050000}"/>
    <cellStyle name="Normal 4 2 2 2 3 4 2" xfId="2487" xr:uid="{15976B85-0965-47D7-B442-231CF96C04B8}"/>
    <cellStyle name="Normal 4 2 2 2 3 5" xfId="2480" xr:uid="{14C30C7A-FD52-410C-878F-705DA72B047D}"/>
    <cellStyle name="Normal 4 2 2 2 4" xfId="1320" xr:uid="{00000000-0005-0000-0000-000025050000}"/>
    <cellStyle name="Normal 4 2 2 2 4 2" xfId="1321" xr:uid="{00000000-0005-0000-0000-000026050000}"/>
    <cellStyle name="Normal 4 2 2 2 4 2 2" xfId="1322" xr:uid="{00000000-0005-0000-0000-000027050000}"/>
    <cellStyle name="Normal 4 2 2 2 4 2 2 2" xfId="2490" xr:uid="{8C6AF6B2-1C60-472D-8FBC-A8A80FE9F578}"/>
    <cellStyle name="Normal 4 2 2 2 4 2 3" xfId="2489" xr:uid="{80AC8830-07BA-421C-89CC-5E7AC4F393AB}"/>
    <cellStyle name="Normal 4 2 2 2 4 3" xfId="1323" xr:uid="{00000000-0005-0000-0000-000028050000}"/>
    <cellStyle name="Normal 4 2 2 2 4 3 2" xfId="2491" xr:uid="{DE79B4B0-87D5-44FB-9387-9D718331BFE9}"/>
    <cellStyle name="Normal 4 2 2 2 4 4" xfId="2488" xr:uid="{EF502140-16C2-4218-A97D-7CEE3A44FB2A}"/>
    <cellStyle name="Normal 4 2 2 2 5" xfId="1324" xr:uid="{00000000-0005-0000-0000-000029050000}"/>
    <cellStyle name="Normal 4 2 2 2 5 2" xfId="1325" xr:uid="{00000000-0005-0000-0000-00002A050000}"/>
    <cellStyle name="Normal 4 2 2 2 5 2 2" xfId="2493" xr:uid="{25F3C07E-0A58-4911-BF6B-FF99CF2C9E0C}"/>
    <cellStyle name="Normal 4 2 2 2 5 3" xfId="2492" xr:uid="{D16150FB-C873-4E6D-9284-876ECD5DDF9E}"/>
    <cellStyle name="Normal 4 2 2 2 6" xfId="1326" xr:uid="{00000000-0005-0000-0000-00002B050000}"/>
    <cellStyle name="Normal 4 2 2 2 6 2" xfId="2494" xr:uid="{19522430-278D-4ED4-8391-860FB06CC8CE}"/>
    <cellStyle name="Normal 4 2 2 2 7" xfId="2463" xr:uid="{EE989A40-D518-4B5B-9286-21598C15BB79}"/>
    <cellStyle name="Normal 4 2 2 3" xfId="1327" xr:uid="{00000000-0005-0000-0000-00002C050000}"/>
    <cellStyle name="Normal 4 2 2 3 2" xfId="1328" xr:uid="{00000000-0005-0000-0000-00002D050000}"/>
    <cellStyle name="Normal 4 2 2 3 2 2" xfId="1329" xr:uid="{00000000-0005-0000-0000-00002E050000}"/>
    <cellStyle name="Normal 4 2 2 3 2 2 2" xfId="1330" xr:uid="{00000000-0005-0000-0000-00002F050000}"/>
    <cellStyle name="Normal 4 2 2 3 2 2 2 2" xfId="1331" xr:uid="{00000000-0005-0000-0000-000030050000}"/>
    <cellStyle name="Normal 4 2 2 3 2 2 2 2 2" xfId="2499" xr:uid="{AD613838-0351-4078-BD63-7D1A877CBB7D}"/>
    <cellStyle name="Normal 4 2 2 3 2 2 2 3" xfId="2498" xr:uid="{88938F2B-8379-4410-B401-380997AAF44D}"/>
    <cellStyle name="Normal 4 2 2 3 2 2 3" xfId="1332" xr:uid="{00000000-0005-0000-0000-000031050000}"/>
    <cellStyle name="Normal 4 2 2 3 2 2 3 2" xfId="2500" xr:uid="{D2C72F32-EE66-41D1-BF1D-53917B1504A6}"/>
    <cellStyle name="Normal 4 2 2 3 2 2 4" xfId="2497" xr:uid="{B450A7FD-089E-4B7D-86E1-0A0A30260F00}"/>
    <cellStyle name="Normal 4 2 2 3 2 3" xfId="1333" xr:uid="{00000000-0005-0000-0000-000032050000}"/>
    <cellStyle name="Normal 4 2 2 3 2 3 2" xfId="1334" xr:uid="{00000000-0005-0000-0000-000033050000}"/>
    <cellStyle name="Normal 4 2 2 3 2 3 2 2" xfId="2502" xr:uid="{C34DD2BD-98CF-4A8F-99D5-B1E90E3C5F10}"/>
    <cellStyle name="Normal 4 2 2 3 2 3 3" xfId="2501" xr:uid="{221E7CA9-AA6E-4414-BB4B-3E796505663B}"/>
    <cellStyle name="Normal 4 2 2 3 2 4" xfId="1335" xr:uid="{00000000-0005-0000-0000-000034050000}"/>
    <cellStyle name="Normal 4 2 2 3 2 4 2" xfId="2503" xr:uid="{CF01FBAA-FF54-4B95-8768-45CADC87A5E4}"/>
    <cellStyle name="Normal 4 2 2 3 2 5" xfId="2496" xr:uid="{9EB58BB3-1CF7-4DDA-AD7F-D2D807C66997}"/>
    <cellStyle name="Normal 4 2 2 3 3" xfId="1336" xr:uid="{00000000-0005-0000-0000-000035050000}"/>
    <cellStyle name="Normal 4 2 2 3 3 2" xfId="1337" xr:uid="{00000000-0005-0000-0000-000036050000}"/>
    <cellStyle name="Normal 4 2 2 3 3 2 2" xfId="1338" xr:uid="{00000000-0005-0000-0000-000037050000}"/>
    <cellStyle name="Normal 4 2 2 3 3 2 2 2" xfId="2506" xr:uid="{77375398-D8E9-484D-88B0-D60C8021949D}"/>
    <cellStyle name="Normal 4 2 2 3 3 2 3" xfId="2505" xr:uid="{D365A5DF-59E4-4D6A-8FB8-BC44C3A7C1A4}"/>
    <cellStyle name="Normal 4 2 2 3 3 3" xfId="1339" xr:uid="{00000000-0005-0000-0000-000038050000}"/>
    <cellStyle name="Normal 4 2 2 3 3 3 2" xfId="2507" xr:uid="{0841DCF1-CBB9-4F16-8E5A-C7CD3D8BCE32}"/>
    <cellStyle name="Normal 4 2 2 3 3 4" xfId="2504" xr:uid="{D8E1F7CF-877A-4398-9059-4E3A4A3A518B}"/>
    <cellStyle name="Normal 4 2 2 3 4" xfId="1340" xr:uid="{00000000-0005-0000-0000-000039050000}"/>
    <cellStyle name="Normal 4 2 2 3 4 2" xfId="1341" xr:uid="{00000000-0005-0000-0000-00003A050000}"/>
    <cellStyle name="Normal 4 2 2 3 4 2 2" xfId="2509" xr:uid="{BA37B053-C88D-49BF-B5CA-9B6F73BCF98F}"/>
    <cellStyle name="Normal 4 2 2 3 4 3" xfId="2508" xr:uid="{B528385E-FFEE-4791-9005-05FF7420512E}"/>
    <cellStyle name="Normal 4 2 2 3 5" xfId="1342" xr:uid="{00000000-0005-0000-0000-00003B050000}"/>
    <cellStyle name="Normal 4 2 2 3 5 2" xfId="2510" xr:uid="{D8DA44D9-5545-482A-8EE3-E89FC26AE6E7}"/>
    <cellStyle name="Normal 4 2 2 3 6" xfId="2495" xr:uid="{84F4DC6E-4FAF-4A22-B071-72AF2B420031}"/>
    <cellStyle name="Normal 4 2 2 4" xfId="1343" xr:uid="{00000000-0005-0000-0000-00003C050000}"/>
    <cellStyle name="Normal 4 2 2 4 2" xfId="1344" xr:uid="{00000000-0005-0000-0000-00003D050000}"/>
    <cellStyle name="Normal 4 2 2 4 2 2" xfId="1345" xr:uid="{00000000-0005-0000-0000-00003E050000}"/>
    <cellStyle name="Normal 4 2 2 4 2 2 2" xfId="1346" xr:uid="{00000000-0005-0000-0000-00003F050000}"/>
    <cellStyle name="Normal 4 2 2 4 2 2 2 2" xfId="2514" xr:uid="{2D704A37-220B-407B-B3FD-3494DA31DDB7}"/>
    <cellStyle name="Normal 4 2 2 4 2 2 3" xfId="2513" xr:uid="{23B55C0D-14C4-41E9-A4F7-2B3FB4CC7B48}"/>
    <cellStyle name="Normal 4 2 2 4 2 3" xfId="1347" xr:uid="{00000000-0005-0000-0000-000040050000}"/>
    <cellStyle name="Normal 4 2 2 4 2 3 2" xfId="2515" xr:uid="{C9D671D8-5DEF-4B51-AEA4-02A791418B1D}"/>
    <cellStyle name="Normal 4 2 2 4 2 4" xfId="2512" xr:uid="{E667078F-76BC-4852-AC95-DB17AE0AAC3C}"/>
    <cellStyle name="Normal 4 2 2 4 3" xfId="1348" xr:uid="{00000000-0005-0000-0000-000041050000}"/>
    <cellStyle name="Normal 4 2 2 4 3 2" xfId="1349" xr:uid="{00000000-0005-0000-0000-000042050000}"/>
    <cellStyle name="Normal 4 2 2 4 3 2 2" xfId="2517" xr:uid="{0EA4ABCE-A42D-40A1-939B-73563ACC4A74}"/>
    <cellStyle name="Normal 4 2 2 4 3 3" xfId="2516" xr:uid="{91AA5041-0443-48D5-B8C4-06E0781ABAF1}"/>
    <cellStyle name="Normal 4 2 2 4 4" xfId="1350" xr:uid="{00000000-0005-0000-0000-000043050000}"/>
    <cellStyle name="Normal 4 2 2 4 4 2" xfId="2518" xr:uid="{2523E424-1910-4C23-8331-3DA84B473E61}"/>
    <cellStyle name="Normal 4 2 2 4 5" xfId="2511" xr:uid="{5D1C803B-D6A0-4CF4-9440-4CD114661AF4}"/>
    <cellStyle name="Normal 4 2 2 5" xfId="1351" xr:uid="{00000000-0005-0000-0000-000044050000}"/>
    <cellStyle name="Normal 4 2 2 5 2" xfId="1352" xr:uid="{00000000-0005-0000-0000-000045050000}"/>
    <cellStyle name="Normal 4 2 2 5 2 2" xfId="1353" xr:uid="{00000000-0005-0000-0000-000046050000}"/>
    <cellStyle name="Normal 4 2 2 5 2 2 2" xfId="2521" xr:uid="{F2BA5E72-9F52-4B48-A45E-555C2628D4E4}"/>
    <cellStyle name="Normal 4 2 2 5 2 3" xfId="2520" xr:uid="{EDB7E288-5C4E-4E53-BFE1-ACBC222C25CF}"/>
    <cellStyle name="Normal 4 2 2 5 3" xfId="1354" xr:uid="{00000000-0005-0000-0000-000047050000}"/>
    <cellStyle name="Normal 4 2 2 5 3 2" xfId="2522" xr:uid="{4B364655-D91E-4370-9355-B693E87E668B}"/>
    <cellStyle name="Normal 4 2 2 5 4" xfId="2519" xr:uid="{CDA7AE09-AF85-46D4-BCB7-F21DAB6E04F8}"/>
    <cellStyle name="Normal 4 2 2 6" xfId="1355" xr:uid="{00000000-0005-0000-0000-000048050000}"/>
    <cellStyle name="Normal 4 2 2 6 2" xfId="1356" xr:uid="{00000000-0005-0000-0000-000049050000}"/>
    <cellStyle name="Normal 4 2 2 6 2 2" xfId="2524" xr:uid="{D595E234-3A80-4889-8E8D-966B82586677}"/>
    <cellStyle name="Normal 4 2 2 6 3" xfId="2523" xr:uid="{B0D7A122-D273-4F8B-9FAA-91B1C1FC9362}"/>
    <cellStyle name="Normal 4 2 2 7" xfId="1357" xr:uid="{00000000-0005-0000-0000-00004A050000}"/>
    <cellStyle name="Normal 4 2 2 7 2" xfId="2525" xr:uid="{917B5FC4-7DDC-4848-8464-75FB0FF3D227}"/>
    <cellStyle name="Normal 4 2 2 8" xfId="2051" xr:uid="{37AF2F37-5CCB-4494-81BB-01BDCE208E13}"/>
    <cellStyle name="Normal 4 2 2 9" xfId="3048" xr:uid="{46FEC055-E2E5-4268-8D5C-C355151341F4}"/>
    <cellStyle name="Normal 4 2 3" xfId="1358" xr:uid="{00000000-0005-0000-0000-00004B050000}"/>
    <cellStyle name="Normal 4 2 3 2" xfId="1359" xr:uid="{00000000-0005-0000-0000-00004C050000}"/>
    <cellStyle name="Normal 4 2 3 2 2" xfId="1360" xr:uid="{00000000-0005-0000-0000-00004D050000}"/>
    <cellStyle name="Normal 4 2 3 2 2 2" xfId="1361" xr:uid="{00000000-0005-0000-0000-00004E050000}"/>
    <cellStyle name="Normal 4 2 3 2 2 2 2" xfId="1362" xr:uid="{00000000-0005-0000-0000-00004F050000}"/>
    <cellStyle name="Normal 4 2 3 2 2 2 2 2" xfId="1363" xr:uid="{00000000-0005-0000-0000-000050050000}"/>
    <cellStyle name="Normal 4 2 3 2 2 2 2 2 2" xfId="1364" xr:uid="{00000000-0005-0000-0000-000051050000}"/>
    <cellStyle name="Normal 4 2 3 2 2 2 2 2 2 2" xfId="2531" xr:uid="{35A8D586-36CC-4929-A210-6092E1AE13F7}"/>
    <cellStyle name="Normal 4 2 3 2 2 2 2 2 3" xfId="2530" xr:uid="{FBA25B17-D4EF-4D29-948B-2D18FC5D5669}"/>
    <cellStyle name="Normal 4 2 3 2 2 2 2 3" xfId="1365" xr:uid="{00000000-0005-0000-0000-000052050000}"/>
    <cellStyle name="Normal 4 2 3 2 2 2 2 3 2" xfId="2532" xr:uid="{8FE21D45-019D-476C-913C-9C72B1D26722}"/>
    <cellStyle name="Normal 4 2 3 2 2 2 2 4" xfId="2529" xr:uid="{6EFEB51A-52D4-4ED8-A1A4-6609BC7CD6CE}"/>
    <cellStyle name="Normal 4 2 3 2 2 2 3" xfId="1366" xr:uid="{00000000-0005-0000-0000-000053050000}"/>
    <cellStyle name="Normal 4 2 3 2 2 2 3 2" xfId="1367" xr:uid="{00000000-0005-0000-0000-000054050000}"/>
    <cellStyle name="Normal 4 2 3 2 2 2 3 2 2" xfId="2534" xr:uid="{E2FCAFA7-2EF0-49B5-9EAA-2F6EEE7F2B91}"/>
    <cellStyle name="Normal 4 2 3 2 2 2 3 3" xfId="2533" xr:uid="{386846A3-73DC-4F8D-AF06-9E30AA2024BD}"/>
    <cellStyle name="Normal 4 2 3 2 2 2 4" xfId="1368" xr:uid="{00000000-0005-0000-0000-000055050000}"/>
    <cellStyle name="Normal 4 2 3 2 2 2 4 2" xfId="2535" xr:uid="{F1886991-5385-4A01-9570-123ACED97CA1}"/>
    <cellStyle name="Normal 4 2 3 2 2 2 5" xfId="2528" xr:uid="{5F65D005-F9E7-42A7-934F-6593290787EF}"/>
    <cellStyle name="Normal 4 2 3 2 2 3" xfId="1369" xr:uid="{00000000-0005-0000-0000-000056050000}"/>
    <cellStyle name="Normal 4 2 3 2 2 3 2" xfId="1370" xr:uid="{00000000-0005-0000-0000-000057050000}"/>
    <cellStyle name="Normal 4 2 3 2 2 3 2 2" xfId="1371" xr:uid="{00000000-0005-0000-0000-000058050000}"/>
    <cellStyle name="Normal 4 2 3 2 2 3 2 2 2" xfId="2538" xr:uid="{0F75A1F6-FC76-4C3F-BA4C-0C99DEC94AA2}"/>
    <cellStyle name="Normal 4 2 3 2 2 3 2 3" xfId="2537" xr:uid="{7A2EFC2F-EA46-4827-9E11-8DF7F66BD812}"/>
    <cellStyle name="Normal 4 2 3 2 2 3 3" xfId="1372" xr:uid="{00000000-0005-0000-0000-000059050000}"/>
    <cellStyle name="Normal 4 2 3 2 2 3 3 2" xfId="2539" xr:uid="{EE518EA7-E3E9-4034-B5B0-89C3DB8020D7}"/>
    <cellStyle name="Normal 4 2 3 2 2 3 4" xfId="2536" xr:uid="{5160850E-5749-4971-BC25-2030DE2BC0C3}"/>
    <cellStyle name="Normal 4 2 3 2 2 4" xfId="1373" xr:uid="{00000000-0005-0000-0000-00005A050000}"/>
    <cellStyle name="Normal 4 2 3 2 2 4 2" xfId="1374" xr:uid="{00000000-0005-0000-0000-00005B050000}"/>
    <cellStyle name="Normal 4 2 3 2 2 4 2 2" xfId="2541" xr:uid="{7A070C7F-463D-43C8-B94F-08C244D46594}"/>
    <cellStyle name="Normal 4 2 3 2 2 4 3" xfId="2540" xr:uid="{AC0FB59A-E7D5-48F5-9DAB-14282BE02DAF}"/>
    <cellStyle name="Normal 4 2 3 2 2 5" xfId="1375" xr:uid="{00000000-0005-0000-0000-00005C050000}"/>
    <cellStyle name="Normal 4 2 3 2 2 5 2" xfId="2542" xr:uid="{B41294A0-244D-4447-B9E3-DAAE755C74E1}"/>
    <cellStyle name="Normal 4 2 3 2 2 6" xfId="2527" xr:uid="{8945FE41-124D-4D9B-9BCA-8704BDDF76D4}"/>
    <cellStyle name="Normal 4 2 3 2 3" xfId="1376" xr:uid="{00000000-0005-0000-0000-00005D050000}"/>
    <cellStyle name="Normal 4 2 3 2 3 2" xfId="1377" xr:uid="{00000000-0005-0000-0000-00005E050000}"/>
    <cellStyle name="Normal 4 2 3 2 3 2 2" xfId="1378" xr:uid="{00000000-0005-0000-0000-00005F050000}"/>
    <cellStyle name="Normal 4 2 3 2 3 2 2 2" xfId="1379" xr:uid="{00000000-0005-0000-0000-000060050000}"/>
    <cellStyle name="Normal 4 2 3 2 3 2 2 2 2" xfId="2546" xr:uid="{F06785A3-735E-4920-AAD6-673FFF3EFFAC}"/>
    <cellStyle name="Normal 4 2 3 2 3 2 2 3" xfId="2545" xr:uid="{FFE9A0D0-1D78-45C7-AA37-C1D6E5E716E2}"/>
    <cellStyle name="Normal 4 2 3 2 3 2 3" xfId="1380" xr:uid="{00000000-0005-0000-0000-000061050000}"/>
    <cellStyle name="Normal 4 2 3 2 3 2 3 2" xfId="2547" xr:uid="{0BFEF812-3F25-4AC7-8652-D4954D9ED14D}"/>
    <cellStyle name="Normal 4 2 3 2 3 2 4" xfId="2544" xr:uid="{40476C63-380C-4140-8219-8648C7549710}"/>
    <cellStyle name="Normal 4 2 3 2 3 3" xfId="1381" xr:uid="{00000000-0005-0000-0000-000062050000}"/>
    <cellStyle name="Normal 4 2 3 2 3 3 2" xfId="1382" xr:uid="{00000000-0005-0000-0000-000063050000}"/>
    <cellStyle name="Normal 4 2 3 2 3 3 2 2" xfId="2549" xr:uid="{FFB76398-401E-4BAD-9A0F-D3A0FCF354A1}"/>
    <cellStyle name="Normal 4 2 3 2 3 3 3" xfId="2548" xr:uid="{AE523DF6-0890-4E23-9355-64B7CA350CAF}"/>
    <cellStyle name="Normal 4 2 3 2 3 4" xfId="1383" xr:uid="{00000000-0005-0000-0000-000064050000}"/>
    <cellStyle name="Normal 4 2 3 2 3 4 2" xfId="2550" xr:uid="{7BC95AD1-1817-4FB5-BBF7-527A41B3F858}"/>
    <cellStyle name="Normal 4 2 3 2 3 5" xfId="2543" xr:uid="{78ABB1CA-42EF-42CA-BF0D-A47826DB31DB}"/>
    <cellStyle name="Normal 4 2 3 2 4" xfId="1384" xr:uid="{00000000-0005-0000-0000-000065050000}"/>
    <cellStyle name="Normal 4 2 3 2 4 2" xfId="1385" xr:uid="{00000000-0005-0000-0000-000066050000}"/>
    <cellStyle name="Normal 4 2 3 2 4 2 2" xfId="1386" xr:uid="{00000000-0005-0000-0000-000067050000}"/>
    <cellStyle name="Normal 4 2 3 2 4 2 2 2" xfId="2553" xr:uid="{67D00705-D662-434E-A862-65793B2F489B}"/>
    <cellStyle name="Normal 4 2 3 2 4 2 3" xfId="2552" xr:uid="{06EFB371-B673-483B-8783-2B8F315733D7}"/>
    <cellStyle name="Normal 4 2 3 2 4 3" xfId="1387" xr:uid="{00000000-0005-0000-0000-000068050000}"/>
    <cellStyle name="Normal 4 2 3 2 4 3 2" xfId="2554" xr:uid="{199A8DB3-0965-47BA-B4E8-B97B5E0C8CB9}"/>
    <cellStyle name="Normal 4 2 3 2 4 4" xfId="2551" xr:uid="{79DAE0D9-596B-4185-AB67-D463B18E0E91}"/>
    <cellStyle name="Normal 4 2 3 2 5" xfId="1388" xr:uid="{00000000-0005-0000-0000-000069050000}"/>
    <cellStyle name="Normal 4 2 3 2 5 2" xfId="1389" xr:uid="{00000000-0005-0000-0000-00006A050000}"/>
    <cellStyle name="Normal 4 2 3 2 5 2 2" xfId="2556" xr:uid="{17F45E44-8EF7-4011-B3C1-475D616333AA}"/>
    <cellStyle name="Normal 4 2 3 2 5 3" xfId="2555" xr:uid="{52763C97-4724-4512-A36C-6334AB410F49}"/>
    <cellStyle name="Normal 4 2 3 2 6" xfId="1390" xr:uid="{00000000-0005-0000-0000-00006B050000}"/>
    <cellStyle name="Normal 4 2 3 2 6 2" xfId="2557" xr:uid="{C6EF4614-5023-4DDF-99A7-C7FB62580220}"/>
    <cellStyle name="Normal 4 2 3 2 7" xfId="2526" xr:uid="{BFBC0B07-B9F8-45C8-928C-F701796EFEE6}"/>
    <cellStyle name="Normal 4 2 3 3" xfId="1391" xr:uid="{00000000-0005-0000-0000-00006C050000}"/>
    <cellStyle name="Normal 4 2 3 3 2" xfId="1392" xr:uid="{00000000-0005-0000-0000-00006D050000}"/>
    <cellStyle name="Normal 4 2 3 3 2 2" xfId="1393" xr:uid="{00000000-0005-0000-0000-00006E050000}"/>
    <cellStyle name="Normal 4 2 3 3 2 2 2" xfId="1394" xr:uid="{00000000-0005-0000-0000-00006F050000}"/>
    <cellStyle name="Normal 4 2 3 3 2 2 2 2" xfId="1395" xr:uid="{00000000-0005-0000-0000-000070050000}"/>
    <cellStyle name="Normal 4 2 3 3 2 2 2 2 2" xfId="2562" xr:uid="{5D3EC202-D73A-47E6-8966-6C90C3848EDA}"/>
    <cellStyle name="Normal 4 2 3 3 2 2 2 3" xfId="2561" xr:uid="{0D2ECE1E-658D-4DA5-9ABB-D569AB7D114C}"/>
    <cellStyle name="Normal 4 2 3 3 2 2 3" xfId="1396" xr:uid="{00000000-0005-0000-0000-000071050000}"/>
    <cellStyle name="Normal 4 2 3 3 2 2 3 2" xfId="2563" xr:uid="{4F60994C-F47B-4970-8561-B1FF44DF202E}"/>
    <cellStyle name="Normal 4 2 3 3 2 2 4" xfId="2560" xr:uid="{74ACC0D1-E31A-470E-BE9B-51F4E7E7D3BA}"/>
    <cellStyle name="Normal 4 2 3 3 2 3" xfId="1397" xr:uid="{00000000-0005-0000-0000-000072050000}"/>
    <cellStyle name="Normal 4 2 3 3 2 3 2" xfId="1398" xr:uid="{00000000-0005-0000-0000-000073050000}"/>
    <cellStyle name="Normal 4 2 3 3 2 3 2 2" xfId="2565" xr:uid="{3ECE2F77-1E77-4679-AF13-62A3BAE3AEB4}"/>
    <cellStyle name="Normal 4 2 3 3 2 3 3" xfId="2564" xr:uid="{54479154-94EA-4DFF-841D-06E413B93A23}"/>
    <cellStyle name="Normal 4 2 3 3 2 4" xfId="1399" xr:uid="{00000000-0005-0000-0000-000074050000}"/>
    <cellStyle name="Normal 4 2 3 3 2 4 2" xfId="2566" xr:uid="{74187517-9A47-4E02-9A6F-BA6D57D91C2D}"/>
    <cellStyle name="Normal 4 2 3 3 2 5" xfId="2559" xr:uid="{EA8F9553-A5B5-4372-A569-9BC6A50DB293}"/>
    <cellStyle name="Normal 4 2 3 3 3" xfId="1400" xr:uid="{00000000-0005-0000-0000-000075050000}"/>
    <cellStyle name="Normal 4 2 3 3 3 2" xfId="1401" xr:uid="{00000000-0005-0000-0000-000076050000}"/>
    <cellStyle name="Normal 4 2 3 3 3 2 2" xfId="1402" xr:uid="{00000000-0005-0000-0000-000077050000}"/>
    <cellStyle name="Normal 4 2 3 3 3 2 2 2" xfId="2569" xr:uid="{EFF95271-EB02-43D9-8CA8-B08FCD73A4CB}"/>
    <cellStyle name="Normal 4 2 3 3 3 2 3" xfId="2568" xr:uid="{288E40BF-38C2-4F42-859D-B0364798D23A}"/>
    <cellStyle name="Normal 4 2 3 3 3 3" xfId="1403" xr:uid="{00000000-0005-0000-0000-000078050000}"/>
    <cellStyle name="Normal 4 2 3 3 3 3 2" xfId="2570" xr:uid="{CC4DE154-5C75-4185-9F3F-28E78ACE6609}"/>
    <cellStyle name="Normal 4 2 3 3 3 4" xfId="2567" xr:uid="{AFF509A8-0C7D-44A5-A894-8006DBA59B17}"/>
    <cellStyle name="Normal 4 2 3 3 4" xfId="1404" xr:uid="{00000000-0005-0000-0000-000079050000}"/>
    <cellStyle name="Normal 4 2 3 3 4 2" xfId="1405" xr:uid="{00000000-0005-0000-0000-00007A050000}"/>
    <cellStyle name="Normal 4 2 3 3 4 2 2" xfId="2572" xr:uid="{0B96D4C0-1A24-4A85-8196-CB53AC7D436B}"/>
    <cellStyle name="Normal 4 2 3 3 4 3" xfId="2571" xr:uid="{6E5D3A8D-D525-4C53-8C57-0179A2085F43}"/>
    <cellStyle name="Normal 4 2 3 3 5" xfId="1406" xr:uid="{00000000-0005-0000-0000-00007B050000}"/>
    <cellStyle name="Normal 4 2 3 3 5 2" xfId="2573" xr:uid="{BD7BA046-1180-44E1-A941-B5BEB00CB99D}"/>
    <cellStyle name="Normal 4 2 3 3 6" xfId="2558" xr:uid="{FCE5A061-12CD-46C3-A178-7788C73E187C}"/>
    <cellStyle name="Normal 4 2 3 4" xfId="1407" xr:uid="{00000000-0005-0000-0000-00007C050000}"/>
    <cellStyle name="Normal 4 2 3 4 2" xfId="1408" xr:uid="{00000000-0005-0000-0000-00007D050000}"/>
    <cellStyle name="Normal 4 2 3 4 2 2" xfId="1409" xr:uid="{00000000-0005-0000-0000-00007E050000}"/>
    <cellStyle name="Normal 4 2 3 4 2 2 2" xfId="1410" xr:uid="{00000000-0005-0000-0000-00007F050000}"/>
    <cellStyle name="Normal 4 2 3 4 2 2 2 2" xfId="2577" xr:uid="{4A992458-A1F6-445D-8AB2-84146AB4D35C}"/>
    <cellStyle name="Normal 4 2 3 4 2 2 3" xfId="2576" xr:uid="{914B30FD-44E7-4613-BF65-C05AB591950B}"/>
    <cellStyle name="Normal 4 2 3 4 2 3" xfId="1411" xr:uid="{00000000-0005-0000-0000-000080050000}"/>
    <cellStyle name="Normal 4 2 3 4 2 3 2" xfId="2578" xr:uid="{891EE186-F91D-4F42-A5DE-8C5539E1629B}"/>
    <cellStyle name="Normal 4 2 3 4 2 4" xfId="2575" xr:uid="{3C045ABA-BA99-4756-B6E9-0B2DDE8AC5AF}"/>
    <cellStyle name="Normal 4 2 3 4 3" xfId="1412" xr:uid="{00000000-0005-0000-0000-000081050000}"/>
    <cellStyle name="Normal 4 2 3 4 3 2" xfId="1413" xr:uid="{00000000-0005-0000-0000-000082050000}"/>
    <cellStyle name="Normal 4 2 3 4 3 2 2" xfId="2580" xr:uid="{A26A8618-0854-499C-BC31-1D3979ACF2F0}"/>
    <cellStyle name="Normal 4 2 3 4 3 3" xfId="2579" xr:uid="{CD586756-42B5-4BD1-B3F1-019A62CA7D59}"/>
    <cellStyle name="Normal 4 2 3 4 4" xfId="1414" xr:uid="{00000000-0005-0000-0000-000083050000}"/>
    <cellStyle name="Normal 4 2 3 4 4 2" xfId="2581" xr:uid="{1D81A930-D889-4D8C-B0B2-D93F576537F2}"/>
    <cellStyle name="Normal 4 2 3 4 5" xfId="2574" xr:uid="{D75C3014-E6F5-443D-BE21-AEA3158EF408}"/>
    <cellStyle name="Normal 4 2 3 5" xfId="1415" xr:uid="{00000000-0005-0000-0000-000084050000}"/>
    <cellStyle name="Normal 4 2 3 5 2" xfId="1416" xr:uid="{00000000-0005-0000-0000-000085050000}"/>
    <cellStyle name="Normal 4 2 3 5 2 2" xfId="1417" xr:uid="{00000000-0005-0000-0000-000086050000}"/>
    <cellStyle name="Normal 4 2 3 5 2 2 2" xfId="2584" xr:uid="{460CC1C2-F6F5-4B8C-BA50-8F5D0124190F}"/>
    <cellStyle name="Normal 4 2 3 5 2 3" xfId="2583" xr:uid="{7798E009-E552-425B-A5BF-F69740FC2301}"/>
    <cellStyle name="Normal 4 2 3 5 3" xfId="1418" xr:uid="{00000000-0005-0000-0000-000087050000}"/>
    <cellStyle name="Normal 4 2 3 5 3 2" xfId="2585" xr:uid="{B6E341F2-986E-4730-97BC-F61B31373A49}"/>
    <cellStyle name="Normal 4 2 3 5 4" xfId="2582" xr:uid="{84792C4F-B31A-4438-93FD-635DE5558859}"/>
    <cellStyle name="Normal 4 2 3 6" xfId="1419" xr:uid="{00000000-0005-0000-0000-000088050000}"/>
    <cellStyle name="Normal 4 2 3 6 2" xfId="1420" xr:uid="{00000000-0005-0000-0000-000089050000}"/>
    <cellStyle name="Normal 4 2 3 6 2 2" xfId="2587" xr:uid="{6E96A877-0EE6-44BD-9D68-C38DE9BF84DB}"/>
    <cellStyle name="Normal 4 2 3 6 3" xfId="2586" xr:uid="{4E3211EE-7452-4CD0-A4F3-A4511FE7D92B}"/>
    <cellStyle name="Normal 4 2 3 7" xfId="1421" xr:uid="{00000000-0005-0000-0000-00008A050000}"/>
    <cellStyle name="Normal 4 2 3 7 2" xfId="2588" xr:uid="{3DFAC93C-89B4-4AEC-8487-C1CDFD9681D7}"/>
    <cellStyle name="Normal 4 2 3 8" xfId="2052" xr:uid="{082528CC-7A5B-4BC9-8D62-563D8FB0D953}"/>
    <cellStyle name="Normal 4 2 3 9" xfId="3049" xr:uid="{B9499A0B-FEAE-468E-8AA1-0CF25789E138}"/>
    <cellStyle name="Normal 4 2 4" xfId="1422" xr:uid="{00000000-0005-0000-0000-00008B050000}"/>
    <cellStyle name="Normal 4 2 4 2" xfId="1423" xr:uid="{00000000-0005-0000-0000-00008C050000}"/>
    <cellStyle name="Normal 4 2 4 2 2" xfId="1424" xr:uid="{00000000-0005-0000-0000-00008D050000}"/>
    <cellStyle name="Normal 4 2 4 2 2 2" xfId="1425" xr:uid="{00000000-0005-0000-0000-00008E050000}"/>
    <cellStyle name="Normal 4 2 4 2 2 2 2" xfId="1426" xr:uid="{00000000-0005-0000-0000-00008F050000}"/>
    <cellStyle name="Normal 4 2 4 2 2 2 2 2" xfId="1427" xr:uid="{00000000-0005-0000-0000-000090050000}"/>
    <cellStyle name="Normal 4 2 4 2 2 2 2 2 2" xfId="2594" xr:uid="{B0274A63-0532-4709-97F0-0A5EC7940282}"/>
    <cellStyle name="Normal 4 2 4 2 2 2 2 3" xfId="2593" xr:uid="{4979AC2B-6619-4FA2-ADAC-96BD0502F518}"/>
    <cellStyle name="Normal 4 2 4 2 2 2 3" xfId="1428" xr:uid="{00000000-0005-0000-0000-000091050000}"/>
    <cellStyle name="Normal 4 2 4 2 2 2 3 2" xfId="2595" xr:uid="{F1258E3D-1C19-4B42-9672-70042D3A0DFE}"/>
    <cellStyle name="Normal 4 2 4 2 2 2 4" xfId="2592" xr:uid="{3347864E-3F34-4276-BA37-7F86DE285368}"/>
    <cellStyle name="Normal 4 2 4 2 2 3" xfId="1429" xr:uid="{00000000-0005-0000-0000-000092050000}"/>
    <cellStyle name="Normal 4 2 4 2 2 3 2" xfId="1430" xr:uid="{00000000-0005-0000-0000-000093050000}"/>
    <cellStyle name="Normal 4 2 4 2 2 3 2 2" xfId="2597" xr:uid="{43EAF741-2CAF-4992-9639-BE8F67893FA8}"/>
    <cellStyle name="Normal 4 2 4 2 2 3 3" xfId="2596" xr:uid="{43F957FA-7127-4E2A-9677-71FBBC93859E}"/>
    <cellStyle name="Normal 4 2 4 2 2 4" xfId="1431" xr:uid="{00000000-0005-0000-0000-000094050000}"/>
    <cellStyle name="Normal 4 2 4 2 2 4 2" xfId="2598" xr:uid="{28491697-89DB-4F59-9632-C3271D541748}"/>
    <cellStyle name="Normal 4 2 4 2 2 5" xfId="2591" xr:uid="{ADD36C3F-B60A-4AA3-AA1B-9CF1021D44FA}"/>
    <cellStyle name="Normal 4 2 4 2 3" xfId="1432" xr:uid="{00000000-0005-0000-0000-000095050000}"/>
    <cellStyle name="Normal 4 2 4 2 3 2" xfId="1433" xr:uid="{00000000-0005-0000-0000-000096050000}"/>
    <cellStyle name="Normal 4 2 4 2 3 2 2" xfId="1434" xr:uid="{00000000-0005-0000-0000-000097050000}"/>
    <cellStyle name="Normal 4 2 4 2 3 2 2 2" xfId="2601" xr:uid="{54AFD29B-AED2-439D-A44A-1698A8898719}"/>
    <cellStyle name="Normal 4 2 4 2 3 2 3" xfId="2600" xr:uid="{47648044-6139-4127-B0C6-642863D5A4C2}"/>
    <cellStyle name="Normal 4 2 4 2 3 3" xfId="1435" xr:uid="{00000000-0005-0000-0000-000098050000}"/>
    <cellStyle name="Normal 4 2 4 2 3 3 2" xfId="2602" xr:uid="{816FFACD-663A-4115-BD17-4EFCFD2D8D31}"/>
    <cellStyle name="Normal 4 2 4 2 3 4" xfId="2599" xr:uid="{FED784CA-98C6-4FA3-948E-D9DB99DED05D}"/>
    <cellStyle name="Normal 4 2 4 2 4" xfId="1436" xr:uid="{00000000-0005-0000-0000-000099050000}"/>
    <cellStyle name="Normal 4 2 4 2 4 2" xfId="1437" xr:uid="{00000000-0005-0000-0000-00009A050000}"/>
    <cellStyle name="Normal 4 2 4 2 4 2 2" xfId="2604" xr:uid="{631B1BF7-FB56-4BA4-BF97-FA2072D82ED8}"/>
    <cellStyle name="Normal 4 2 4 2 4 3" xfId="2603" xr:uid="{D1106A7D-8630-4BFB-AE12-DFDD73DF27EE}"/>
    <cellStyle name="Normal 4 2 4 2 5" xfId="1438" xr:uid="{00000000-0005-0000-0000-00009B050000}"/>
    <cellStyle name="Normal 4 2 4 2 5 2" xfId="2605" xr:uid="{ABBAF832-1EEC-4CFF-830C-A7FB542FDB7F}"/>
    <cellStyle name="Normal 4 2 4 2 6" xfId="2590" xr:uid="{945D86F7-C865-4F04-A7A0-27B9A52A0137}"/>
    <cellStyle name="Normal 4 2 4 3" xfId="1439" xr:uid="{00000000-0005-0000-0000-00009C050000}"/>
    <cellStyle name="Normal 4 2 4 3 2" xfId="1440" xr:uid="{00000000-0005-0000-0000-00009D050000}"/>
    <cellStyle name="Normal 4 2 4 3 2 2" xfId="1441" xr:uid="{00000000-0005-0000-0000-00009E050000}"/>
    <cellStyle name="Normal 4 2 4 3 2 2 2" xfId="1442" xr:uid="{00000000-0005-0000-0000-00009F050000}"/>
    <cellStyle name="Normal 4 2 4 3 2 2 2 2" xfId="2609" xr:uid="{227E281E-518A-4276-B904-89C15FFE3567}"/>
    <cellStyle name="Normal 4 2 4 3 2 2 3" xfId="2608" xr:uid="{7887D9E1-4B4A-4493-A638-6CE9DA44030C}"/>
    <cellStyle name="Normal 4 2 4 3 2 3" xfId="1443" xr:uid="{00000000-0005-0000-0000-0000A0050000}"/>
    <cellStyle name="Normal 4 2 4 3 2 3 2" xfId="2610" xr:uid="{C7A729D0-4B2A-45C7-893C-DC2B3CA00985}"/>
    <cellStyle name="Normal 4 2 4 3 2 4" xfId="2607" xr:uid="{2319E556-E06C-4B0F-B5F7-396CF4242942}"/>
    <cellStyle name="Normal 4 2 4 3 3" xfId="1444" xr:uid="{00000000-0005-0000-0000-0000A1050000}"/>
    <cellStyle name="Normal 4 2 4 3 3 2" xfId="1445" xr:uid="{00000000-0005-0000-0000-0000A2050000}"/>
    <cellStyle name="Normal 4 2 4 3 3 2 2" xfId="2612" xr:uid="{C9285061-8FFC-41C7-883B-4170DD38428C}"/>
    <cellStyle name="Normal 4 2 4 3 3 3" xfId="2611" xr:uid="{D1E5B401-77E0-4A72-B15E-E825508845E9}"/>
    <cellStyle name="Normal 4 2 4 3 4" xfId="1446" xr:uid="{00000000-0005-0000-0000-0000A3050000}"/>
    <cellStyle name="Normal 4 2 4 3 4 2" xfId="2613" xr:uid="{C8AF5DEA-6DFD-45C3-A86A-CFF3EB388CB1}"/>
    <cellStyle name="Normal 4 2 4 3 5" xfId="2606" xr:uid="{F95FD400-D21B-45A2-864A-BA3EC641F175}"/>
    <cellStyle name="Normal 4 2 4 4" xfId="1447" xr:uid="{00000000-0005-0000-0000-0000A4050000}"/>
    <cellStyle name="Normal 4 2 4 4 2" xfId="1448" xr:uid="{00000000-0005-0000-0000-0000A5050000}"/>
    <cellStyle name="Normal 4 2 4 4 2 2" xfId="1449" xr:uid="{00000000-0005-0000-0000-0000A6050000}"/>
    <cellStyle name="Normal 4 2 4 4 2 2 2" xfId="2616" xr:uid="{99AEF7FD-5B1F-43D7-A5C4-EA7673447168}"/>
    <cellStyle name="Normal 4 2 4 4 2 3" xfId="2615" xr:uid="{A9B35CDD-56F2-43A9-8281-6C5E3250CC68}"/>
    <cellStyle name="Normal 4 2 4 4 3" xfId="1450" xr:uid="{00000000-0005-0000-0000-0000A7050000}"/>
    <cellStyle name="Normal 4 2 4 4 3 2" xfId="2617" xr:uid="{0784C861-6A91-4852-8389-9565CE01C834}"/>
    <cellStyle name="Normal 4 2 4 4 4" xfId="2614" xr:uid="{14B5EB51-C987-4F55-BC30-13714B2AAEC6}"/>
    <cellStyle name="Normal 4 2 4 5" xfId="1451" xr:uid="{00000000-0005-0000-0000-0000A8050000}"/>
    <cellStyle name="Normal 4 2 4 5 2" xfId="1452" xr:uid="{00000000-0005-0000-0000-0000A9050000}"/>
    <cellStyle name="Normal 4 2 4 5 2 2" xfId="2619" xr:uid="{BD158F2C-0840-433A-B621-B26F64A889F1}"/>
    <cellStyle name="Normal 4 2 4 5 3" xfId="2618" xr:uid="{64C9D4FC-7AFE-4A95-A5A6-1F82E6909FA0}"/>
    <cellStyle name="Normal 4 2 4 6" xfId="1453" xr:uid="{00000000-0005-0000-0000-0000AA050000}"/>
    <cellStyle name="Normal 4 2 4 6 2" xfId="2620" xr:uid="{5441AA4E-3894-4F83-B6EF-A13752FE1AD6}"/>
    <cellStyle name="Normal 4 2 4 7" xfId="2589" xr:uid="{133026BD-3403-486D-ACE9-8A32DFD62A1F}"/>
    <cellStyle name="Normal 4 2 5" xfId="1454" xr:uid="{00000000-0005-0000-0000-0000AB050000}"/>
    <cellStyle name="Normal 4 2 5 2" xfId="1455" xr:uid="{00000000-0005-0000-0000-0000AC050000}"/>
    <cellStyle name="Normal 4 2 5 2 2" xfId="1456" xr:uid="{00000000-0005-0000-0000-0000AD050000}"/>
    <cellStyle name="Normal 4 2 5 2 2 2" xfId="1457" xr:uid="{00000000-0005-0000-0000-0000AE050000}"/>
    <cellStyle name="Normal 4 2 5 2 2 2 2" xfId="1458" xr:uid="{00000000-0005-0000-0000-0000AF050000}"/>
    <cellStyle name="Normal 4 2 5 2 2 2 2 2" xfId="2625" xr:uid="{560DCD7B-8035-447E-8DF7-96D5B7E12A91}"/>
    <cellStyle name="Normal 4 2 5 2 2 2 3" xfId="2624" xr:uid="{4245D09C-1617-4C99-B21B-6A3F87B264D9}"/>
    <cellStyle name="Normal 4 2 5 2 2 3" xfId="1459" xr:uid="{00000000-0005-0000-0000-0000B0050000}"/>
    <cellStyle name="Normal 4 2 5 2 2 3 2" xfId="2626" xr:uid="{47F62D75-2A2B-4C3D-880D-F806C51F8D15}"/>
    <cellStyle name="Normal 4 2 5 2 2 4" xfId="2623" xr:uid="{25C325A0-5C87-403E-8796-615D759B151D}"/>
    <cellStyle name="Normal 4 2 5 2 3" xfId="1460" xr:uid="{00000000-0005-0000-0000-0000B1050000}"/>
    <cellStyle name="Normal 4 2 5 2 3 2" xfId="1461" xr:uid="{00000000-0005-0000-0000-0000B2050000}"/>
    <cellStyle name="Normal 4 2 5 2 3 2 2" xfId="2628" xr:uid="{EF909A72-72F5-4E4B-8A05-DB5C50C9F220}"/>
    <cellStyle name="Normal 4 2 5 2 3 3" xfId="2627" xr:uid="{0FBC2BB3-1EE9-4985-BACB-EC057843A8B8}"/>
    <cellStyle name="Normal 4 2 5 2 4" xfId="1462" xr:uid="{00000000-0005-0000-0000-0000B3050000}"/>
    <cellStyle name="Normal 4 2 5 2 4 2" xfId="2629" xr:uid="{5975A7CF-86AC-4097-BE98-F3325310F829}"/>
    <cellStyle name="Normal 4 2 5 2 5" xfId="2622" xr:uid="{DE682AB7-959A-47E8-86CC-608B67FB28CA}"/>
    <cellStyle name="Normal 4 2 5 3" xfId="1463" xr:uid="{00000000-0005-0000-0000-0000B4050000}"/>
    <cellStyle name="Normal 4 2 5 3 2" xfId="1464" xr:uid="{00000000-0005-0000-0000-0000B5050000}"/>
    <cellStyle name="Normal 4 2 5 3 2 2" xfId="1465" xr:uid="{00000000-0005-0000-0000-0000B6050000}"/>
    <cellStyle name="Normal 4 2 5 3 2 2 2" xfId="2632" xr:uid="{80BC43D2-D461-4017-A8B5-8FD565022466}"/>
    <cellStyle name="Normal 4 2 5 3 2 3" xfId="2631" xr:uid="{3424E998-2BF4-4636-9728-C20724DAF7DC}"/>
    <cellStyle name="Normal 4 2 5 3 3" xfId="1466" xr:uid="{00000000-0005-0000-0000-0000B7050000}"/>
    <cellStyle name="Normal 4 2 5 3 3 2" xfId="2633" xr:uid="{1B4E1669-6819-4F51-B448-3CA82138ED49}"/>
    <cellStyle name="Normal 4 2 5 3 4" xfId="2630" xr:uid="{8DEE32F2-49B1-48B4-B717-2610D0914194}"/>
    <cellStyle name="Normal 4 2 5 4" xfId="1467" xr:uid="{00000000-0005-0000-0000-0000B8050000}"/>
    <cellStyle name="Normal 4 2 5 4 2" xfId="1468" xr:uid="{00000000-0005-0000-0000-0000B9050000}"/>
    <cellStyle name="Normal 4 2 5 4 2 2" xfId="2635" xr:uid="{DB99309F-8A10-4572-916E-F5B03E75100A}"/>
    <cellStyle name="Normal 4 2 5 4 3" xfId="2634" xr:uid="{D58004FB-7C0B-4559-A75D-D05240E8CED6}"/>
    <cellStyle name="Normal 4 2 5 5" xfId="1469" xr:uid="{00000000-0005-0000-0000-0000BA050000}"/>
    <cellStyle name="Normal 4 2 5 5 2" xfId="2636" xr:uid="{7481CD9B-EF7D-4843-A633-D6A5C9D1D0CD}"/>
    <cellStyle name="Normal 4 2 5 6" xfId="2621" xr:uid="{4C076C67-3150-418A-9895-AA8C45B0F376}"/>
    <cellStyle name="Normal 4 2 6" xfId="1470" xr:uid="{00000000-0005-0000-0000-0000BB050000}"/>
    <cellStyle name="Normal 4 2 6 2" xfId="1471" xr:uid="{00000000-0005-0000-0000-0000BC050000}"/>
    <cellStyle name="Normal 4 2 6 2 2" xfId="1472" xr:uid="{00000000-0005-0000-0000-0000BD050000}"/>
    <cellStyle name="Normal 4 2 6 2 2 2" xfId="1473" xr:uid="{00000000-0005-0000-0000-0000BE050000}"/>
    <cellStyle name="Normal 4 2 6 2 2 2 2" xfId="2640" xr:uid="{99861A02-5808-43AB-BC86-2703AA369B7D}"/>
    <cellStyle name="Normal 4 2 6 2 2 3" xfId="2639" xr:uid="{85CB61D8-8FFE-4FE0-B96B-2F8271DC9E9C}"/>
    <cellStyle name="Normal 4 2 6 2 3" xfId="1474" xr:uid="{00000000-0005-0000-0000-0000BF050000}"/>
    <cellStyle name="Normal 4 2 6 2 3 2" xfId="2641" xr:uid="{5740A3DE-49F8-4EC5-ADE9-FF4E34220B0B}"/>
    <cellStyle name="Normal 4 2 6 2 4" xfId="2638" xr:uid="{7D096669-A3E3-4BED-B598-0434545F6A37}"/>
    <cellStyle name="Normal 4 2 6 3" xfId="1475" xr:uid="{00000000-0005-0000-0000-0000C0050000}"/>
    <cellStyle name="Normal 4 2 6 3 2" xfId="1476" xr:uid="{00000000-0005-0000-0000-0000C1050000}"/>
    <cellStyle name="Normal 4 2 6 3 2 2" xfId="2643" xr:uid="{0387AF95-ABAD-41A7-85BE-7AB979C7C163}"/>
    <cellStyle name="Normal 4 2 6 3 3" xfId="2642" xr:uid="{806EBF8A-9DEC-4F4C-9DEF-09E13C88112F}"/>
    <cellStyle name="Normal 4 2 6 4" xfId="1477" xr:uid="{00000000-0005-0000-0000-0000C2050000}"/>
    <cellStyle name="Normal 4 2 6 4 2" xfId="2644" xr:uid="{15889A15-1F5B-4826-BD8D-EE0063227616}"/>
    <cellStyle name="Normal 4 2 6 5" xfId="2637" xr:uid="{CFD311C4-6067-4EAE-9597-8356C87ABCAD}"/>
    <cellStyle name="Normal 4 2 7" xfId="1478" xr:uid="{00000000-0005-0000-0000-0000C3050000}"/>
    <cellStyle name="Normal 4 2 7 2" xfId="1479" xr:uid="{00000000-0005-0000-0000-0000C4050000}"/>
    <cellStyle name="Normal 4 2 7 2 2" xfId="1480" xr:uid="{00000000-0005-0000-0000-0000C5050000}"/>
    <cellStyle name="Normal 4 2 7 2 2 2" xfId="2647" xr:uid="{7B9A6827-AD7A-4181-95F7-3BD8B24445D6}"/>
    <cellStyle name="Normal 4 2 7 2 3" xfId="2646" xr:uid="{70975810-5160-45EF-B575-0B2D286CBAA7}"/>
    <cellStyle name="Normal 4 2 7 3" xfId="1481" xr:uid="{00000000-0005-0000-0000-0000C6050000}"/>
    <cellStyle name="Normal 4 2 7 3 2" xfId="2648" xr:uid="{AA2D8A85-85A2-43F0-943B-9BB559D97F9A}"/>
    <cellStyle name="Normal 4 2 7 4" xfId="2645" xr:uid="{AECEB09B-A132-496C-B27A-B63E66C5993D}"/>
    <cellStyle name="Normal 4 2 8" xfId="1482" xr:uid="{00000000-0005-0000-0000-0000C7050000}"/>
    <cellStyle name="Normal 4 2 8 2" xfId="1483" xr:uid="{00000000-0005-0000-0000-0000C8050000}"/>
    <cellStyle name="Normal 4 2 8 2 2" xfId="2650" xr:uid="{7A4FE19A-A19B-4CF4-BC54-AE38E5F4706B}"/>
    <cellStyle name="Normal 4 2 8 3" xfId="2649" xr:uid="{35F8FA70-EA6B-4057-9579-CD0BD3DC28F3}"/>
    <cellStyle name="Normal 4 2 9" xfId="1484" xr:uid="{00000000-0005-0000-0000-0000C9050000}"/>
    <cellStyle name="Normal 4 2 9 2" xfId="2651" xr:uid="{65C7B2FB-0408-4359-A375-0F5ABE58AE2F}"/>
    <cellStyle name="Normal 4 3" xfId="1485" xr:uid="{00000000-0005-0000-0000-0000CA050000}"/>
    <cellStyle name="Normal 4 3 2" xfId="1486" xr:uid="{00000000-0005-0000-0000-0000CB050000}"/>
    <cellStyle name="Normal 4 3 2 2" xfId="1487" xr:uid="{00000000-0005-0000-0000-0000CC050000}"/>
    <cellStyle name="Normal 4 3 2 2 2" xfId="1488" xr:uid="{00000000-0005-0000-0000-0000CD050000}"/>
    <cellStyle name="Normal 4 3 2 2 2 2" xfId="1489" xr:uid="{00000000-0005-0000-0000-0000CE050000}"/>
    <cellStyle name="Normal 4 3 2 2 2 2 2" xfId="1490" xr:uid="{00000000-0005-0000-0000-0000CF050000}"/>
    <cellStyle name="Normal 4 3 2 2 2 2 2 2" xfId="1491" xr:uid="{00000000-0005-0000-0000-0000D0050000}"/>
    <cellStyle name="Normal 4 3 2 2 2 2 2 2 2" xfId="2657" xr:uid="{6B4CFCFC-CA24-47A3-87FA-8626D3B21B79}"/>
    <cellStyle name="Normal 4 3 2 2 2 2 2 3" xfId="2656" xr:uid="{2E7954AC-50E6-47A0-9AB3-2DD4779932D0}"/>
    <cellStyle name="Normal 4 3 2 2 2 2 3" xfId="1492" xr:uid="{00000000-0005-0000-0000-0000D1050000}"/>
    <cellStyle name="Normal 4 3 2 2 2 2 3 2" xfId="2658" xr:uid="{C15B2349-88BE-42A2-837D-56FACEEF980A}"/>
    <cellStyle name="Normal 4 3 2 2 2 2 4" xfId="2655" xr:uid="{23CC5CA5-3607-4727-9DEC-CAF5B7AF3E66}"/>
    <cellStyle name="Normal 4 3 2 2 2 3" xfId="1493" xr:uid="{00000000-0005-0000-0000-0000D2050000}"/>
    <cellStyle name="Normal 4 3 2 2 2 3 2" xfId="1494" xr:uid="{00000000-0005-0000-0000-0000D3050000}"/>
    <cellStyle name="Normal 4 3 2 2 2 3 2 2" xfId="2660" xr:uid="{510791A7-9C6C-425B-989F-48DA087881E1}"/>
    <cellStyle name="Normal 4 3 2 2 2 3 3" xfId="2659" xr:uid="{61486CB8-7F35-4F24-ADD5-92C8724B9A97}"/>
    <cellStyle name="Normal 4 3 2 2 2 4" xfId="1495" xr:uid="{00000000-0005-0000-0000-0000D4050000}"/>
    <cellStyle name="Normal 4 3 2 2 2 4 2" xfId="2661" xr:uid="{5CA20416-868F-44D5-89CD-A38D21427957}"/>
    <cellStyle name="Normal 4 3 2 2 2 5" xfId="2654" xr:uid="{52EC7E2D-D214-462D-87B8-8455E0C0BC83}"/>
    <cellStyle name="Normal 4 3 2 2 3" xfId="1496" xr:uid="{00000000-0005-0000-0000-0000D5050000}"/>
    <cellStyle name="Normal 4 3 2 2 3 2" xfId="1497" xr:uid="{00000000-0005-0000-0000-0000D6050000}"/>
    <cellStyle name="Normal 4 3 2 2 3 2 2" xfId="1498" xr:uid="{00000000-0005-0000-0000-0000D7050000}"/>
    <cellStyle name="Normal 4 3 2 2 3 2 2 2" xfId="2664" xr:uid="{7CA3D6D9-9A43-4D35-972D-B7EC6E20C57F}"/>
    <cellStyle name="Normal 4 3 2 2 3 2 3" xfId="2663" xr:uid="{E49B65B9-B1F3-4A25-99A1-4891164B4803}"/>
    <cellStyle name="Normal 4 3 2 2 3 3" xfId="1499" xr:uid="{00000000-0005-0000-0000-0000D8050000}"/>
    <cellStyle name="Normal 4 3 2 2 3 3 2" xfId="2665" xr:uid="{A3E87D2A-A303-4322-B7D5-22E798C6F6EF}"/>
    <cellStyle name="Normal 4 3 2 2 3 4" xfId="2662" xr:uid="{BE30F2D4-A735-4445-BC30-19CCE942632E}"/>
    <cellStyle name="Normal 4 3 2 2 4" xfId="1500" xr:uid="{00000000-0005-0000-0000-0000D9050000}"/>
    <cellStyle name="Normal 4 3 2 2 4 2" xfId="1501" xr:uid="{00000000-0005-0000-0000-0000DA050000}"/>
    <cellStyle name="Normal 4 3 2 2 4 2 2" xfId="2667" xr:uid="{80DAAD39-5DAC-4AB2-8B86-4830F61B61A9}"/>
    <cellStyle name="Normal 4 3 2 2 4 3" xfId="2666" xr:uid="{AA2C5D14-55AB-46E7-9181-621B24D6B645}"/>
    <cellStyle name="Normal 4 3 2 2 5" xfId="1502" xr:uid="{00000000-0005-0000-0000-0000DB050000}"/>
    <cellStyle name="Normal 4 3 2 2 5 2" xfId="2668" xr:uid="{6636BBB9-A03C-40A7-BBAC-A57ADE3EF05A}"/>
    <cellStyle name="Normal 4 3 2 2 6" xfId="2653" xr:uid="{E9FF5A23-838A-4F63-A18D-8373CE307620}"/>
    <cellStyle name="Normal 4 3 2 3" xfId="1503" xr:uid="{00000000-0005-0000-0000-0000DC050000}"/>
    <cellStyle name="Normal 4 3 2 3 2" xfId="1504" xr:uid="{00000000-0005-0000-0000-0000DD050000}"/>
    <cellStyle name="Normal 4 3 2 3 2 2" xfId="1505" xr:uid="{00000000-0005-0000-0000-0000DE050000}"/>
    <cellStyle name="Normal 4 3 2 3 2 2 2" xfId="1506" xr:uid="{00000000-0005-0000-0000-0000DF050000}"/>
    <cellStyle name="Normal 4 3 2 3 2 2 2 2" xfId="2672" xr:uid="{E80799BD-47AB-4183-B792-61AFAEB6CB9F}"/>
    <cellStyle name="Normal 4 3 2 3 2 2 3" xfId="2671" xr:uid="{AD06F3CB-243E-4057-AC84-FBEF0DAFEB1D}"/>
    <cellStyle name="Normal 4 3 2 3 2 3" xfId="1507" xr:uid="{00000000-0005-0000-0000-0000E0050000}"/>
    <cellStyle name="Normal 4 3 2 3 2 3 2" xfId="2673" xr:uid="{451AF3EA-594E-4FE0-972F-B02728DD8084}"/>
    <cellStyle name="Normal 4 3 2 3 2 4" xfId="2670" xr:uid="{0FA975C1-C3DF-4E32-BAF6-1BF6A0AC1EF2}"/>
    <cellStyle name="Normal 4 3 2 3 3" xfId="1508" xr:uid="{00000000-0005-0000-0000-0000E1050000}"/>
    <cellStyle name="Normal 4 3 2 3 3 2" xfId="1509" xr:uid="{00000000-0005-0000-0000-0000E2050000}"/>
    <cellStyle name="Normal 4 3 2 3 3 2 2" xfId="2675" xr:uid="{30A95F22-89F2-463E-BBAF-F1BD79751E85}"/>
    <cellStyle name="Normal 4 3 2 3 3 3" xfId="2674" xr:uid="{48273279-2A2A-4D2F-BF72-8F4E7B8A5D17}"/>
    <cellStyle name="Normal 4 3 2 3 4" xfId="1510" xr:uid="{00000000-0005-0000-0000-0000E3050000}"/>
    <cellStyle name="Normal 4 3 2 3 4 2" xfId="2676" xr:uid="{8F8448DE-ED5F-4A46-A060-673E9FE5A34D}"/>
    <cellStyle name="Normal 4 3 2 3 5" xfId="2669" xr:uid="{7EBC8A05-FC1B-48A5-8EBF-4DAE58F09303}"/>
    <cellStyle name="Normal 4 3 2 4" xfId="1511" xr:uid="{00000000-0005-0000-0000-0000E4050000}"/>
    <cellStyle name="Normal 4 3 2 4 2" xfId="1512" xr:uid="{00000000-0005-0000-0000-0000E5050000}"/>
    <cellStyle name="Normal 4 3 2 4 2 2" xfId="1513" xr:uid="{00000000-0005-0000-0000-0000E6050000}"/>
    <cellStyle name="Normal 4 3 2 4 2 2 2" xfId="2679" xr:uid="{90720873-2367-44DE-B460-EF85C53D5082}"/>
    <cellStyle name="Normal 4 3 2 4 2 3" xfId="2678" xr:uid="{B85F04EC-D0A9-4A25-9644-FEAE227860CA}"/>
    <cellStyle name="Normal 4 3 2 4 3" xfId="1514" xr:uid="{00000000-0005-0000-0000-0000E7050000}"/>
    <cellStyle name="Normal 4 3 2 4 3 2" xfId="2680" xr:uid="{AFD3C611-60F8-4497-9823-64ED52AA0E80}"/>
    <cellStyle name="Normal 4 3 2 4 4" xfId="2677" xr:uid="{C3B42B1B-562A-47CA-8ED4-9D0B210C8700}"/>
    <cellStyle name="Normal 4 3 2 5" xfId="1515" xr:uid="{00000000-0005-0000-0000-0000E8050000}"/>
    <cellStyle name="Normal 4 3 2 5 2" xfId="1516" xr:uid="{00000000-0005-0000-0000-0000E9050000}"/>
    <cellStyle name="Normal 4 3 2 5 2 2" xfId="2682" xr:uid="{0741523F-C654-4F6B-8BFD-CBD5957460EE}"/>
    <cellStyle name="Normal 4 3 2 5 3" xfId="2681" xr:uid="{A5F1B88A-283E-4470-947E-0C4AD4B4C35E}"/>
    <cellStyle name="Normal 4 3 2 6" xfId="1517" xr:uid="{00000000-0005-0000-0000-0000EA050000}"/>
    <cellStyle name="Normal 4 3 2 6 2" xfId="2683" xr:uid="{114BFE68-5736-4C36-B915-8C509A1FC556}"/>
    <cellStyle name="Normal 4 3 2 7" xfId="2652" xr:uid="{4C4B5CE4-1274-4266-A279-DED93300B6F6}"/>
    <cellStyle name="Normal 4 3 3" xfId="1518" xr:uid="{00000000-0005-0000-0000-0000EB050000}"/>
    <cellStyle name="Normal 4 3 3 2" xfId="1519" xr:uid="{00000000-0005-0000-0000-0000EC050000}"/>
    <cellStyle name="Normal 4 3 3 2 2" xfId="1520" xr:uid="{00000000-0005-0000-0000-0000ED050000}"/>
    <cellStyle name="Normal 4 3 3 2 2 2" xfId="1521" xr:uid="{00000000-0005-0000-0000-0000EE050000}"/>
    <cellStyle name="Normal 4 3 3 2 2 2 2" xfId="1522" xr:uid="{00000000-0005-0000-0000-0000EF050000}"/>
    <cellStyle name="Normal 4 3 3 2 2 2 2 2" xfId="2688" xr:uid="{05D1FD3C-624A-4D46-AE72-491E2740BD96}"/>
    <cellStyle name="Normal 4 3 3 2 2 2 3" xfId="2687" xr:uid="{36B4C68C-5113-4A54-81D9-18E4976489B5}"/>
    <cellStyle name="Normal 4 3 3 2 2 3" xfId="1523" xr:uid="{00000000-0005-0000-0000-0000F0050000}"/>
    <cellStyle name="Normal 4 3 3 2 2 3 2" xfId="2689" xr:uid="{BF102780-2B17-4D2A-95C1-96D7398377F0}"/>
    <cellStyle name="Normal 4 3 3 2 2 4" xfId="2686" xr:uid="{AFCC8454-05A2-48D0-89C6-AB2C56BA9CF8}"/>
    <cellStyle name="Normal 4 3 3 2 3" xfId="1524" xr:uid="{00000000-0005-0000-0000-0000F1050000}"/>
    <cellStyle name="Normal 4 3 3 2 3 2" xfId="1525" xr:uid="{00000000-0005-0000-0000-0000F2050000}"/>
    <cellStyle name="Normal 4 3 3 2 3 2 2" xfId="2691" xr:uid="{73216D0F-81ED-4188-94AA-3F2AD532F482}"/>
    <cellStyle name="Normal 4 3 3 2 3 3" xfId="2690" xr:uid="{6B6D37B3-6BDD-4AF9-B11E-DA9AEB786A6F}"/>
    <cellStyle name="Normal 4 3 3 2 4" xfId="1526" xr:uid="{00000000-0005-0000-0000-0000F3050000}"/>
    <cellStyle name="Normal 4 3 3 2 4 2" xfId="2692" xr:uid="{8FBA6F6B-C3EC-40F4-B0CB-C02F5A30C195}"/>
    <cellStyle name="Normal 4 3 3 2 5" xfId="2685" xr:uid="{07C4EF4E-9D29-4ACA-8C9B-8E160991D66F}"/>
    <cellStyle name="Normal 4 3 3 3" xfId="1527" xr:uid="{00000000-0005-0000-0000-0000F4050000}"/>
    <cellStyle name="Normal 4 3 3 3 2" xfId="1528" xr:uid="{00000000-0005-0000-0000-0000F5050000}"/>
    <cellStyle name="Normal 4 3 3 3 2 2" xfId="1529" xr:uid="{00000000-0005-0000-0000-0000F6050000}"/>
    <cellStyle name="Normal 4 3 3 3 2 2 2" xfId="2695" xr:uid="{91A2895C-8E82-4DB5-84FF-FC863973A86B}"/>
    <cellStyle name="Normal 4 3 3 3 2 3" xfId="2694" xr:uid="{E3D9E957-5A86-4DFB-95D1-38DDE22132A9}"/>
    <cellStyle name="Normal 4 3 3 3 3" xfId="1530" xr:uid="{00000000-0005-0000-0000-0000F7050000}"/>
    <cellStyle name="Normal 4 3 3 3 3 2" xfId="2696" xr:uid="{935405D1-A6D4-4DC1-BEBF-3F28687100FD}"/>
    <cellStyle name="Normal 4 3 3 3 4" xfId="2693" xr:uid="{7A4A8564-D5D4-439F-B17C-A2CFD361B5F1}"/>
    <cellStyle name="Normal 4 3 3 4" xfId="1531" xr:uid="{00000000-0005-0000-0000-0000F8050000}"/>
    <cellStyle name="Normal 4 3 3 4 2" xfId="1532" xr:uid="{00000000-0005-0000-0000-0000F9050000}"/>
    <cellStyle name="Normal 4 3 3 4 2 2" xfId="2698" xr:uid="{9DC8CBF7-AACE-406B-A782-FE75B9FB93D0}"/>
    <cellStyle name="Normal 4 3 3 4 3" xfId="2697" xr:uid="{320A1EF5-FC69-4CF6-A662-9F735B9805C6}"/>
    <cellStyle name="Normal 4 3 3 5" xfId="1533" xr:uid="{00000000-0005-0000-0000-0000FA050000}"/>
    <cellStyle name="Normal 4 3 3 5 2" xfId="2699" xr:uid="{9EC04F4F-F054-4FEC-A017-F32A115825F9}"/>
    <cellStyle name="Normal 4 3 3 6" xfId="2684" xr:uid="{4C93CDDE-A189-4184-9796-93857BF95F4B}"/>
    <cellStyle name="Normal 4 3 4" xfId="1534" xr:uid="{00000000-0005-0000-0000-0000FB050000}"/>
    <cellStyle name="Normal 4 3 4 2" xfId="1535" xr:uid="{00000000-0005-0000-0000-0000FC050000}"/>
    <cellStyle name="Normal 4 3 4 2 2" xfId="1536" xr:uid="{00000000-0005-0000-0000-0000FD050000}"/>
    <cellStyle name="Normal 4 3 4 2 2 2" xfId="1537" xr:uid="{00000000-0005-0000-0000-0000FE050000}"/>
    <cellStyle name="Normal 4 3 4 2 2 2 2" xfId="2703" xr:uid="{074F6726-E1AF-4580-BB80-9DC1B380AF48}"/>
    <cellStyle name="Normal 4 3 4 2 2 3" xfId="2702" xr:uid="{9E31DDFE-2D49-406E-AD48-3D6C65E54274}"/>
    <cellStyle name="Normal 4 3 4 2 3" xfId="1538" xr:uid="{00000000-0005-0000-0000-0000FF050000}"/>
    <cellStyle name="Normal 4 3 4 2 3 2" xfId="2704" xr:uid="{3A4BF3D8-DE03-4547-B09C-E175EED6D91F}"/>
    <cellStyle name="Normal 4 3 4 2 4" xfId="2701" xr:uid="{9A32C155-9A74-40BB-A475-CFA3451AFA30}"/>
    <cellStyle name="Normal 4 3 4 3" xfId="1539" xr:uid="{00000000-0005-0000-0000-000000060000}"/>
    <cellStyle name="Normal 4 3 4 3 2" xfId="1540" xr:uid="{00000000-0005-0000-0000-000001060000}"/>
    <cellStyle name="Normal 4 3 4 3 2 2" xfId="2706" xr:uid="{CB617ACE-3E24-4EA6-8B9C-7694E3F484B3}"/>
    <cellStyle name="Normal 4 3 4 3 3" xfId="2705" xr:uid="{4DAAEEF2-DD6C-4408-B688-2CAF747EBD07}"/>
    <cellStyle name="Normal 4 3 4 4" xfId="1541" xr:uid="{00000000-0005-0000-0000-000002060000}"/>
    <cellStyle name="Normal 4 3 4 4 2" xfId="2707" xr:uid="{3479D4EC-9022-4FA5-B830-4B0E12E1F0A3}"/>
    <cellStyle name="Normal 4 3 4 5" xfId="2700" xr:uid="{F701003B-758A-441A-901B-4A3B36E5B3F9}"/>
    <cellStyle name="Normal 4 3 5" xfId="1542" xr:uid="{00000000-0005-0000-0000-000003060000}"/>
    <cellStyle name="Normal 4 3 5 2" xfId="1543" xr:uid="{00000000-0005-0000-0000-000004060000}"/>
    <cellStyle name="Normal 4 3 5 2 2" xfId="1544" xr:uid="{00000000-0005-0000-0000-000005060000}"/>
    <cellStyle name="Normal 4 3 5 2 2 2" xfId="2710" xr:uid="{1E6BBD41-3AEB-4C26-9EBD-3EAF5999228B}"/>
    <cellStyle name="Normal 4 3 5 2 3" xfId="2709" xr:uid="{05DBECC1-A620-4F60-9DE9-C5FD09DC52F6}"/>
    <cellStyle name="Normal 4 3 5 3" xfId="1545" xr:uid="{00000000-0005-0000-0000-000006060000}"/>
    <cellStyle name="Normal 4 3 5 3 2" xfId="2711" xr:uid="{AFC85BBA-F4AF-47F6-9EDD-5BD417D01ED5}"/>
    <cellStyle name="Normal 4 3 5 4" xfId="2708" xr:uid="{BB28411B-76B5-4F77-B8A9-D9944B058C58}"/>
    <cellStyle name="Normal 4 3 6" xfId="1546" xr:uid="{00000000-0005-0000-0000-000007060000}"/>
    <cellStyle name="Normal 4 3 6 2" xfId="1547" xr:uid="{00000000-0005-0000-0000-000008060000}"/>
    <cellStyle name="Normal 4 3 6 2 2" xfId="2713" xr:uid="{260B08D0-F569-4DBC-8887-4135E54E9701}"/>
    <cellStyle name="Normal 4 3 6 3" xfId="2712" xr:uid="{3D2DD624-EBB5-4301-81F4-7964DC7338AA}"/>
    <cellStyle name="Normal 4 3 7" xfId="1548" xr:uid="{00000000-0005-0000-0000-000009060000}"/>
    <cellStyle name="Normal 4 3 7 2" xfId="2714" xr:uid="{6A4E33B1-C40A-479D-8876-516762EFA0C9}"/>
    <cellStyle name="Normal 4 3 8" xfId="2053" xr:uid="{4D5B5286-4743-4E98-8E01-B0693CD6341C}"/>
    <cellStyle name="Normal 4 3 9" xfId="3050" xr:uid="{DBE92982-6B4A-4C6C-816E-3CA7B35587D1}"/>
    <cellStyle name="Normal 4 4" xfId="1549" xr:uid="{00000000-0005-0000-0000-00000A060000}"/>
    <cellStyle name="Normal 4 4 2" xfId="1550" xr:uid="{00000000-0005-0000-0000-00000B060000}"/>
    <cellStyle name="Normal 4 4 2 2" xfId="1551" xr:uid="{00000000-0005-0000-0000-00000C060000}"/>
    <cellStyle name="Normal 4 4 2 2 2" xfId="1552" xr:uid="{00000000-0005-0000-0000-00000D060000}"/>
    <cellStyle name="Normal 4 4 2 2 2 2" xfId="1553" xr:uid="{00000000-0005-0000-0000-00000E060000}"/>
    <cellStyle name="Normal 4 4 2 2 2 2 2" xfId="1554" xr:uid="{00000000-0005-0000-0000-00000F060000}"/>
    <cellStyle name="Normal 4 4 2 2 2 2 2 2" xfId="1555" xr:uid="{00000000-0005-0000-0000-000010060000}"/>
    <cellStyle name="Normal 4 4 2 2 2 2 2 2 2" xfId="2720" xr:uid="{DCABD760-7353-4AAE-8D5A-4E0848662C6C}"/>
    <cellStyle name="Normal 4 4 2 2 2 2 2 3" xfId="2719" xr:uid="{7ACAB4BB-AEB7-4176-93C4-6F6A276642B6}"/>
    <cellStyle name="Normal 4 4 2 2 2 2 3" xfId="1556" xr:uid="{00000000-0005-0000-0000-000011060000}"/>
    <cellStyle name="Normal 4 4 2 2 2 2 3 2" xfId="2721" xr:uid="{D2D46503-69D2-4439-A332-D9873FB8109A}"/>
    <cellStyle name="Normal 4 4 2 2 2 2 4" xfId="2718" xr:uid="{C892D908-827D-4C70-91E2-3B81BBC6BA25}"/>
    <cellStyle name="Normal 4 4 2 2 2 3" xfId="1557" xr:uid="{00000000-0005-0000-0000-000012060000}"/>
    <cellStyle name="Normal 4 4 2 2 2 3 2" xfId="1558" xr:uid="{00000000-0005-0000-0000-000013060000}"/>
    <cellStyle name="Normal 4 4 2 2 2 3 2 2" xfId="2723" xr:uid="{236D9B26-8FE5-4A04-A42C-85765C057934}"/>
    <cellStyle name="Normal 4 4 2 2 2 3 3" xfId="2722" xr:uid="{628BBB86-F586-4CEC-937C-DA389211EC10}"/>
    <cellStyle name="Normal 4 4 2 2 2 4" xfId="1559" xr:uid="{00000000-0005-0000-0000-000014060000}"/>
    <cellStyle name="Normal 4 4 2 2 2 4 2" xfId="2724" xr:uid="{6DF3BA7D-C75D-43E9-9664-F9848D792040}"/>
    <cellStyle name="Normal 4 4 2 2 2 5" xfId="2717" xr:uid="{E50BFC63-8C30-4EF2-8555-E3926AD2E65C}"/>
    <cellStyle name="Normal 4 4 2 2 3" xfId="1560" xr:uid="{00000000-0005-0000-0000-000015060000}"/>
    <cellStyle name="Normal 4 4 2 2 3 2" xfId="1561" xr:uid="{00000000-0005-0000-0000-000016060000}"/>
    <cellStyle name="Normal 4 4 2 2 3 2 2" xfId="1562" xr:uid="{00000000-0005-0000-0000-000017060000}"/>
    <cellStyle name="Normal 4 4 2 2 3 2 2 2" xfId="2727" xr:uid="{9AF9C8E3-C1A7-4F99-9923-CDA674B17C4E}"/>
    <cellStyle name="Normal 4 4 2 2 3 2 3" xfId="2726" xr:uid="{6A95A1B9-0328-4E71-A598-5AB9DCFEA0AD}"/>
    <cellStyle name="Normal 4 4 2 2 3 3" xfId="1563" xr:uid="{00000000-0005-0000-0000-000018060000}"/>
    <cellStyle name="Normal 4 4 2 2 3 3 2" xfId="2728" xr:uid="{73399D1A-3B67-4375-9548-7459A5F022C0}"/>
    <cellStyle name="Normal 4 4 2 2 3 4" xfId="2725" xr:uid="{610215FD-B66E-4201-8690-946247FAEA71}"/>
    <cellStyle name="Normal 4 4 2 2 4" xfId="1564" xr:uid="{00000000-0005-0000-0000-000019060000}"/>
    <cellStyle name="Normal 4 4 2 2 4 2" xfId="1565" xr:uid="{00000000-0005-0000-0000-00001A060000}"/>
    <cellStyle name="Normal 4 4 2 2 4 2 2" xfId="2730" xr:uid="{E777784E-240E-4289-87D1-7D6B58971346}"/>
    <cellStyle name="Normal 4 4 2 2 4 3" xfId="2729" xr:uid="{0677F513-E95C-41B8-8866-00FA9CE2E5DD}"/>
    <cellStyle name="Normal 4 4 2 2 5" xfId="1566" xr:uid="{00000000-0005-0000-0000-00001B060000}"/>
    <cellStyle name="Normal 4 4 2 2 5 2" xfId="2731" xr:uid="{074CAA32-D87A-497F-974C-95D5679D5309}"/>
    <cellStyle name="Normal 4 4 2 2 6" xfId="2716" xr:uid="{373F0F65-D3AB-4C14-8D5B-1F0258EA3183}"/>
    <cellStyle name="Normal 4 4 2 3" xfId="1567" xr:uid="{00000000-0005-0000-0000-00001C060000}"/>
    <cellStyle name="Normal 4 4 2 3 2" xfId="1568" xr:uid="{00000000-0005-0000-0000-00001D060000}"/>
    <cellStyle name="Normal 4 4 2 3 2 2" xfId="1569" xr:uid="{00000000-0005-0000-0000-00001E060000}"/>
    <cellStyle name="Normal 4 4 2 3 2 2 2" xfId="1570" xr:uid="{00000000-0005-0000-0000-00001F060000}"/>
    <cellStyle name="Normal 4 4 2 3 2 2 2 2" xfId="2735" xr:uid="{1657B478-0B97-4B4E-BE47-B6C4DD20AB01}"/>
    <cellStyle name="Normal 4 4 2 3 2 2 3" xfId="2734" xr:uid="{0CC1D589-CB28-42AB-91AD-00507E66131B}"/>
    <cellStyle name="Normal 4 4 2 3 2 3" xfId="1571" xr:uid="{00000000-0005-0000-0000-000020060000}"/>
    <cellStyle name="Normal 4 4 2 3 2 3 2" xfId="2736" xr:uid="{DA56BEA8-1DE6-410C-BDE6-76EEAF031DE3}"/>
    <cellStyle name="Normal 4 4 2 3 2 4" xfId="2733" xr:uid="{0E828780-809B-40DE-8A51-EBCDE37F977B}"/>
    <cellStyle name="Normal 4 4 2 3 3" xfId="1572" xr:uid="{00000000-0005-0000-0000-000021060000}"/>
    <cellStyle name="Normal 4 4 2 3 3 2" xfId="1573" xr:uid="{00000000-0005-0000-0000-000022060000}"/>
    <cellStyle name="Normal 4 4 2 3 3 2 2" xfId="2738" xr:uid="{B0BD426A-D0F1-4E11-A41C-DCEE37D89D90}"/>
    <cellStyle name="Normal 4 4 2 3 3 3" xfId="2737" xr:uid="{5CA52E6F-9DFB-47B8-AC2E-BEF144D650E9}"/>
    <cellStyle name="Normal 4 4 2 3 4" xfId="1574" xr:uid="{00000000-0005-0000-0000-000023060000}"/>
    <cellStyle name="Normal 4 4 2 3 4 2" xfId="2739" xr:uid="{3AE7A7AF-C52A-437D-8AEC-58A7FA820011}"/>
    <cellStyle name="Normal 4 4 2 3 5" xfId="2732" xr:uid="{1415870D-8D94-4785-8150-9FA2A5068949}"/>
    <cellStyle name="Normal 4 4 2 4" xfId="1575" xr:uid="{00000000-0005-0000-0000-000024060000}"/>
    <cellStyle name="Normal 4 4 2 4 2" xfId="1576" xr:uid="{00000000-0005-0000-0000-000025060000}"/>
    <cellStyle name="Normal 4 4 2 4 2 2" xfId="1577" xr:uid="{00000000-0005-0000-0000-000026060000}"/>
    <cellStyle name="Normal 4 4 2 4 2 2 2" xfId="2742" xr:uid="{123FA982-659B-4105-AE2C-464730838486}"/>
    <cellStyle name="Normal 4 4 2 4 2 3" xfId="2741" xr:uid="{D938028C-9F02-4DEF-8BE7-0DAB569451D2}"/>
    <cellStyle name="Normal 4 4 2 4 3" xfId="1578" xr:uid="{00000000-0005-0000-0000-000027060000}"/>
    <cellStyle name="Normal 4 4 2 4 3 2" xfId="2743" xr:uid="{AC47B1B4-A21A-46C9-A007-A1ECEF2DBAAC}"/>
    <cellStyle name="Normal 4 4 2 4 4" xfId="2740" xr:uid="{7E048C08-EE20-4D67-B28E-7407C3241FBE}"/>
    <cellStyle name="Normal 4 4 2 5" xfId="1579" xr:uid="{00000000-0005-0000-0000-000028060000}"/>
    <cellStyle name="Normal 4 4 2 5 2" xfId="1580" xr:uid="{00000000-0005-0000-0000-000029060000}"/>
    <cellStyle name="Normal 4 4 2 5 2 2" xfId="2745" xr:uid="{52D6A91E-49E5-4F0E-A9F0-07ECBDE8BAFE}"/>
    <cellStyle name="Normal 4 4 2 5 3" xfId="2744" xr:uid="{E720FDFB-F49D-498E-8C83-83C1192EC932}"/>
    <cellStyle name="Normal 4 4 2 6" xfId="1581" xr:uid="{00000000-0005-0000-0000-00002A060000}"/>
    <cellStyle name="Normal 4 4 2 6 2" xfId="2746" xr:uid="{283B30C7-1038-4892-837E-CFE878AD1802}"/>
    <cellStyle name="Normal 4 4 2 7" xfId="2715" xr:uid="{4C9F931C-1F6F-4AA1-BCD4-0708D5337A11}"/>
    <cellStyle name="Normal 4 4 3" xfId="1582" xr:uid="{00000000-0005-0000-0000-00002B060000}"/>
    <cellStyle name="Normal 4 4 3 2" xfId="1583" xr:uid="{00000000-0005-0000-0000-00002C060000}"/>
    <cellStyle name="Normal 4 4 3 2 2" xfId="1584" xr:uid="{00000000-0005-0000-0000-00002D060000}"/>
    <cellStyle name="Normal 4 4 3 2 2 2" xfId="1585" xr:uid="{00000000-0005-0000-0000-00002E060000}"/>
    <cellStyle name="Normal 4 4 3 2 2 2 2" xfId="1586" xr:uid="{00000000-0005-0000-0000-00002F060000}"/>
    <cellStyle name="Normal 4 4 3 2 2 2 2 2" xfId="2751" xr:uid="{33332D20-0135-4FD2-9D3E-032363AF9F2F}"/>
    <cellStyle name="Normal 4 4 3 2 2 2 3" xfId="2750" xr:uid="{3C264AC7-66E1-4AA2-9C6E-29D5605E60C0}"/>
    <cellStyle name="Normal 4 4 3 2 2 3" xfId="1587" xr:uid="{00000000-0005-0000-0000-000030060000}"/>
    <cellStyle name="Normal 4 4 3 2 2 3 2" xfId="2752" xr:uid="{AF7299CE-85BC-44C6-ADFE-CC7075A8A54C}"/>
    <cellStyle name="Normal 4 4 3 2 2 4" xfId="2749" xr:uid="{F07CB17D-A9E7-45DB-A018-BD624A86C04C}"/>
    <cellStyle name="Normal 4 4 3 2 3" xfId="1588" xr:uid="{00000000-0005-0000-0000-000031060000}"/>
    <cellStyle name="Normal 4 4 3 2 3 2" xfId="1589" xr:uid="{00000000-0005-0000-0000-000032060000}"/>
    <cellStyle name="Normal 4 4 3 2 3 2 2" xfId="2754" xr:uid="{E1226355-C69D-49CB-AE67-B5E443262BFD}"/>
    <cellStyle name="Normal 4 4 3 2 3 3" xfId="2753" xr:uid="{AFA9F742-5E50-4D07-BD42-56DFEB54B715}"/>
    <cellStyle name="Normal 4 4 3 2 4" xfId="1590" xr:uid="{00000000-0005-0000-0000-000033060000}"/>
    <cellStyle name="Normal 4 4 3 2 4 2" xfId="2755" xr:uid="{C4BE98A2-F639-4856-923A-37D6670EDA64}"/>
    <cellStyle name="Normal 4 4 3 2 5" xfId="2748" xr:uid="{BE19599E-ED4E-412F-A721-04F3EB55C565}"/>
    <cellStyle name="Normal 4 4 3 3" xfId="1591" xr:uid="{00000000-0005-0000-0000-000034060000}"/>
    <cellStyle name="Normal 4 4 3 3 2" xfId="1592" xr:uid="{00000000-0005-0000-0000-000035060000}"/>
    <cellStyle name="Normal 4 4 3 3 2 2" xfId="1593" xr:uid="{00000000-0005-0000-0000-000036060000}"/>
    <cellStyle name="Normal 4 4 3 3 2 2 2" xfId="2758" xr:uid="{5341F64B-C35C-4808-AE7E-ECA506583603}"/>
    <cellStyle name="Normal 4 4 3 3 2 3" xfId="2757" xr:uid="{81928966-9FAA-43ED-8A26-9FC692D059C6}"/>
    <cellStyle name="Normal 4 4 3 3 3" xfId="1594" xr:uid="{00000000-0005-0000-0000-000037060000}"/>
    <cellStyle name="Normal 4 4 3 3 3 2" xfId="2759" xr:uid="{200B0163-4C95-454E-86CA-9AD529789F70}"/>
    <cellStyle name="Normal 4 4 3 3 4" xfId="2756" xr:uid="{F2A2266C-1BE4-4D1C-AD95-FFE4127C36A9}"/>
    <cellStyle name="Normal 4 4 3 4" xfId="1595" xr:uid="{00000000-0005-0000-0000-000038060000}"/>
    <cellStyle name="Normal 4 4 3 4 2" xfId="1596" xr:uid="{00000000-0005-0000-0000-000039060000}"/>
    <cellStyle name="Normal 4 4 3 4 2 2" xfId="2761" xr:uid="{04E52418-B36F-4220-B406-33A83CD95228}"/>
    <cellStyle name="Normal 4 4 3 4 3" xfId="2760" xr:uid="{74D06C36-E407-4D79-A96F-984341BFB012}"/>
    <cellStyle name="Normal 4 4 3 5" xfId="1597" xr:uid="{00000000-0005-0000-0000-00003A060000}"/>
    <cellStyle name="Normal 4 4 3 5 2" xfId="2762" xr:uid="{4AE32136-4D20-4F44-981A-6BEFACDF50BF}"/>
    <cellStyle name="Normal 4 4 3 6" xfId="2747" xr:uid="{147FD4C9-34A7-408D-9F05-C3EA8972A4E1}"/>
    <cellStyle name="Normal 4 4 4" xfId="1598" xr:uid="{00000000-0005-0000-0000-00003B060000}"/>
    <cellStyle name="Normal 4 4 4 2" xfId="1599" xr:uid="{00000000-0005-0000-0000-00003C060000}"/>
    <cellStyle name="Normal 4 4 4 2 2" xfId="1600" xr:uid="{00000000-0005-0000-0000-00003D060000}"/>
    <cellStyle name="Normal 4 4 4 2 2 2" xfId="1601" xr:uid="{00000000-0005-0000-0000-00003E060000}"/>
    <cellStyle name="Normal 4 4 4 2 2 2 2" xfId="2766" xr:uid="{CCA0DBE9-B7BF-4A1F-B41D-D6D41C4C394D}"/>
    <cellStyle name="Normal 4 4 4 2 2 3" xfId="2765" xr:uid="{A7D933DF-63C8-4CD7-9C3C-EB56CB023D20}"/>
    <cellStyle name="Normal 4 4 4 2 3" xfId="1602" xr:uid="{00000000-0005-0000-0000-00003F060000}"/>
    <cellStyle name="Normal 4 4 4 2 3 2" xfId="2767" xr:uid="{FB0C635C-0A60-4700-AF0F-CCAAC9C6BAE2}"/>
    <cellStyle name="Normal 4 4 4 2 4" xfId="2764" xr:uid="{46C249D4-A63C-4BDB-A063-7BB7410E00ED}"/>
    <cellStyle name="Normal 4 4 4 3" xfId="1603" xr:uid="{00000000-0005-0000-0000-000040060000}"/>
    <cellStyle name="Normal 4 4 4 3 2" xfId="1604" xr:uid="{00000000-0005-0000-0000-000041060000}"/>
    <cellStyle name="Normal 4 4 4 3 2 2" xfId="2769" xr:uid="{FE74E78A-D349-473E-9D23-D49FC7B7C350}"/>
    <cellStyle name="Normal 4 4 4 3 3" xfId="2768" xr:uid="{AD2DECEE-E212-4506-A9A1-B76526D2FF27}"/>
    <cellStyle name="Normal 4 4 4 4" xfId="1605" xr:uid="{00000000-0005-0000-0000-000042060000}"/>
    <cellStyle name="Normal 4 4 4 4 2" xfId="2770" xr:uid="{36BC1CA6-DADD-4E8A-9D80-D2C16F234DC9}"/>
    <cellStyle name="Normal 4 4 4 5" xfId="2763" xr:uid="{49F02686-F207-4711-A189-EEB02A5C3B34}"/>
    <cellStyle name="Normal 4 4 5" xfId="1606" xr:uid="{00000000-0005-0000-0000-000043060000}"/>
    <cellStyle name="Normal 4 4 5 2" xfId="1607" xr:uid="{00000000-0005-0000-0000-000044060000}"/>
    <cellStyle name="Normal 4 4 5 2 2" xfId="1608" xr:uid="{00000000-0005-0000-0000-000045060000}"/>
    <cellStyle name="Normal 4 4 5 2 2 2" xfId="2773" xr:uid="{6A0D18B4-639D-4ED6-B360-0DA80718F4C0}"/>
    <cellStyle name="Normal 4 4 5 2 3" xfId="2772" xr:uid="{F0E19B4C-07F0-4626-83D8-BABD2BF54092}"/>
    <cellStyle name="Normal 4 4 5 3" xfId="1609" xr:uid="{00000000-0005-0000-0000-000046060000}"/>
    <cellStyle name="Normal 4 4 5 3 2" xfId="2774" xr:uid="{88D417D5-039E-4051-88A4-FFB664A09EC0}"/>
    <cellStyle name="Normal 4 4 5 4" xfId="2771" xr:uid="{CE4E1BBD-444E-4DE8-AFD3-85542CB7A63C}"/>
    <cellStyle name="Normal 4 4 6" xfId="1610" xr:uid="{00000000-0005-0000-0000-000047060000}"/>
    <cellStyle name="Normal 4 4 6 2" xfId="1611" xr:uid="{00000000-0005-0000-0000-000048060000}"/>
    <cellStyle name="Normal 4 4 6 2 2" xfId="2776" xr:uid="{D99C8EFD-FCE6-4B83-A552-38E02482DA7D}"/>
    <cellStyle name="Normal 4 4 6 3" xfId="2775" xr:uid="{DE91D45C-C3C4-460B-ACD6-A04FDCA8557E}"/>
    <cellStyle name="Normal 4 4 7" xfId="1612" xr:uid="{00000000-0005-0000-0000-000049060000}"/>
    <cellStyle name="Normal 4 4 7 2" xfId="2777" xr:uid="{963694DC-2AC3-4AB5-9D06-1B6B51199CFB}"/>
    <cellStyle name="Normal 4 4 8" xfId="2054" xr:uid="{5F83B9D6-3D2A-4B28-9FFE-16C32A7C7C32}"/>
    <cellStyle name="Normal 4 4 9" xfId="3051" xr:uid="{138EFA35-21D3-4FE2-B22F-4406B0AA93AB}"/>
    <cellStyle name="Normal 4 5" xfId="1613" xr:uid="{00000000-0005-0000-0000-00004A060000}"/>
    <cellStyle name="Normal 4 5 10" xfId="3052" xr:uid="{AEBB6D8E-8C98-4E02-AE44-B494C204F6DF}"/>
    <cellStyle name="Normal 4 5 2" xfId="1614" xr:uid="{00000000-0005-0000-0000-00004B060000}"/>
    <cellStyle name="Normal 4 5 2 2" xfId="1615" xr:uid="{00000000-0005-0000-0000-00004C060000}"/>
    <cellStyle name="Normal 4 5 2 2 2" xfId="1616" xr:uid="{00000000-0005-0000-0000-00004D060000}"/>
    <cellStyle name="Normal 4 5 2 2 2 2" xfId="1617" xr:uid="{00000000-0005-0000-0000-00004E060000}"/>
    <cellStyle name="Normal 4 5 2 2 2 2 2" xfId="1618" xr:uid="{00000000-0005-0000-0000-00004F060000}"/>
    <cellStyle name="Normal 4 5 2 2 2 2 2 2" xfId="2783" xr:uid="{2DB61840-F56E-4709-9F72-437156ABB8F2}"/>
    <cellStyle name="Normal 4 5 2 2 2 2 3" xfId="2782" xr:uid="{E7329AAF-0FDE-47EE-9283-6C7DDE7B7DDF}"/>
    <cellStyle name="Normal 4 5 2 2 2 3" xfId="1619" xr:uid="{00000000-0005-0000-0000-000050060000}"/>
    <cellStyle name="Normal 4 5 2 2 2 3 2" xfId="2784" xr:uid="{035A4B73-1D6E-43DB-8685-0C722B8B82B4}"/>
    <cellStyle name="Normal 4 5 2 2 2 4" xfId="2781" xr:uid="{34D2ADB4-12C3-46F9-8751-4D48D53AE29F}"/>
    <cellStyle name="Normal 4 5 2 2 3" xfId="1620" xr:uid="{00000000-0005-0000-0000-000051060000}"/>
    <cellStyle name="Normal 4 5 2 2 3 2" xfId="1621" xr:uid="{00000000-0005-0000-0000-000052060000}"/>
    <cellStyle name="Normal 4 5 2 2 3 2 2" xfId="2786" xr:uid="{1BB7A457-F210-4FE5-8D37-1CAF6B19246E}"/>
    <cellStyle name="Normal 4 5 2 2 3 3" xfId="2785" xr:uid="{8E512770-8902-4927-BD0A-6929AEC8BEA6}"/>
    <cellStyle name="Normal 4 5 2 2 4" xfId="1622" xr:uid="{00000000-0005-0000-0000-000053060000}"/>
    <cellStyle name="Normal 4 5 2 2 4 2" xfId="2787" xr:uid="{17209E18-418C-4A4F-9B58-5821237F9FE3}"/>
    <cellStyle name="Normal 4 5 2 2 5" xfId="2780" xr:uid="{60DF11F9-1D3D-4C5C-9F21-8776F504AB53}"/>
    <cellStyle name="Normal 4 5 2 3" xfId="1623" xr:uid="{00000000-0005-0000-0000-000054060000}"/>
    <cellStyle name="Normal 4 5 2 3 2" xfId="1624" xr:uid="{00000000-0005-0000-0000-000055060000}"/>
    <cellStyle name="Normal 4 5 2 3 2 2" xfId="1625" xr:uid="{00000000-0005-0000-0000-000056060000}"/>
    <cellStyle name="Normal 4 5 2 3 2 2 2" xfId="2790" xr:uid="{C8915144-8AFA-4427-9B8E-E3C67C96E91B}"/>
    <cellStyle name="Normal 4 5 2 3 2 3" xfId="2789" xr:uid="{D003782E-3BB9-4BF7-8C97-579E9A40D5F8}"/>
    <cellStyle name="Normal 4 5 2 3 3" xfId="1626" xr:uid="{00000000-0005-0000-0000-000057060000}"/>
    <cellStyle name="Normal 4 5 2 3 3 2" xfId="2791" xr:uid="{A0E38358-8607-4BAA-917B-19BC8875E05C}"/>
    <cellStyle name="Normal 4 5 2 3 4" xfId="2788" xr:uid="{61A38E45-0BB7-4F10-98A6-89D7583AA43E}"/>
    <cellStyle name="Normal 4 5 2 4" xfId="1627" xr:uid="{00000000-0005-0000-0000-000058060000}"/>
    <cellStyle name="Normal 4 5 2 4 2" xfId="1628" xr:uid="{00000000-0005-0000-0000-000059060000}"/>
    <cellStyle name="Normal 4 5 2 4 2 2" xfId="2793" xr:uid="{5E7BC728-7A5C-4559-8981-086879653875}"/>
    <cellStyle name="Normal 4 5 2 4 3" xfId="2792" xr:uid="{A4F82F0F-E95B-4DCE-A992-FC99C3B01EF9}"/>
    <cellStyle name="Normal 4 5 2 5" xfId="1629" xr:uid="{00000000-0005-0000-0000-00005A060000}"/>
    <cellStyle name="Normal 4 5 2 5 2" xfId="2794" xr:uid="{57D8A2F3-CF55-48A1-9151-5DCD123DD482}"/>
    <cellStyle name="Normal 4 5 2 6" xfId="2779" xr:uid="{86BAC1ED-8B0B-465F-8602-91AC2A4FB8B5}"/>
    <cellStyle name="Normal 4 5 3" xfId="1630" xr:uid="{00000000-0005-0000-0000-00005B060000}"/>
    <cellStyle name="Normal 4 5 3 2" xfId="1631" xr:uid="{00000000-0005-0000-0000-00005C060000}"/>
    <cellStyle name="Normal 4 5 3 2 2" xfId="1632" xr:uid="{00000000-0005-0000-0000-00005D060000}"/>
    <cellStyle name="Normal 4 5 3 2 2 2" xfId="1633" xr:uid="{00000000-0005-0000-0000-00005E060000}"/>
    <cellStyle name="Normal 4 5 3 2 2 2 2" xfId="2798" xr:uid="{F9AFBDF9-CA08-467C-8A4A-D7E3A9839E8F}"/>
    <cellStyle name="Normal 4 5 3 2 2 3" xfId="2797" xr:uid="{7314E891-4790-44C7-B1F7-2A3ABCF6F6D1}"/>
    <cellStyle name="Normal 4 5 3 2 3" xfId="1634" xr:uid="{00000000-0005-0000-0000-00005F060000}"/>
    <cellStyle name="Normal 4 5 3 2 3 2" xfId="2799" xr:uid="{ACAAB6AD-0FEE-47C0-B9C8-8ECD002226DF}"/>
    <cellStyle name="Normal 4 5 3 2 4" xfId="2796" xr:uid="{01BBA5E7-9629-4597-B5AE-A7D17D5FBF6E}"/>
    <cellStyle name="Normal 4 5 3 3" xfId="1635" xr:uid="{00000000-0005-0000-0000-000060060000}"/>
    <cellStyle name="Normal 4 5 3 3 2" xfId="1636" xr:uid="{00000000-0005-0000-0000-000061060000}"/>
    <cellStyle name="Normal 4 5 3 3 2 2" xfId="2801" xr:uid="{91C473FF-4516-4930-B18B-F300BA9DD6EB}"/>
    <cellStyle name="Normal 4 5 3 3 3" xfId="2800" xr:uid="{290FB7A4-70E7-4D23-8ADC-B78B172E57AE}"/>
    <cellStyle name="Normal 4 5 3 4" xfId="1637" xr:uid="{00000000-0005-0000-0000-000062060000}"/>
    <cellStyle name="Normal 4 5 3 4 2" xfId="2802" xr:uid="{D8B903EF-0F3E-4D28-ADEE-FAA707F15B5E}"/>
    <cellStyle name="Normal 4 5 3 5" xfId="2795" xr:uid="{F417BA2C-76C6-4662-960A-FF342AAE9B4F}"/>
    <cellStyle name="Normal 4 5 4" xfId="1638" xr:uid="{00000000-0005-0000-0000-000063060000}"/>
    <cellStyle name="Normal 4 5 4 2" xfId="1639" xr:uid="{00000000-0005-0000-0000-000064060000}"/>
    <cellStyle name="Normal 4 5 4 2 2" xfId="1640" xr:uid="{00000000-0005-0000-0000-000065060000}"/>
    <cellStyle name="Normal 4 5 4 2 2 2" xfId="2805" xr:uid="{1B5F91AF-C760-4970-AB3A-955572B4B545}"/>
    <cellStyle name="Normal 4 5 4 2 3" xfId="2804" xr:uid="{7C910D7F-BF44-478B-9994-332E9A9C242E}"/>
    <cellStyle name="Normal 4 5 4 3" xfId="1641" xr:uid="{00000000-0005-0000-0000-000066060000}"/>
    <cellStyle name="Normal 4 5 4 3 2" xfId="2806" xr:uid="{1943D6E5-4003-4DD4-A8B8-A80BB7ECB25F}"/>
    <cellStyle name="Normal 4 5 4 4" xfId="2803" xr:uid="{B85230C3-83C2-42B7-B026-7E09C2877FC8}"/>
    <cellStyle name="Normal 4 5 5" xfId="1642" xr:uid="{00000000-0005-0000-0000-000067060000}"/>
    <cellStyle name="Normal 4 5 5 2" xfId="1643" xr:uid="{00000000-0005-0000-0000-000068060000}"/>
    <cellStyle name="Normal 4 5 5 2 2" xfId="2808" xr:uid="{1AB9FA98-CF2D-43A2-8A5A-159DE5C3FA59}"/>
    <cellStyle name="Normal 4 5 5 3" xfId="2807" xr:uid="{7EC4CA21-6E6C-4A4C-AB71-03670DCBA015}"/>
    <cellStyle name="Normal 4 5 6" xfId="1644" xr:uid="{00000000-0005-0000-0000-000069060000}"/>
    <cellStyle name="Normal 4 5 6 2" xfId="2809" xr:uid="{3030A783-5E9C-4F78-A201-965803BED375}"/>
    <cellStyle name="Normal 4 5 7" xfId="1645" xr:uid="{00000000-0005-0000-0000-00006A060000}"/>
    <cellStyle name="Normal 4 5 7 2" xfId="2778" xr:uid="{976503D1-7B53-4B92-AFCA-9AE27C90D94B}"/>
    <cellStyle name="Normal 4 5 8" xfId="1646" xr:uid="{00000000-0005-0000-0000-00006B060000}"/>
    <cellStyle name="Normal 4 5 9" xfId="2055" xr:uid="{E3FC2777-A2AC-468C-8BDA-84BC36C897C3}"/>
    <cellStyle name="Normal 4 6" xfId="1647" xr:uid="{00000000-0005-0000-0000-00006C060000}"/>
    <cellStyle name="Normal 4 6 2" xfId="1648" xr:uid="{00000000-0005-0000-0000-00006D060000}"/>
    <cellStyle name="Normal 4 6 2 2" xfId="1649" xr:uid="{00000000-0005-0000-0000-00006E060000}"/>
    <cellStyle name="Normal 4 6 2 2 2" xfId="1650" xr:uid="{00000000-0005-0000-0000-00006F060000}"/>
    <cellStyle name="Normal 4 6 2 2 2 2" xfId="1651" xr:uid="{00000000-0005-0000-0000-000070060000}"/>
    <cellStyle name="Normal 4 6 2 2 2 2 2" xfId="2814" xr:uid="{AEB051DF-AA25-4DE2-9BEA-08C069B916E9}"/>
    <cellStyle name="Normal 4 6 2 2 2 3" xfId="2813" xr:uid="{D66FD6AA-5252-47F6-B8AE-80D87C0ADD53}"/>
    <cellStyle name="Normal 4 6 2 2 3" xfId="1652" xr:uid="{00000000-0005-0000-0000-000071060000}"/>
    <cellStyle name="Normal 4 6 2 2 3 2" xfId="2815" xr:uid="{FCBB24EA-26FE-4BCC-9DBB-DD49092B2E9A}"/>
    <cellStyle name="Normal 4 6 2 2 4" xfId="2812" xr:uid="{B32DA858-001C-415A-9B1F-A01595D009EE}"/>
    <cellStyle name="Normal 4 6 2 3" xfId="1653" xr:uid="{00000000-0005-0000-0000-000072060000}"/>
    <cellStyle name="Normal 4 6 2 3 2" xfId="1654" xr:uid="{00000000-0005-0000-0000-000073060000}"/>
    <cellStyle name="Normal 4 6 2 3 2 2" xfId="2817" xr:uid="{53449169-0929-467E-BF44-AF3FBFD80866}"/>
    <cellStyle name="Normal 4 6 2 3 3" xfId="2816" xr:uid="{43A679EA-162B-4FE5-9202-2261508156A3}"/>
    <cellStyle name="Normal 4 6 2 4" xfId="1655" xr:uid="{00000000-0005-0000-0000-000074060000}"/>
    <cellStyle name="Normal 4 6 2 4 2" xfId="2818" xr:uid="{0F24E0FC-0BEA-4E84-8B68-F11DCEE6E05E}"/>
    <cellStyle name="Normal 4 6 2 5" xfId="2811" xr:uid="{F7EC3FD9-E7B7-41FF-81B1-45674E4C0A72}"/>
    <cellStyle name="Normal 4 6 3" xfId="1656" xr:uid="{00000000-0005-0000-0000-000075060000}"/>
    <cellStyle name="Normal 4 6 3 2" xfId="1657" xr:uid="{00000000-0005-0000-0000-000076060000}"/>
    <cellStyle name="Normal 4 6 3 2 2" xfId="1658" xr:uid="{00000000-0005-0000-0000-000077060000}"/>
    <cellStyle name="Normal 4 6 3 2 2 2" xfId="2821" xr:uid="{D741EB3B-4BF6-4CEB-8577-8FCF71AACBA9}"/>
    <cellStyle name="Normal 4 6 3 2 3" xfId="2820" xr:uid="{322460A6-F0C6-4374-9721-3379FC1B86E5}"/>
    <cellStyle name="Normal 4 6 3 3" xfId="1659" xr:uid="{00000000-0005-0000-0000-000078060000}"/>
    <cellStyle name="Normal 4 6 3 3 2" xfId="2822" xr:uid="{A0792F3B-D07F-4581-9857-21C1BEA203A4}"/>
    <cellStyle name="Normal 4 6 3 4" xfId="2819" xr:uid="{07798451-69FC-4B5F-9F45-53CA7EDF4328}"/>
    <cellStyle name="Normal 4 6 4" xfId="1660" xr:uid="{00000000-0005-0000-0000-000079060000}"/>
    <cellStyle name="Normal 4 6 4 2" xfId="1661" xr:uid="{00000000-0005-0000-0000-00007A060000}"/>
    <cellStyle name="Normal 4 6 4 2 2" xfId="2824" xr:uid="{BCF659C6-2C74-46F0-87D1-A87CEB635786}"/>
    <cellStyle name="Normal 4 6 4 3" xfId="2823" xr:uid="{DA9A17B4-B5DA-464A-894C-2CCDECD4B07B}"/>
    <cellStyle name="Normal 4 6 5" xfId="1662" xr:uid="{00000000-0005-0000-0000-00007B060000}"/>
    <cellStyle name="Normal 4 6 5 2" xfId="2825" xr:uid="{DB489F6C-C725-40EE-BC1F-5658AA8D7275}"/>
    <cellStyle name="Normal 4 6 6" xfId="2810" xr:uid="{8636F63E-73B5-460E-88F4-D186FAA1376D}"/>
    <cellStyle name="Normal 4 7" xfId="1663" xr:uid="{00000000-0005-0000-0000-00007C060000}"/>
    <cellStyle name="Normal 4 7 2" xfId="1664" xr:uid="{00000000-0005-0000-0000-00007D060000}"/>
    <cellStyle name="Normal 4 7 2 2" xfId="1665" xr:uid="{00000000-0005-0000-0000-00007E060000}"/>
    <cellStyle name="Normal 4 7 2 2 2" xfId="1666" xr:uid="{00000000-0005-0000-0000-00007F060000}"/>
    <cellStyle name="Normal 4 7 2 2 2 2" xfId="2829" xr:uid="{5D7D9423-CC96-490C-BA81-B4FFF62325E3}"/>
    <cellStyle name="Normal 4 7 2 2 3" xfId="2828" xr:uid="{BB01EA37-13AE-4145-BC20-D77E3A3F9B19}"/>
    <cellStyle name="Normal 4 7 2 3" xfId="1667" xr:uid="{00000000-0005-0000-0000-000080060000}"/>
    <cellStyle name="Normal 4 7 2 3 2" xfId="2830" xr:uid="{C961BC4C-8B9A-4C52-8686-3E33F36D5F94}"/>
    <cellStyle name="Normal 4 7 2 4" xfId="2827" xr:uid="{7DBD7074-6EB0-4A0E-BEF8-2705775FE9DE}"/>
    <cellStyle name="Normal 4 7 3" xfId="1668" xr:uid="{00000000-0005-0000-0000-000081060000}"/>
    <cellStyle name="Normal 4 7 3 2" xfId="1669" xr:uid="{00000000-0005-0000-0000-000082060000}"/>
    <cellStyle name="Normal 4 7 3 2 2" xfId="2832" xr:uid="{77CABD5D-6C23-4C94-BDD4-F7C7890245DC}"/>
    <cellStyle name="Normal 4 7 3 3" xfId="2831" xr:uid="{0B84BF65-1A70-4EE5-8A9B-27C05349714D}"/>
    <cellStyle name="Normal 4 7 4" xfId="1670" xr:uid="{00000000-0005-0000-0000-000083060000}"/>
    <cellStyle name="Normal 4 7 4 2" xfId="2833" xr:uid="{7041C175-1616-4BDD-BFA3-1794A0AE80B0}"/>
    <cellStyle name="Normal 4 7 5" xfId="2826" xr:uid="{C777C2A3-A582-40D7-8109-812FDCAB006F}"/>
    <cellStyle name="Normal 4 8" xfId="1671" xr:uid="{00000000-0005-0000-0000-000084060000}"/>
    <cellStyle name="Normal 4 8 2" xfId="1672" xr:uid="{00000000-0005-0000-0000-000085060000}"/>
    <cellStyle name="Normal 4 8 2 2" xfId="1673" xr:uid="{00000000-0005-0000-0000-000086060000}"/>
    <cellStyle name="Normal 4 8 2 2 2" xfId="2836" xr:uid="{38F27D98-2E9B-486D-AFCF-D9992A820E85}"/>
    <cellStyle name="Normal 4 8 2 3" xfId="2835" xr:uid="{A4F098ED-376B-4CF9-9A8B-04E07DA79BE1}"/>
    <cellStyle name="Normal 4 8 3" xfId="1674" xr:uid="{00000000-0005-0000-0000-000087060000}"/>
    <cellStyle name="Normal 4 8 3 2" xfId="2837" xr:uid="{F80FA158-4729-494E-80CD-66D1063E7EB3}"/>
    <cellStyle name="Normal 4 8 4" xfId="2834" xr:uid="{725CADCD-D0BB-451B-9704-B34F72A466E7}"/>
    <cellStyle name="Normal 4 9" xfId="1675" xr:uid="{00000000-0005-0000-0000-000088060000}"/>
    <cellStyle name="Normal 4 9 2" xfId="1676" xr:uid="{00000000-0005-0000-0000-000089060000}"/>
    <cellStyle name="Normal 4 9 2 2" xfId="2839" xr:uid="{F5A7F066-51F4-422B-A44D-3965F8416A6D}"/>
    <cellStyle name="Normal 4 9 3" xfId="2838" xr:uid="{E65AB2CF-1C44-45B2-822D-11D28C3C8049}"/>
    <cellStyle name="Normal 5" xfId="1677" xr:uid="{00000000-0005-0000-0000-00008A060000}"/>
    <cellStyle name="Normal 5 10" xfId="1678" xr:uid="{00000000-0005-0000-0000-00008B060000}"/>
    <cellStyle name="Normal 5 11" xfId="1679" xr:uid="{00000000-0005-0000-0000-00008C060000}"/>
    <cellStyle name="Normal 5 12" xfId="2056" xr:uid="{618CD4A9-3B9B-4F2D-A4F5-91CEE9BD9630}"/>
    <cellStyle name="Normal 5 13" xfId="3053" xr:uid="{42A9B1FF-BD33-42EF-8757-6C42133683E8}"/>
    <cellStyle name="Normal 5 2" xfId="1680" xr:uid="{00000000-0005-0000-0000-00008D060000}"/>
    <cellStyle name="Normal 5 2 2" xfId="1681" xr:uid="{00000000-0005-0000-0000-00008E060000}"/>
    <cellStyle name="Normal 5 2 2 2" xfId="1682" xr:uid="{00000000-0005-0000-0000-00008F060000}"/>
    <cellStyle name="Normal 5 2 2 2 2" xfId="1683" xr:uid="{00000000-0005-0000-0000-000090060000}"/>
    <cellStyle name="Normal 5 2 2 2 2 2" xfId="1684" xr:uid="{00000000-0005-0000-0000-000091060000}"/>
    <cellStyle name="Normal 5 2 2 2 2 2 2" xfId="1685" xr:uid="{00000000-0005-0000-0000-000092060000}"/>
    <cellStyle name="Normal 5 2 2 2 2 2 2 2" xfId="1686" xr:uid="{00000000-0005-0000-0000-000093060000}"/>
    <cellStyle name="Normal 5 2 2 2 2 2 2 2 2" xfId="2845" xr:uid="{86E54B49-C40A-4C09-9819-5578BF7FDD48}"/>
    <cellStyle name="Normal 5 2 2 2 2 2 2 3" xfId="2844" xr:uid="{47FE1DE0-7E4D-4CCC-BC5D-9F213A4914B6}"/>
    <cellStyle name="Normal 5 2 2 2 2 2 3" xfId="1687" xr:uid="{00000000-0005-0000-0000-000094060000}"/>
    <cellStyle name="Normal 5 2 2 2 2 2 3 2" xfId="2846" xr:uid="{3D8EB448-635E-490A-B68A-03614A0F5C5F}"/>
    <cellStyle name="Normal 5 2 2 2 2 2 4" xfId="2843" xr:uid="{37F9BAA0-65A2-4C40-8B17-3C64D531022E}"/>
    <cellStyle name="Normal 5 2 2 2 2 3" xfId="1688" xr:uid="{00000000-0005-0000-0000-000095060000}"/>
    <cellStyle name="Normal 5 2 2 2 2 3 2" xfId="1689" xr:uid="{00000000-0005-0000-0000-000096060000}"/>
    <cellStyle name="Normal 5 2 2 2 2 3 2 2" xfId="2848" xr:uid="{F6D1F4E9-F6ED-4A5E-9906-4FF1608A16F9}"/>
    <cellStyle name="Normal 5 2 2 2 2 3 3" xfId="2847" xr:uid="{8B717566-68DB-4D83-8A7B-E70A0AF57C7F}"/>
    <cellStyle name="Normal 5 2 2 2 2 4" xfId="1690" xr:uid="{00000000-0005-0000-0000-000097060000}"/>
    <cellStyle name="Normal 5 2 2 2 2 4 2" xfId="2849" xr:uid="{7DA07001-196C-47AA-83CA-57C5FAAE0E2A}"/>
    <cellStyle name="Normal 5 2 2 2 2 5" xfId="2842" xr:uid="{05692A04-51A8-4799-93BF-8B77C862BF5B}"/>
    <cellStyle name="Normal 5 2 2 2 3" xfId="1691" xr:uid="{00000000-0005-0000-0000-000098060000}"/>
    <cellStyle name="Normal 5 2 2 2 3 2" xfId="1692" xr:uid="{00000000-0005-0000-0000-000099060000}"/>
    <cellStyle name="Normal 5 2 2 2 3 2 2" xfId="1693" xr:uid="{00000000-0005-0000-0000-00009A060000}"/>
    <cellStyle name="Normal 5 2 2 2 3 2 2 2" xfId="2852" xr:uid="{548EB055-5FC1-4003-AE24-09D34C1424AF}"/>
    <cellStyle name="Normal 5 2 2 2 3 2 3" xfId="2851" xr:uid="{18A30142-F0CD-4EAC-AF4C-09482AD6223C}"/>
    <cellStyle name="Normal 5 2 2 2 3 3" xfId="1694" xr:uid="{00000000-0005-0000-0000-00009B060000}"/>
    <cellStyle name="Normal 5 2 2 2 3 3 2" xfId="2853" xr:uid="{18E6E451-8E8C-4B66-86DE-53E5516FB745}"/>
    <cellStyle name="Normal 5 2 2 2 3 4" xfId="2850" xr:uid="{C2853C79-9133-4228-BBF5-1B08EFBEDD0C}"/>
    <cellStyle name="Normal 5 2 2 2 4" xfId="1695" xr:uid="{00000000-0005-0000-0000-00009C060000}"/>
    <cellStyle name="Normal 5 2 2 2 4 2" xfId="1696" xr:uid="{00000000-0005-0000-0000-00009D060000}"/>
    <cellStyle name="Normal 5 2 2 2 4 2 2" xfId="2855" xr:uid="{31E2A9F5-C2D3-4F5E-B727-48DB0875C361}"/>
    <cellStyle name="Normal 5 2 2 2 4 3" xfId="2854" xr:uid="{FF9FDE56-72B2-4165-8149-A7976C356E31}"/>
    <cellStyle name="Normal 5 2 2 2 5" xfId="1697" xr:uid="{00000000-0005-0000-0000-00009E060000}"/>
    <cellStyle name="Normal 5 2 2 2 5 2" xfId="2856" xr:uid="{4310E505-5019-46D5-960D-110FDB85F9B9}"/>
    <cellStyle name="Normal 5 2 2 2 6" xfId="2841" xr:uid="{88E3503D-3409-47B9-901E-0A96F98C1407}"/>
    <cellStyle name="Normal 5 2 2 3" xfId="1698" xr:uid="{00000000-0005-0000-0000-00009F060000}"/>
    <cellStyle name="Normal 5 2 2 3 2" xfId="1699" xr:uid="{00000000-0005-0000-0000-0000A0060000}"/>
    <cellStyle name="Normal 5 2 2 3 2 2" xfId="1700" xr:uid="{00000000-0005-0000-0000-0000A1060000}"/>
    <cellStyle name="Normal 5 2 2 3 2 2 2" xfId="1701" xr:uid="{00000000-0005-0000-0000-0000A2060000}"/>
    <cellStyle name="Normal 5 2 2 3 2 2 2 2" xfId="2860" xr:uid="{822DD1FE-7599-4D27-8EDD-E756BE49A9F8}"/>
    <cellStyle name="Normal 5 2 2 3 2 2 3" xfId="2859" xr:uid="{D37248D2-3338-4F15-909F-1B44C0DAC9A5}"/>
    <cellStyle name="Normal 5 2 2 3 2 3" xfId="1702" xr:uid="{00000000-0005-0000-0000-0000A3060000}"/>
    <cellStyle name="Normal 5 2 2 3 2 3 2" xfId="2861" xr:uid="{D655729B-109E-4A68-A325-754D56BFB9B4}"/>
    <cellStyle name="Normal 5 2 2 3 2 4" xfId="2858" xr:uid="{528AAC6D-D640-4B22-B8BD-3FD03915FCC4}"/>
    <cellStyle name="Normal 5 2 2 3 3" xfId="1703" xr:uid="{00000000-0005-0000-0000-0000A4060000}"/>
    <cellStyle name="Normal 5 2 2 3 3 2" xfId="1704" xr:uid="{00000000-0005-0000-0000-0000A5060000}"/>
    <cellStyle name="Normal 5 2 2 3 3 2 2" xfId="2863" xr:uid="{90078871-66F0-4F0B-90FA-6BFE0869778B}"/>
    <cellStyle name="Normal 5 2 2 3 3 3" xfId="2862" xr:uid="{C115C85A-D7D3-4A66-B84E-3CD215994DC5}"/>
    <cellStyle name="Normal 5 2 2 3 4" xfId="1705" xr:uid="{00000000-0005-0000-0000-0000A6060000}"/>
    <cellStyle name="Normal 5 2 2 3 4 2" xfId="2864" xr:uid="{82ECB5A9-06A8-48BB-9C15-DEF3009601E9}"/>
    <cellStyle name="Normal 5 2 2 3 5" xfId="2857" xr:uid="{EB7B107B-F347-470E-B2B8-BB9F6E6DF2E9}"/>
    <cellStyle name="Normal 5 2 2 4" xfId="1706" xr:uid="{00000000-0005-0000-0000-0000A7060000}"/>
    <cellStyle name="Normal 5 2 2 4 2" xfId="1707" xr:uid="{00000000-0005-0000-0000-0000A8060000}"/>
    <cellStyle name="Normal 5 2 2 4 2 2" xfId="1708" xr:uid="{00000000-0005-0000-0000-0000A9060000}"/>
    <cellStyle name="Normal 5 2 2 4 2 2 2" xfId="2867" xr:uid="{46559744-84CD-41A4-B86F-3B489682E6ED}"/>
    <cellStyle name="Normal 5 2 2 4 2 3" xfId="2866" xr:uid="{FF677F27-69F6-4D38-B9B4-DFC0CAED14BB}"/>
    <cellStyle name="Normal 5 2 2 4 3" xfId="1709" xr:uid="{00000000-0005-0000-0000-0000AA060000}"/>
    <cellStyle name="Normal 5 2 2 4 3 2" xfId="2868" xr:uid="{FB93F539-5232-4112-9DED-DF8B96205E9E}"/>
    <cellStyle name="Normal 5 2 2 4 4" xfId="2865" xr:uid="{BAEB2372-3CCB-463B-8055-F03653A3386C}"/>
    <cellStyle name="Normal 5 2 2 5" xfId="1710" xr:uid="{00000000-0005-0000-0000-0000AB060000}"/>
    <cellStyle name="Normal 5 2 2 5 2" xfId="1711" xr:uid="{00000000-0005-0000-0000-0000AC060000}"/>
    <cellStyle name="Normal 5 2 2 5 2 2" xfId="2870" xr:uid="{0A38310E-72F3-48CC-8D7C-5D86397D986A}"/>
    <cellStyle name="Normal 5 2 2 5 3" xfId="2869" xr:uid="{39324E08-38E0-4274-8601-0CA62E89CB6B}"/>
    <cellStyle name="Normal 5 2 2 6" xfId="1712" xr:uid="{00000000-0005-0000-0000-0000AD060000}"/>
    <cellStyle name="Normal 5 2 2 6 2" xfId="2871" xr:uid="{6B8FC30F-539F-41A7-8E72-518AED91C884}"/>
    <cellStyle name="Normal 5 2 2 7" xfId="2840" xr:uid="{DA929CC7-2245-4E87-941B-4EA12C2B8A54}"/>
    <cellStyle name="Normal 5 2 3" xfId="1713" xr:uid="{00000000-0005-0000-0000-0000AE060000}"/>
    <cellStyle name="Normal 5 2 3 2" xfId="1714" xr:uid="{00000000-0005-0000-0000-0000AF060000}"/>
    <cellStyle name="Normal 5 2 3 2 2" xfId="1715" xr:uid="{00000000-0005-0000-0000-0000B0060000}"/>
    <cellStyle name="Normal 5 2 3 2 2 2" xfId="1716" xr:uid="{00000000-0005-0000-0000-0000B1060000}"/>
    <cellStyle name="Normal 5 2 3 2 2 2 2" xfId="1717" xr:uid="{00000000-0005-0000-0000-0000B2060000}"/>
    <cellStyle name="Normal 5 2 3 2 2 2 2 2" xfId="2876" xr:uid="{716BF816-D632-4946-B69A-B9A5772211CA}"/>
    <cellStyle name="Normal 5 2 3 2 2 2 3" xfId="2875" xr:uid="{87AF1E03-0234-4E75-B78B-E00086FB86E4}"/>
    <cellStyle name="Normal 5 2 3 2 2 3" xfId="1718" xr:uid="{00000000-0005-0000-0000-0000B3060000}"/>
    <cellStyle name="Normal 5 2 3 2 2 3 2" xfId="2877" xr:uid="{B7963B0E-4829-4690-893D-1F99993FC8A7}"/>
    <cellStyle name="Normal 5 2 3 2 2 4" xfId="2874" xr:uid="{DB5F09B0-3CE8-4BEC-8663-06F445B55E58}"/>
    <cellStyle name="Normal 5 2 3 2 3" xfId="1719" xr:uid="{00000000-0005-0000-0000-0000B4060000}"/>
    <cellStyle name="Normal 5 2 3 2 3 2" xfId="1720" xr:uid="{00000000-0005-0000-0000-0000B5060000}"/>
    <cellStyle name="Normal 5 2 3 2 3 2 2" xfId="2879" xr:uid="{AC817BF2-9D3C-4909-8F91-7F2F274E64C0}"/>
    <cellStyle name="Normal 5 2 3 2 3 3" xfId="2878" xr:uid="{1BAEB9DF-B764-4335-8AFA-502E8AA4DFB1}"/>
    <cellStyle name="Normal 5 2 3 2 4" xfId="1721" xr:uid="{00000000-0005-0000-0000-0000B6060000}"/>
    <cellStyle name="Normal 5 2 3 2 4 2" xfId="2880" xr:uid="{7EF9F60E-7847-4707-B070-20ACFD004690}"/>
    <cellStyle name="Normal 5 2 3 2 5" xfId="2873" xr:uid="{E4DE02F3-1527-40BE-9C3F-F41A100B831F}"/>
    <cellStyle name="Normal 5 2 3 3" xfId="1722" xr:uid="{00000000-0005-0000-0000-0000B7060000}"/>
    <cellStyle name="Normal 5 2 3 3 2" xfId="1723" xr:uid="{00000000-0005-0000-0000-0000B8060000}"/>
    <cellStyle name="Normal 5 2 3 3 2 2" xfId="1724" xr:uid="{00000000-0005-0000-0000-0000B9060000}"/>
    <cellStyle name="Normal 5 2 3 3 2 2 2" xfId="2883" xr:uid="{95BD80D9-99AB-4FB2-9C91-8CFD63332D35}"/>
    <cellStyle name="Normal 5 2 3 3 2 3" xfId="2882" xr:uid="{C2F90F03-284C-4855-8D96-5E21B0B51554}"/>
    <cellStyle name="Normal 5 2 3 3 3" xfId="1725" xr:uid="{00000000-0005-0000-0000-0000BA060000}"/>
    <cellStyle name="Normal 5 2 3 3 3 2" xfId="2884" xr:uid="{CDA5D1C3-39E9-4497-930E-1BA8DE315D10}"/>
    <cellStyle name="Normal 5 2 3 3 4" xfId="2881" xr:uid="{624E3DC4-6600-4276-9945-EC89C6475379}"/>
    <cellStyle name="Normal 5 2 3 4" xfId="1726" xr:uid="{00000000-0005-0000-0000-0000BB060000}"/>
    <cellStyle name="Normal 5 2 3 4 2" xfId="1727" xr:uid="{00000000-0005-0000-0000-0000BC060000}"/>
    <cellStyle name="Normal 5 2 3 4 2 2" xfId="2886" xr:uid="{D0FA6737-CEC2-41E6-ABC6-48A86109D3A8}"/>
    <cellStyle name="Normal 5 2 3 4 3" xfId="2885" xr:uid="{569A5BB3-C0AD-4F9A-BD97-C4C7597723F9}"/>
    <cellStyle name="Normal 5 2 3 5" xfId="1728" xr:uid="{00000000-0005-0000-0000-0000BD060000}"/>
    <cellStyle name="Normal 5 2 3 5 2" xfId="2887" xr:uid="{98664265-3114-466D-B567-814B43CCD625}"/>
    <cellStyle name="Normal 5 2 3 6" xfId="2872" xr:uid="{D3D9E2F4-0870-4403-8E30-F1721E081307}"/>
    <cellStyle name="Normal 5 2 4" xfId="1729" xr:uid="{00000000-0005-0000-0000-0000BE060000}"/>
    <cellStyle name="Normal 5 2 4 2" xfId="1730" xr:uid="{00000000-0005-0000-0000-0000BF060000}"/>
    <cellStyle name="Normal 5 2 4 2 2" xfId="1731" xr:uid="{00000000-0005-0000-0000-0000C0060000}"/>
    <cellStyle name="Normal 5 2 4 2 2 2" xfId="1732" xr:uid="{00000000-0005-0000-0000-0000C1060000}"/>
    <cellStyle name="Normal 5 2 4 2 2 2 2" xfId="2891" xr:uid="{80F77280-CE4A-4F54-BE4A-EDE4A71949D6}"/>
    <cellStyle name="Normal 5 2 4 2 2 3" xfId="2890" xr:uid="{549E8945-B67E-4283-B2BB-1B6DB511C04B}"/>
    <cellStyle name="Normal 5 2 4 2 3" xfId="1733" xr:uid="{00000000-0005-0000-0000-0000C2060000}"/>
    <cellStyle name="Normal 5 2 4 2 3 2" xfId="2892" xr:uid="{617483CE-8D92-4F57-BD1C-D801CF4AEB14}"/>
    <cellStyle name="Normal 5 2 4 2 4" xfId="2889" xr:uid="{837E4982-7DB4-4A0A-9997-792B8A1FD358}"/>
    <cellStyle name="Normal 5 2 4 3" xfId="1734" xr:uid="{00000000-0005-0000-0000-0000C3060000}"/>
    <cellStyle name="Normal 5 2 4 3 2" xfId="1735" xr:uid="{00000000-0005-0000-0000-0000C4060000}"/>
    <cellStyle name="Normal 5 2 4 3 2 2" xfId="2894" xr:uid="{E55FEA7A-8A48-4D1B-9B91-73AC25989208}"/>
    <cellStyle name="Normal 5 2 4 3 3" xfId="2893" xr:uid="{4C4F3337-29A7-4922-9AE9-2AB6A6ECB6BF}"/>
    <cellStyle name="Normal 5 2 4 4" xfId="1736" xr:uid="{00000000-0005-0000-0000-0000C5060000}"/>
    <cellStyle name="Normal 5 2 4 4 2" xfId="2895" xr:uid="{69E6CB9E-24E4-4BCA-A288-DD74E54FD4AF}"/>
    <cellStyle name="Normal 5 2 4 5" xfId="2888" xr:uid="{D2713C03-8793-4CF8-B987-358EBF1B98CA}"/>
    <cellStyle name="Normal 5 2 5" xfId="1737" xr:uid="{00000000-0005-0000-0000-0000C6060000}"/>
    <cellStyle name="Normal 5 2 5 2" xfId="1738" xr:uid="{00000000-0005-0000-0000-0000C7060000}"/>
    <cellStyle name="Normal 5 2 5 2 2" xfId="1739" xr:uid="{00000000-0005-0000-0000-0000C8060000}"/>
    <cellStyle name="Normal 5 2 5 2 2 2" xfId="2898" xr:uid="{642C7DDF-C433-4D4E-AEDE-66625D8B8D25}"/>
    <cellStyle name="Normal 5 2 5 2 3" xfId="2897" xr:uid="{AE027C33-B0B0-44FA-8AE5-37717C334324}"/>
    <cellStyle name="Normal 5 2 5 3" xfId="1740" xr:uid="{00000000-0005-0000-0000-0000C9060000}"/>
    <cellStyle name="Normal 5 2 5 3 2" xfId="2899" xr:uid="{277C9CD8-10F0-4956-B3D5-265A719F764E}"/>
    <cellStyle name="Normal 5 2 5 4" xfId="2896" xr:uid="{011EE7E3-A29F-400D-A025-455D35F10CBC}"/>
    <cellStyle name="Normal 5 2 6" xfId="1741" xr:uid="{00000000-0005-0000-0000-0000CA060000}"/>
    <cellStyle name="Normal 5 2 6 2" xfId="1742" xr:uid="{00000000-0005-0000-0000-0000CB060000}"/>
    <cellStyle name="Normal 5 2 6 2 2" xfId="2901" xr:uid="{1093B511-290D-420A-8A0F-903371B27876}"/>
    <cellStyle name="Normal 5 2 6 3" xfId="2900" xr:uid="{C6CFCE38-8059-454E-8F46-D0A95E411144}"/>
    <cellStyle name="Normal 5 2 7" xfId="1743" xr:uid="{00000000-0005-0000-0000-0000CC060000}"/>
    <cellStyle name="Normal 5 2 7 2" xfId="2902" xr:uid="{96F1E2B3-F757-4705-9637-F7EA798FE26E}"/>
    <cellStyle name="Normal 5 2 8" xfId="2057" xr:uid="{C676BCB0-C530-4915-B399-AD385DF54FAD}"/>
    <cellStyle name="Normal 5 2 9" xfId="3054" xr:uid="{46FD94DB-A848-4D0C-9015-D7F7921268A4}"/>
    <cellStyle name="Normal 5 3" xfId="1744" xr:uid="{00000000-0005-0000-0000-0000CD060000}"/>
    <cellStyle name="Normal 5 3 2" xfId="1745" xr:uid="{00000000-0005-0000-0000-0000CE060000}"/>
    <cellStyle name="Normal 5 3 2 2" xfId="1746" xr:uid="{00000000-0005-0000-0000-0000CF060000}"/>
    <cellStyle name="Normal 5 3 2 2 2" xfId="1747" xr:uid="{00000000-0005-0000-0000-0000D0060000}"/>
    <cellStyle name="Normal 5 3 2 2 2 2" xfId="1748" xr:uid="{00000000-0005-0000-0000-0000D1060000}"/>
    <cellStyle name="Normal 5 3 2 2 2 2 2" xfId="1749" xr:uid="{00000000-0005-0000-0000-0000D2060000}"/>
    <cellStyle name="Normal 5 3 2 2 2 2 2 2" xfId="1750" xr:uid="{00000000-0005-0000-0000-0000D3060000}"/>
    <cellStyle name="Normal 5 3 2 2 2 2 2 2 2" xfId="2908" xr:uid="{58597354-1219-4B83-B495-D4667AF01F40}"/>
    <cellStyle name="Normal 5 3 2 2 2 2 2 3" xfId="2907" xr:uid="{82355E73-7039-44D4-BF1D-8CAB1135ECD5}"/>
    <cellStyle name="Normal 5 3 2 2 2 2 3" xfId="1751" xr:uid="{00000000-0005-0000-0000-0000D4060000}"/>
    <cellStyle name="Normal 5 3 2 2 2 2 3 2" xfId="2909" xr:uid="{21F0A377-7DBF-4BA2-A476-F9972A83A928}"/>
    <cellStyle name="Normal 5 3 2 2 2 2 4" xfId="2906" xr:uid="{F51203DD-F849-4337-9DBF-B168419280F4}"/>
    <cellStyle name="Normal 5 3 2 2 2 3" xfId="1752" xr:uid="{00000000-0005-0000-0000-0000D5060000}"/>
    <cellStyle name="Normal 5 3 2 2 2 3 2" xfId="1753" xr:uid="{00000000-0005-0000-0000-0000D6060000}"/>
    <cellStyle name="Normal 5 3 2 2 2 3 2 2" xfId="2911" xr:uid="{47137106-6A61-42C9-87CD-F26780CE66E5}"/>
    <cellStyle name="Normal 5 3 2 2 2 3 3" xfId="2910" xr:uid="{BC3FFE05-2EDA-474C-8F28-3695DCF6F3F8}"/>
    <cellStyle name="Normal 5 3 2 2 2 4" xfId="1754" xr:uid="{00000000-0005-0000-0000-0000D7060000}"/>
    <cellStyle name="Normal 5 3 2 2 2 4 2" xfId="2912" xr:uid="{259A94C0-4E46-4B33-88D2-4A87D972DD71}"/>
    <cellStyle name="Normal 5 3 2 2 2 5" xfId="2905" xr:uid="{28B106EE-792C-4757-A163-2521158082B8}"/>
    <cellStyle name="Normal 5 3 2 2 3" xfId="1755" xr:uid="{00000000-0005-0000-0000-0000D8060000}"/>
    <cellStyle name="Normal 5 3 2 2 3 2" xfId="1756" xr:uid="{00000000-0005-0000-0000-0000D9060000}"/>
    <cellStyle name="Normal 5 3 2 2 3 2 2" xfId="1757" xr:uid="{00000000-0005-0000-0000-0000DA060000}"/>
    <cellStyle name="Normal 5 3 2 2 3 2 2 2" xfId="2915" xr:uid="{BDF05DFA-5EFE-4DCA-942F-2E1AE3129828}"/>
    <cellStyle name="Normal 5 3 2 2 3 2 3" xfId="2914" xr:uid="{0B96233E-E1F8-46A6-BBB7-80E58C6A662F}"/>
    <cellStyle name="Normal 5 3 2 2 3 3" xfId="1758" xr:uid="{00000000-0005-0000-0000-0000DB060000}"/>
    <cellStyle name="Normal 5 3 2 2 3 3 2" xfId="2916" xr:uid="{26979499-0CDE-4557-97DD-82DB0F0E2D2B}"/>
    <cellStyle name="Normal 5 3 2 2 3 4" xfId="2913" xr:uid="{A00BDCC4-3950-4BA2-8064-644E3A188C35}"/>
    <cellStyle name="Normal 5 3 2 2 4" xfId="1759" xr:uid="{00000000-0005-0000-0000-0000DC060000}"/>
    <cellStyle name="Normal 5 3 2 2 4 2" xfId="1760" xr:uid="{00000000-0005-0000-0000-0000DD060000}"/>
    <cellStyle name="Normal 5 3 2 2 4 2 2" xfId="2918" xr:uid="{E1A35F4B-D20E-4944-8D51-B65D76CD36EA}"/>
    <cellStyle name="Normal 5 3 2 2 4 3" xfId="2917" xr:uid="{0319A950-29C2-4F51-9C2E-B098649E065A}"/>
    <cellStyle name="Normal 5 3 2 2 5" xfId="1761" xr:uid="{00000000-0005-0000-0000-0000DE060000}"/>
    <cellStyle name="Normal 5 3 2 2 5 2" xfId="2919" xr:uid="{46B0C139-A5B7-48FF-A284-3DFA5419F65E}"/>
    <cellStyle name="Normal 5 3 2 2 6" xfId="2904" xr:uid="{E22B0DE7-312D-474B-BAE2-005EF23D32D5}"/>
    <cellStyle name="Normal 5 3 2 3" xfId="1762" xr:uid="{00000000-0005-0000-0000-0000DF060000}"/>
    <cellStyle name="Normal 5 3 2 3 2" xfId="1763" xr:uid="{00000000-0005-0000-0000-0000E0060000}"/>
    <cellStyle name="Normal 5 3 2 3 2 2" xfId="1764" xr:uid="{00000000-0005-0000-0000-0000E1060000}"/>
    <cellStyle name="Normal 5 3 2 3 2 2 2" xfId="1765" xr:uid="{00000000-0005-0000-0000-0000E2060000}"/>
    <cellStyle name="Normal 5 3 2 3 2 2 2 2" xfId="2923" xr:uid="{C5F31834-E8C4-4FC8-B7B2-965F8E836077}"/>
    <cellStyle name="Normal 5 3 2 3 2 2 3" xfId="2922" xr:uid="{36871419-4EDA-4230-8FC6-40B1DA4BD4C0}"/>
    <cellStyle name="Normal 5 3 2 3 2 3" xfId="1766" xr:uid="{00000000-0005-0000-0000-0000E3060000}"/>
    <cellStyle name="Normal 5 3 2 3 2 3 2" xfId="2924" xr:uid="{7E710DF6-0A0F-48D3-84D1-FF8BAF36F287}"/>
    <cellStyle name="Normal 5 3 2 3 2 4" xfId="2921" xr:uid="{D6D75BF5-E61A-445E-8CB4-6A6937890DCC}"/>
    <cellStyle name="Normal 5 3 2 3 3" xfId="1767" xr:uid="{00000000-0005-0000-0000-0000E4060000}"/>
    <cellStyle name="Normal 5 3 2 3 3 2" xfId="1768" xr:uid="{00000000-0005-0000-0000-0000E5060000}"/>
    <cellStyle name="Normal 5 3 2 3 3 2 2" xfId="2926" xr:uid="{5FD4A2FC-D2E0-44D0-88D5-8E4781B0279F}"/>
    <cellStyle name="Normal 5 3 2 3 3 3" xfId="2925" xr:uid="{51C72A33-9EC3-47A1-9576-0F2A8132B1FF}"/>
    <cellStyle name="Normal 5 3 2 3 4" xfId="1769" xr:uid="{00000000-0005-0000-0000-0000E6060000}"/>
    <cellStyle name="Normal 5 3 2 3 4 2" xfId="2927" xr:uid="{D812370C-CCB4-43CD-8734-7D5770C47B45}"/>
    <cellStyle name="Normal 5 3 2 3 5" xfId="2920" xr:uid="{8B6C98C4-4A5D-4856-A8BB-53963AF23523}"/>
    <cellStyle name="Normal 5 3 2 4" xfId="1770" xr:uid="{00000000-0005-0000-0000-0000E7060000}"/>
    <cellStyle name="Normal 5 3 2 4 2" xfId="1771" xr:uid="{00000000-0005-0000-0000-0000E8060000}"/>
    <cellStyle name="Normal 5 3 2 4 2 2" xfId="1772" xr:uid="{00000000-0005-0000-0000-0000E9060000}"/>
    <cellStyle name="Normal 5 3 2 4 2 2 2" xfId="2930" xr:uid="{83023413-CE4B-4924-BF73-F42A6B9D12C9}"/>
    <cellStyle name="Normal 5 3 2 4 2 3" xfId="2929" xr:uid="{3A872CAF-7A85-47D2-877F-5F8CA8391E1F}"/>
    <cellStyle name="Normal 5 3 2 4 3" xfId="1773" xr:uid="{00000000-0005-0000-0000-0000EA060000}"/>
    <cellStyle name="Normal 5 3 2 4 3 2" xfId="2931" xr:uid="{D04C542E-3F06-442D-8377-9F6EB850B445}"/>
    <cellStyle name="Normal 5 3 2 4 4" xfId="2928" xr:uid="{BBD844F4-2B5B-4B78-A3D0-C9B4B3A1D60F}"/>
    <cellStyle name="Normal 5 3 2 5" xfId="1774" xr:uid="{00000000-0005-0000-0000-0000EB060000}"/>
    <cellStyle name="Normal 5 3 2 5 2" xfId="1775" xr:uid="{00000000-0005-0000-0000-0000EC060000}"/>
    <cellStyle name="Normal 5 3 2 5 2 2" xfId="2933" xr:uid="{80E8ABBA-1354-4092-A1C8-38DC2A0F9058}"/>
    <cellStyle name="Normal 5 3 2 5 3" xfId="2932" xr:uid="{FD53A278-2FBA-4EAE-B21C-9315C127EB5E}"/>
    <cellStyle name="Normal 5 3 2 6" xfId="1776" xr:uid="{00000000-0005-0000-0000-0000ED060000}"/>
    <cellStyle name="Normal 5 3 2 6 2" xfId="2934" xr:uid="{7652424D-9095-4F4B-816A-2C3C12EB33E1}"/>
    <cellStyle name="Normal 5 3 2 7" xfId="2903" xr:uid="{B70EA5ED-72EC-4BEB-8956-8AFF25A069F9}"/>
    <cellStyle name="Normal 5 3 3" xfId="1777" xr:uid="{00000000-0005-0000-0000-0000EE060000}"/>
    <cellStyle name="Normal 5 3 3 2" xfId="1778" xr:uid="{00000000-0005-0000-0000-0000EF060000}"/>
    <cellStyle name="Normal 5 3 3 2 2" xfId="1779" xr:uid="{00000000-0005-0000-0000-0000F0060000}"/>
    <cellStyle name="Normal 5 3 3 2 2 2" xfId="1780" xr:uid="{00000000-0005-0000-0000-0000F1060000}"/>
    <cellStyle name="Normal 5 3 3 2 2 2 2" xfId="1781" xr:uid="{00000000-0005-0000-0000-0000F2060000}"/>
    <cellStyle name="Normal 5 3 3 2 2 2 2 2" xfId="2939" xr:uid="{A25FF14D-8A9B-4FBB-A447-2F93EB9FE8AF}"/>
    <cellStyle name="Normal 5 3 3 2 2 2 3" xfId="2938" xr:uid="{9877AE67-6E51-47A6-8478-2F4170E6F8AB}"/>
    <cellStyle name="Normal 5 3 3 2 2 3" xfId="1782" xr:uid="{00000000-0005-0000-0000-0000F3060000}"/>
    <cellStyle name="Normal 5 3 3 2 2 3 2" xfId="2940" xr:uid="{034F8BA4-5D25-428B-8DFC-926F8BDFB967}"/>
    <cellStyle name="Normal 5 3 3 2 2 4" xfId="2937" xr:uid="{C9B9B0CB-37C5-4F0B-98B6-DFFC3FEF9133}"/>
    <cellStyle name="Normal 5 3 3 2 3" xfId="1783" xr:uid="{00000000-0005-0000-0000-0000F4060000}"/>
    <cellStyle name="Normal 5 3 3 2 3 2" xfId="1784" xr:uid="{00000000-0005-0000-0000-0000F5060000}"/>
    <cellStyle name="Normal 5 3 3 2 3 2 2" xfId="2942" xr:uid="{4A479994-74A2-495D-A226-0DD2582D4491}"/>
    <cellStyle name="Normal 5 3 3 2 3 3" xfId="2941" xr:uid="{CA9B2455-C69B-424B-9208-C622E9680D8F}"/>
    <cellStyle name="Normal 5 3 3 2 4" xfId="1785" xr:uid="{00000000-0005-0000-0000-0000F6060000}"/>
    <cellStyle name="Normal 5 3 3 2 4 2" xfId="2943" xr:uid="{2B68DB2A-453F-46EB-B444-CC9524782399}"/>
    <cellStyle name="Normal 5 3 3 2 5" xfId="2936" xr:uid="{990DD3C7-39A7-4BF4-868B-FB0414761A29}"/>
    <cellStyle name="Normal 5 3 3 3" xfId="1786" xr:uid="{00000000-0005-0000-0000-0000F7060000}"/>
    <cellStyle name="Normal 5 3 3 3 2" xfId="1787" xr:uid="{00000000-0005-0000-0000-0000F8060000}"/>
    <cellStyle name="Normal 5 3 3 3 2 2" xfId="1788" xr:uid="{00000000-0005-0000-0000-0000F9060000}"/>
    <cellStyle name="Normal 5 3 3 3 2 2 2" xfId="2946" xr:uid="{DB4A048B-C002-442E-AFFC-A048E11388ED}"/>
    <cellStyle name="Normal 5 3 3 3 2 3" xfId="2945" xr:uid="{567531F8-63FE-413E-9CBE-232FFB905AA4}"/>
    <cellStyle name="Normal 5 3 3 3 3" xfId="1789" xr:uid="{00000000-0005-0000-0000-0000FA060000}"/>
    <cellStyle name="Normal 5 3 3 3 3 2" xfId="2947" xr:uid="{AEF7D0FB-6F4E-421D-988A-6FD4A8C94A4C}"/>
    <cellStyle name="Normal 5 3 3 3 4" xfId="2944" xr:uid="{9CD4F217-1E1F-4568-95E7-CB5B5868266E}"/>
    <cellStyle name="Normal 5 3 3 4" xfId="1790" xr:uid="{00000000-0005-0000-0000-0000FB060000}"/>
    <cellStyle name="Normal 5 3 3 4 2" xfId="1791" xr:uid="{00000000-0005-0000-0000-0000FC060000}"/>
    <cellStyle name="Normal 5 3 3 4 2 2" xfId="2949" xr:uid="{DC740EDF-435E-4B10-BBA3-80BA71C1DBA8}"/>
    <cellStyle name="Normal 5 3 3 4 3" xfId="2948" xr:uid="{B95208AD-595E-4500-94AF-678483462B8B}"/>
    <cellStyle name="Normal 5 3 3 5" xfId="1792" xr:uid="{00000000-0005-0000-0000-0000FD060000}"/>
    <cellStyle name="Normal 5 3 3 5 2" xfId="2950" xr:uid="{5287CE29-38CA-4A85-ADE7-F060C0FE11F4}"/>
    <cellStyle name="Normal 5 3 3 6" xfId="2935" xr:uid="{86C9681C-C8F4-490D-B981-775308182B01}"/>
    <cellStyle name="Normal 5 3 4" xfId="1793" xr:uid="{00000000-0005-0000-0000-0000FE060000}"/>
    <cellStyle name="Normal 5 3 4 2" xfId="1794" xr:uid="{00000000-0005-0000-0000-0000FF060000}"/>
    <cellStyle name="Normal 5 3 4 2 2" xfId="1795" xr:uid="{00000000-0005-0000-0000-000000070000}"/>
    <cellStyle name="Normal 5 3 4 2 2 2" xfId="1796" xr:uid="{00000000-0005-0000-0000-000001070000}"/>
    <cellStyle name="Normal 5 3 4 2 2 2 2" xfId="2954" xr:uid="{953BEFF6-6E24-4557-84C5-420ADD24F4DE}"/>
    <cellStyle name="Normal 5 3 4 2 2 3" xfId="2953" xr:uid="{F148B1B0-5B05-4E97-B40E-5F7395B0CF2E}"/>
    <cellStyle name="Normal 5 3 4 2 3" xfId="1797" xr:uid="{00000000-0005-0000-0000-000002070000}"/>
    <cellStyle name="Normal 5 3 4 2 3 2" xfId="2955" xr:uid="{56F9957D-4BD3-442F-88DD-5AAD258921FD}"/>
    <cellStyle name="Normal 5 3 4 2 4" xfId="2952" xr:uid="{09A516A1-57F4-4597-B067-0CA509E2D6EB}"/>
    <cellStyle name="Normal 5 3 4 3" xfId="1798" xr:uid="{00000000-0005-0000-0000-000003070000}"/>
    <cellStyle name="Normal 5 3 4 3 2" xfId="1799" xr:uid="{00000000-0005-0000-0000-000004070000}"/>
    <cellStyle name="Normal 5 3 4 3 2 2" xfId="2957" xr:uid="{77DA7D87-7CC9-4028-B9D6-02A2DC738BE6}"/>
    <cellStyle name="Normal 5 3 4 3 3" xfId="2956" xr:uid="{9D1D5376-0F49-47C6-B5C7-9A2C35A2E2E2}"/>
    <cellStyle name="Normal 5 3 4 4" xfId="1800" xr:uid="{00000000-0005-0000-0000-000005070000}"/>
    <cellStyle name="Normal 5 3 4 4 2" xfId="2958" xr:uid="{9A9C9092-C7BA-4877-9BB8-6DCEB5CD7514}"/>
    <cellStyle name="Normal 5 3 4 5" xfId="2951" xr:uid="{5042325C-DDF5-44C8-815F-EEC4F79CDBB3}"/>
    <cellStyle name="Normal 5 3 5" xfId="1801" xr:uid="{00000000-0005-0000-0000-000006070000}"/>
    <cellStyle name="Normal 5 3 5 2" xfId="1802" xr:uid="{00000000-0005-0000-0000-000007070000}"/>
    <cellStyle name="Normal 5 3 5 2 2" xfId="1803" xr:uid="{00000000-0005-0000-0000-000008070000}"/>
    <cellStyle name="Normal 5 3 5 2 2 2" xfId="2961" xr:uid="{A483806B-ED66-46B5-820C-B4F971337A4F}"/>
    <cellStyle name="Normal 5 3 5 2 3" xfId="2960" xr:uid="{353D9F08-815D-4DE9-BD0F-AFA16B9D0C55}"/>
    <cellStyle name="Normal 5 3 5 3" xfId="1804" xr:uid="{00000000-0005-0000-0000-000009070000}"/>
    <cellStyle name="Normal 5 3 5 3 2" xfId="2962" xr:uid="{7BFD2B55-AA53-4C0B-9A66-13ACECCD8FA1}"/>
    <cellStyle name="Normal 5 3 5 4" xfId="2959" xr:uid="{846EBC46-1C7E-4129-8D96-1C63C5BDA734}"/>
    <cellStyle name="Normal 5 3 6" xfId="1805" xr:uid="{00000000-0005-0000-0000-00000A070000}"/>
    <cellStyle name="Normal 5 3 6 2" xfId="1806" xr:uid="{00000000-0005-0000-0000-00000B070000}"/>
    <cellStyle name="Normal 5 3 6 2 2" xfId="2964" xr:uid="{0D943F22-683D-4E3A-BDFD-6A3D5F00D0B9}"/>
    <cellStyle name="Normal 5 3 6 3" xfId="2963" xr:uid="{A1017A97-0CF5-4FFD-A104-227127DA4063}"/>
    <cellStyle name="Normal 5 3 7" xfId="1807" xr:uid="{00000000-0005-0000-0000-00000C070000}"/>
    <cellStyle name="Normal 5 3 7 2" xfId="2965" xr:uid="{912A96CD-87B4-46E9-949F-D7045C2DB675}"/>
    <cellStyle name="Normal 5 3 8" xfId="2058" xr:uid="{D133B7AE-AA80-4BD3-85BE-A7AEDA49178F}"/>
    <cellStyle name="Normal 5 3 9" xfId="3055" xr:uid="{7377752B-BC67-4948-B61F-07BB95322531}"/>
    <cellStyle name="Normal 5 4" xfId="1808" xr:uid="{00000000-0005-0000-0000-00000D070000}"/>
    <cellStyle name="Normal 5 4 2" xfId="1809" xr:uid="{00000000-0005-0000-0000-00000E070000}"/>
    <cellStyle name="Normal 5 4 2 2" xfId="1810" xr:uid="{00000000-0005-0000-0000-00000F070000}"/>
    <cellStyle name="Normal 5 4 2 2 2" xfId="1811" xr:uid="{00000000-0005-0000-0000-000010070000}"/>
    <cellStyle name="Normal 5 4 2 2 2 2" xfId="1812" xr:uid="{00000000-0005-0000-0000-000011070000}"/>
    <cellStyle name="Normal 5 4 2 2 2 2 2" xfId="1813" xr:uid="{00000000-0005-0000-0000-000012070000}"/>
    <cellStyle name="Normal 5 4 2 2 2 2 2 2" xfId="2971" xr:uid="{B2C820F6-A592-478E-9396-9141AB2FE558}"/>
    <cellStyle name="Normal 5 4 2 2 2 2 3" xfId="2970" xr:uid="{E076AA8F-20A6-4AF8-B9DA-46B4FF3DE58E}"/>
    <cellStyle name="Normal 5 4 2 2 2 3" xfId="1814" xr:uid="{00000000-0005-0000-0000-000013070000}"/>
    <cellStyle name="Normal 5 4 2 2 2 3 2" xfId="2972" xr:uid="{2F4E0A34-498B-4EB0-9BA6-C1B9DC9AC36F}"/>
    <cellStyle name="Normal 5 4 2 2 2 4" xfId="2969" xr:uid="{5E7249EC-5710-4D05-84FA-6949D43984EA}"/>
    <cellStyle name="Normal 5 4 2 2 3" xfId="1815" xr:uid="{00000000-0005-0000-0000-000014070000}"/>
    <cellStyle name="Normal 5 4 2 2 3 2" xfId="1816" xr:uid="{00000000-0005-0000-0000-000015070000}"/>
    <cellStyle name="Normal 5 4 2 2 3 2 2" xfId="2974" xr:uid="{DEB8ACCD-6799-41BB-B9E2-81BAFCF85B52}"/>
    <cellStyle name="Normal 5 4 2 2 3 3" xfId="2973" xr:uid="{0A0DC28E-61F7-4687-BA7E-BDE90E4CD04B}"/>
    <cellStyle name="Normal 5 4 2 2 4" xfId="1817" xr:uid="{00000000-0005-0000-0000-000016070000}"/>
    <cellStyle name="Normal 5 4 2 2 4 2" xfId="2975" xr:uid="{32921067-CB1D-40FA-A741-C0B6B841F64F}"/>
    <cellStyle name="Normal 5 4 2 2 5" xfId="2968" xr:uid="{69678BAE-6423-437F-BAF7-219129796AC7}"/>
    <cellStyle name="Normal 5 4 2 3" xfId="1818" xr:uid="{00000000-0005-0000-0000-000017070000}"/>
    <cellStyle name="Normal 5 4 2 3 2" xfId="1819" xr:uid="{00000000-0005-0000-0000-000018070000}"/>
    <cellStyle name="Normal 5 4 2 3 2 2" xfId="1820" xr:uid="{00000000-0005-0000-0000-000019070000}"/>
    <cellStyle name="Normal 5 4 2 3 2 2 2" xfId="2978" xr:uid="{14AC3B7A-9AE1-4035-8777-A45EB412E35D}"/>
    <cellStyle name="Normal 5 4 2 3 2 3" xfId="2977" xr:uid="{2D8F6849-BEE5-4D53-9B1E-EFE3DAD05F16}"/>
    <cellStyle name="Normal 5 4 2 3 3" xfId="1821" xr:uid="{00000000-0005-0000-0000-00001A070000}"/>
    <cellStyle name="Normal 5 4 2 3 3 2" xfId="2979" xr:uid="{5291F216-A6D4-4876-B1B8-F46284B6D1DE}"/>
    <cellStyle name="Normal 5 4 2 3 4" xfId="2976" xr:uid="{7B8974E5-4457-4193-AF96-F791E8BE7AA0}"/>
    <cellStyle name="Normal 5 4 2 4" xfId="1822" xr:uid="{00000000-0005-0000-0000-00001B070000}"/>
    <cellStyle name="Normal 5 4 2 4 2" xfId="1823" xr:uid="{00000000-0005-0000-0000-00001C070000}"/>
    <cellStyle name="Normal 5 4 2 4 2 2" xfId="2981" xr:uid="{D6DB1DEF-36D4-423D-A0F9-E7B83B9B4262}"/>
    <cellStyle name="Normal 5 4 2 4 3" xfId="2980" xr:uid="{38EB394D-1BA5-4B0D-A132-B71C6FD23FC5}"/>
    <cellStyle name="Normal 5 4 2 5" xfId="1824" xr:uid="{00000000-0005-0000-0000-00001D070000}"/>
    <cellStyle name="Normal 5 4 2 5 2" xfId="2982" xr:uid="{42747DFE-7198-41E7-BCB2-9A34533C13DF}"/>
    <cellStyle name="Normal 5 4 2 6" xfId="2967" xr:uid="{B9797B4E-7DC6-4323-9C87-785BF03F4B0C}"/>
    <cellStyle name="Normal 5 4 3" xfId="1825" xr:uid="{00000000-0005-0000-0000-00001E070000}"/>
    <cellStyle name="Normal 5 4 3 2" xfId="1826" xr:uid="{00000000-0005-0000-0000-00001F070000}"/>
    <cellStyle name="Normal 5 4 3 2 2" xfId="1827" xr:uid="{00000000-0005-0000-0000-000020070000}"/>
    <cellStyle name="Normal 5 4 3 2 2 2" xfId="1828" xr:uid="{00000000-0005-0000-0000-000021070000}"/>
    <cellStyle name="Normal 5 4 3 2 2 2 2" xfId="2986" xr:uid="{1EF62D2A-3311-44B3-B03E-66F0B0365E4C}"/>
    <cellStyle name="Normal 5 4 3 2 2 3" xfId="2985" xr:uid="{F5A240EA-D03B-4660-B806-2EC070C9D2CC}"/>
    <cellStyle name="Normal 5 4 3 2 3" xfId="1829" xr:uid="{00000000-0005-0000-0000-000022070000}"/>
    <cellStyle name="Normal 5 4 3 2 3 2" xfId="2987" xr:uid="{9E89592B-34B5-42E2-9CDF-9C0845551D86}"/>
    <cellStyle name="Normal 5 4 3 2 4" xfId="2984" xr:uid="{FD3A896D-3EF6-4398-8F1F-9355CD653648}"/>
    <cellStyle name="Normal 5 4 3 3" xfId="1830" xr:uid="{00000000-0005-0000-0000-000023070000}"/>
    <cellStyle name="Normal 5 4 3 3 2" xfId="1831" xr:uid="{00000000-0005-0000-0000-000024070000}"/>
    <cellStyle name="Normal 5 4 3 3 2 2" xfId="2989" xr:uid="{C80A5C54-41BD-4CF3-94F1-34D234C91C4B}"/>
    <cellStyle name="Normal 5 4 3 3 3" xfId="2988" xr:uid="{2007A348-23F3-45F0-A862-9ADA08238292}"/>
    <cellStyle name="Normal 5 4 3 4" xfId="1832" xr:uid="{00000000-0005-0000-0000-000025070000}"/>
    <cellStyle name="Normal 5 4 3 4 2" xfId="2990" xr:uid="{8F96AB5E-2D95-4173-80BB-464E9958AFF8}"/>
    <cellStyle name="Normal 5 4 3 5" xfId="2983" xr:uid="{07D190AA-9251-49BB-A807-D341F701DC72}"/>
    <cellStyle name="Normal 5 4 4" xfId="1833" xr:uid="{00000000-0005-0000-0000-000026070000}"/>
    <cellStyle name="Normal 5 4 4 2" xfId="1834" xr:uid="{00000000-0005-0000-0000-000027070000}"/>
    <cellStyle name="Normal 5 4 4 2 2" xfId="1835" xr:uid="{00000000-0005-0000-0000-000028070000}"/>
    <cellStyle name="Normal 5 4 4 2 2 2" xfId="2993" xr:uid="{191FA913-0CE7-4F0F-AAC3-7A31F570DCC0}"/>
    <cellStyle name="Normal 5 4 4 2 3" xfId="2992" xr:uid="{118B9DEF-D87D-4B9E-9DDA-4A5C6E4E6131}"/>
    <cellStyle name="Normal 5 4 4 3" xfId="1836" xr:uid="{00000000-0005-0000-0000-000029070000}"/>
    <cellStyle name="Normal 5 4 4 3 2" xfId="2994" xr:uid="{0AC4B15A-75D5-4F51-926A-DCAD522A7E74}"/>
    <cellStyle name="Normal 5 4 4 4" xfId="2991" xr:uid="{27787527-FC1A-4FCD-8937-C59855E9F361}"/>
    <cellStyle name="Normal 5 4 5" xfId="1837" xr:uid="{00000000-0005-0000-0000-00002A070000}"/>
    <cellStyle name="Normal 5 4 5 2" xfId="1838" xr:uid="{00000000-0005-0000-0000-00002B070000}"/>
    <cellStyle name="Normal 5 4 5 2 2" xfId="2996" xr:uid="{A90A4965-5372-4A00-93F1-95FCCE48073C}"/>
    <cellStyle name="Normal 5 4 5 3" xfId="2995" xr:uid="{F91BAA70-9CE2-4EE1-8F67-8615C32AF7C0}"/>
    <cellStyle name="Normal 5 4 6" xfId="1839" xr:uid="{00000000-0005-0000-0000-00002C070000}"/>
    <cellStyle name="Normal 5 4 6 2" xfId="2997" xr:uid="{1C7A0FDB-E6EE-42ED-B299-B4955A93FE35}"/>
    <cellStyle name="Normal 5 4 7" xfId="1840" xr:uid="{00000000-0005-0000-0000-00002D070000}"/>
    <cellStyle name="Normal 5 4 7 2" xfId="2966" xr:uid="{55EC94BC-A128-432E-96C5-FD1383FEEFC9}"/>
    <cellStyle name="Normal 5 5" xfId="1841" xr:uid="{00000000-0005-0000-0000-00002E070000}"/>
    <cellStyle name="Normal 5 5 2" xfId="1842" xr:uid="{00000000-0005-0000-0000-00002F070000}"/>
    <cellStyle name="Normal 5 5 2 2" xfId="1843" xr:uid="{00000000-0005-0000-0000-000030070000}"/>
    <cellStyle name="Normal 5 5 2 2 2" xfId="1844" xr:uid="{00000000-0005-0000-0000-000031070000}"/>
    <cellStyle name="Normal 5 5 2 2 2 2" xfId="1845" xr:uid="{00000000-0005-0000-0000-000032070000}"/>
    <cellStyle name="Normal 5 5 2 2 2 2 2" xfId="3002" xr:uid="{BD1E3FAB-7B53-4981-AA61-F6AC0685B583}"/>
    <cellStyle name="Normal 5 5 2 2 2 3" xfId="3001" xr:uid="{53FB8EAF-B07A-4F7E-8A77-9CA2F7C3DA24}"/>
    <cellStyle name="Normal 5 5 2 2 3" xfId="1846" xr:uid="{00000000-0005-0000-0000-000033070000}"/>
    <cellStyle name="Normal 5 5 2 2 3 2" xfId="3003" xr:uid="{CB282DF7-F0E5-400F-95A2-466FF0094C3C}"/>
    <cellStyle name="Normal 5 5 2 2 4" xfId="3000" xr:uid="{0CC2BB05-7EA4-4077-896B-32EBE0AC0564}"/>
    <cellStyle name="Normal 5 5 2 3" xfId="1847" xr:uid="{00000000-0005-0000-0000-000034070000}"/>
    <cellStyle name="Normal 5 5 2 3 2" xfId="1848" xr:uid="{00000000-0005-0000-0000-000035070000}"/>
    <cellStyle name="Normal 5 5 2 3 2 2" xfId="3005" xr:uid="{30BF2515-6EAF-4F7F-8547-A4755E1D605A}"/>
    <cellStyle name="Normal 5 5 2 3 3" xfId="3004" xr:uid="{8E4DA975-C9B8-491A-9F9A-6F5861CD12B9}"/>
    <cellStyle name="Normal 5 5 2 4" xfId="1849" xr:uid="{00000000-0005-0000-0000-000036070000}"/>
    <cellStyle name="Normal 5 5 2 4 2" xfId="3006" xr:uid="{D7E79D24-7F30-4147-BF70-8A2352905127}"/>
    <cellStyle name="Normal 5 5 2 5" xfId="2999" xr:uid="{5EBB7D15-42C7-4DA5-8BEF-980E47789EF9}"/>
    <cellStyle name="Normal 5 5 3" xfId="1850" xr:uid="{00000000-0005-0000-0000-000037070000}"/>
    <cellStyle name="Normal 5 5 3 2" xfId="1851" xr:uid="{00000000-0005-0000-0000-000038070000}"/>
    <cellStyle name="Normal 5 5 3 2 2" xfId="1852" xr:uid="{00000000-0005-0000-0000-000039070000}"/>
    <cellStyle name="Normal 5 5 3 2 2 2" xfId="3009" xr:uid="{5150F44A-3A01-4DC6-B425-6CE1FC9A5797}"/>
    <cellStyle name="Normal 5 5 3 2 3" xfId="3008" xr:uid="{4873B80B-0483-401D-BCEE-42C59211DFDA}"/>
    <cellStyle name="Normal 5 5 3 3" xfId="1853" xr:uid="{00000000-0005-0000-0000-00003A070000}"/>
    <cellStyle name="Normal 5 5 3 3 2" xfId="3010" xr:uid="{F8D0B2B3-8FF8-410A-9242-260A01C1481E}"/>
    <cellStyle name="Normal 5 5 3 4" xfId="3007" xr:uid="{970328C2-6347-4A8A-905A-72A3A7E1A583}"/>
    <cellStyle name="Normal 5 5 4" xfId="1854" xr:uid="{00000000-0005-0000-0000-00003B070000}"/>
    <cellStyle name="Normal 5 5 4 2" xfId="1855" xr:uid="{00000000-0005-0000-0000-00003C070000}"/>
    <cellStyle name="Normal 5 5 4 2 2" xfId="3012" xr:uid="{DEC7B313-0678-4D07-A752-F69CC98A428A}"/>
    <cellStyle name="Normal 5 5 4 3" xfId="3011" xr:uid="{78F2EFF1-B673-4AD8-9786-C334C1A7635E}"/>
    <cellStyle name="Normal 5 5 5" xfId="1856" xr:uid="{00000000-0005-0000-0000-00003D070000}"/>
    <cellStyle name="Normal 5 5 5 2" xfId="3013" xr:uid="{F91F9C16-F1D9-4E29-A23F-5EBDC6BCD5E6}"/>
    <cellStyle name="Normal 5 5 6" xfId="2998" xr:uid="{DD3C1387-022F-4EC5-A463-8EB673FB94A9}"/>
    <cellStyle name="Normal 5 6" xfId="1857" xr:uid="{00000000-0005-0000-0000-00003E070000}"/>
    <cellStyle name="Normal 5 6 2" xfId="1858" xr:uid="{00000000-0005-0000-0000-00003F070000}"/>
    <cellStyle name="Normal 5 6 2 2" xfId="1859" xr:uid="{00000000-0005-0000-0000-000040070000}"/>
    <cellStyle name="Normal 5 6 2 2 2" xfId="1860" xr:uid="{00000000-0005-0000-0000-000041070000}"/>
    <cellStyle name="Normal 5 6 2 2 2 2" xfId="3017" xr:uid="{A3E5481F-AD18-48A2-8769-FA5D84BC2BC8}"/>
    <cellStyle name="Normal 5 6 2 2 3" xfId="3016" xr:uid="{10C57DDC-5FA3-4ECA-9768-E805F1C998DD}"/>
    <cellStyle name="Normal 5 6 2 3" xfId="1861" xr:uid="{00000000-0005-0000-0000-000042070000}"/>
    <cellStyle name="Normal 5 6 2 3 2" xfId="3018" xr:uid="{C068E157-0367-428C-9D6C-7E9F0FAD1AE1}"/>
    <cellStyle name="Normal 5 6 2 4" xfId="3015" xr:uid="{3D06ACFD-5B68-446C-A4BC-CA9DA3CC4780}"/>
    <cellStyle name="Normal 5 6 3" xfId="1862" xr:uid="{00000000-0005-0000-0000-000043070000}"/>
    <cellStyle name="Normal 5 6 3 2" xfId="1863" xr:uid="{00000000-0005-0000-0000-000044070000}"/>
    <cellStyle name="Normal 5 6 3 2 2" xfId="3020" xr:uid="{EF8AC6B4-4BEC-43D8-9AFF-C74CFA7DB21E}"/>
    <cellStyle name="Normal 5 6 3 3" xfId="3019" xr:uid="{9C6521A6-E267-4FD2-B969-B7584FB16F07}"/>
    <cellStyle name="Normal 5 6 4" xfId="1864" xr:uid="{00000000-0005-0000-0000-000045070000}"/>
    <cellStyle name="Normal 5 6 4 2" xfId="3021" xr:uid="{5A30E22F-EA05-41BE-8D11-CD9E10A94D02}"/>
    <cellStyle name="Normal 5 6 5" xfId="3014" xr:uid="{B32D6DAC-57F1-46D4-80B5-CBCE5EDDFBD5}"/>
    <cellStyle name="Normal 5 7" xfId="1865" xr:uid="{00000000-0005-0000-0000-000046070000}"/>
    <cellStyle name="Normal 5 7 2" xfId="1866" xr:uid="{00000000-0005-0000-0000-000047070000}"/>
    <cellStyle name="Normal 5 7 2 2" xfId="1867" xr:uid="{00000000-0005-0000-0000-000048070000}"/>
    <cellStyle name="Normal 5 7 2 2 2" xfId="3024" xr:uid="{FF5ED676-F89D-4AF0-A218-713F9FEB404C}"/>
    <cellStyle name="Normal 5 7 2 3" xfId="3023" xr:uid="{C909DD80-F4DD-4DD3-8545-7D6C175D4809}"/>
    <cellStyle name="Normal 5 7 3" xfId="1868" xr:uid="{00000000-0005-0000-0000-000049070000}"/>
    <cellStyle name="Normal 5 7 3 2" xfId="3025" xr:uid="{C4AEA5BE-8EC3-41EE-B938-27C721356858}"/>
    <cellStyle name="Normal 5 7 4" xfId="3022" xr:uid="{4B89D288-133D-4C81-A160-E9203BD958DA}"/>
    <cellStyle name="Normal 5 8" xfId="1869" xr:uid="{00000000-0005-0000-0000-00004A070000}"/>
    <cellStyle name="Normal 5 8 2" xfId="1870" xr:uid="{00000000-0005-0000-0000-00004B070000}"/>
    <cellStyle name="Normal 5 8 2 2" xfId="3027" xr:uid="{3EC2B34F-B5C3-45B5-BCA7-C60E79ECCE1B}"/>
    <cellStyle name="Normal 5 8 3" xfId="3026" xr:uid="{D5910D5B-CED6-4610-BA4C-EB7550F70CAB}"/>
    <cellStyle name="Normal 5 9" xfId="1871" xr:uid="{00000000-0005-0000-0000-00004C070000}"/>
    <cellStyle name="Normal 5 9 2" xfId="3028" xr:uid="{3657DAC5-5C66-4272-825F-9E11A883D94F}"/>
    <cellStyle name="Normal 6" xfId="1872" xr:uid="{00000000-0005-0000-0000-00004D070000}"/>
    <cellStyle name="Normal 6 2" xfId="1873" xr:uid="{00000000-0005-0000-0000-00004E070000}"/>
    <cellStyle name="Normal 6 3" xfId="1874" xr:uid="{00000000-0005-0000-0000-00004F070000}"/>
    <cellStyle name="Normal 7" xfId="1875" xr:uid="{00000000-0005-0000-0000-000050070000}"/>
    <cellStyle name="Normal 7 2" xfId="1876" xr:uid="{00000000-0005-0000-0000-000051070000}"/>
    <cellStyle name="Normal 7 3" xfId="1877" xr:uid="{00000000-0005-0000-0000-000052070000}"/>
    <cellStyle name="Normal 8" xfId="1878" xr:uid="{00000000-0005-0000-0000-000053070000}"/>
    <cellStyle name="Normal 8 2" xfId="1879" xr:uid="{00000000-0005-0000-0000-000054070000}"/>
    <cellStyle name="Normal 8 3" xfId="1880" xr:uid="{00000000-0005-0000-0000-000055070000}"/>
    <cellStyle name="Normal 9" xfId="1881" xr:uid="{00000000-0005-0000-0000-000056070000}"/>
    <cellStyle name="Normal 9 2" xfId="1882" xr:uid="{00000000-0005-0000-0000-000057070000}"/>
    <cellStyle name="Normal 9 3" xfId="1883" xr:uid="{00000000-0005-0000-0000-000058070000}"/>
    <cellStyle name="Normal_indice" xfId="1884" xr:uid="{00000000-0005-0000-0000-000059070000}"/>
    <cellStyle name="Notas" xfId="1885" builtinId="10" customBuiltin="1"/>
    <cellStyle name="Notas 2" xfId="1886" xr:uid="{00000000-0005-0000-0000-00005A070000}"/>
    <cellStyle name="Notas 2 2" xfId="1887" xr:uid="{00000000-0005-0000-0000-00005B070000}"/>
    <cellStyle name="Notas 2 2 2" xfId="1888" xr:uid="{00000000-0005-0000-0000-00005C070000}"/>
    <cellStyle name="Notas 3" xfId="1889" xr:uid="{00000000-0005-0000-0000-00005D070000}"/>
    <cellStyle name="Notas 3 2" xfId="1890" xr:uid="{00000000-0005-0000-0000-00005E070000}"/>
    <cellStyle name="Notas 3 2 2" xfId="1891" xr:uid="{00000000-0005-0000-0000-00005F070000}"/>
    <cellStyle name="Notas 4" xfId="1892" xr:uid="{00000000-0005-0000-0000-000060070000}"/>
    <cellStyle name="Notas 4 2" xfId="1893" xr:uid="{00000000-0005-0000-0000-000061070000}"/>
    <cellStyle name="Notas 4 2 2" xfId="1894" xr:uid="{00000000-0005-0000-0000-000062070000}"/>
    <cellStyle name="Notas 4 3" xfId="1895" xr:uid="{00000000-0005-0000-0000-000063070000}"/>
    <cellStyle name="Notas 4 4" xfId="1896" xr:uid="{00000000-0005-0000-0000-000064070000}"/>
    <cellStyle name="Notas 5" xfId="2092" xr:uid="{71AFE4D7-FD47-455A-A2E9-F6E07D60B424}"/>
    <cellStyle name="Percent 2" xfId="1897" xr:uid="{00000000-0005-0000-0000-000066070000}"/>
    <cellStyle name="Percent 2 2" xfId="1898" xr:uid="{00000000-0005-0000-0000-000067070000}"/>
    <cellStyle name="Percent 2 2 2" xfId="1899" xr:uid="{00000000-0005-0000-0000-000068070000}"/>
    <cellStyle name="Porcentaje" xfId="1900" builtinId="5"/>
    <cellStyle name="Porcentaje 2" xfId="1901" xr:uid="{00000000-0005-0000-0000-000069070000}"/>
    <cellStyle name="Porcentaje 2 2" xfId="1902" xr:uid="{00000000-0005-0000-0000-00006A070000}"/>
    <cellStyle name="Porcentaje 2 3" xfId="1903" xr:uid="{00000000-0005-0000-0000-00006B070000}"/>
    <cellStyle name="Porcentaje 2 4" xfId="1904" xr:uid="{00000000-0005-0000-0000-00006C070000}"/>
    <cellStyle name="Porcentaje 3" xfId="1905" xr:uid="{00000000-0005-0000-0000-00006D070000}"/>
    <cellStyle name="Porcentaje 3 2" xfId="1906" xr:uid="{00000000-0005-0000-0000-00006E070000}"/>
    <cellStyle name="Porcentaje 3 3" xfId="1907" xr:uid="{00000000-0005-0000-0000-00006F070000}"/>
    <cellStyle name="Porcentaje 4" xfId="1908" xr:uid="{00000000-0005-0000-0000-000070070000}"/>
    <cellStyle name="Porcentaje 4 2" xfId="1909" xr:uid="{00000000-0005-0000-0000-000071070000}"/>
    <cellStyle name="Porcentaje 4 3" xfId="2060" xr:uid="{AD057AF8-289C-4E6C-A923-AD526215F98A}"/>
    <cellStyle name="Porcentaje 5" xfId="1910" xr:uid="{00000000-0005-0000-0000-000072070000}"/>
    <cellStyle name="Porcentaje 6" xfId="1997" xr:uid="{97F3B969-333B-4583-9BBF-8592A8C6E002}"/>
    <cellStyle name="Porcentaje 7" xfId="3031" xr:uid="{B6B9090B-79E2-45F8-9612-B2C7C56E0F2E}"/>
    <cellStyle name="Porcentual 2" xfId="1911" xr:uid="{00000000-0005-0000-0000-000073070000}"/>
    <cellStyle name="Porcentual 2 2" xfId="1912" xr:uid="{00000000-0005-0000-0000-000074070000}"/>
    <cellStyle name="Porcentual 2 2 2" xfId="1913" xr:uid="{00000000-0005-0000-0000-000075070000}"/>
    <cellStyle name="Porcentual 2 2 3" xfId="2062" xr:uid="{73F697D3-0838-4A0A-A5E8-C408D66B9501}"/>
    <cellStyle name="Porcentual 2 2 4" xfId="3057" xr:uid="{1F9ABA50-DD6D-4FA8-BB42-D878678D0512}"/>
    <cellStyle name="Porcentual 2 3" xfId="1914" xr:uid="{00000000-0005-0000-0000-000076070000}"/>
    <cellStyle name="Porcentual 2 3 2" xfId="1915" xr:uid="{00000000-0005-0000-0000-000077070000}"/>
    <cellStyle name="Porcentual 2 3 3" xfId="1916" xr:uid="{00000000-0005-0000-0000-000078070000}"/>
    <cellStyle name="Porcentual 2 4" xfId="1917" xr:uid="{00000000-0005-0000-0000-000079070000}"/>
    <cellStyle name="Porcentual 2 4 2" xfId="1918" xr:uid="{00000000-0005-0000-0000-00007A070000}"/>
    <cellStyle name="Porcentual 2 5" xfId="1919" xr:uid="{00000000-0005-0000-0000-00007B070000}"/>
    <cellStyle name="Porcentual 2 5 2" xfId="1920" xr:uid="{00000000-0005-0000-0000-00007C070000}"/>
    <cellStyle name="Porcentual 2 6" xfId="1921" xr:uid="{00000000-0005-0000-0000-00007D070000}"/>
    <cellStyle name="Porcentual 2 7" xfId="2061" xr:uid="{D1AC6481-B5BC-40FB-9D97-9B52E7F0BADB}"/>
    <cellStyle name="Porcentual 2 8" xfId="3056" xr:uid="{8D606ED1-5E4D-4C36-A92E-24BD2BD62FAD}"/>
    <cellStyle name="Porcentual 3" xfId="1922" xr:uid="{00000000-0005-0000-0000-00007E070000}"/>
    <cellStyle name="Salida" xfId="1923" builtinId="21" customBuiltin="1"/>
    <cellStyle name="Salida 2" xfId="1924" xr:uid="{00000000-0005-0000-0000-000080070000}"/>
    <cellStyle name="Salida 2 2" xfId="1925" xr:uid="{00000000-0005-0000-0000-000081070000}"/>
    <cellStyle name="Salida 2 2 2" xfId="1926" xr:uid="{00000000-0005-0000-0000-000082070000}"/>
    <cellStyle name="Salida 3" xfId="1927" xr:uid="{00000000-0005-0000-0000-000083070000}"/>
    <cellStyle name="Salida 3 2" xfId="1928" xr:uid="{00000000-0005-0000-0000-000084070000}"/>
    <cellStyle name="Salida 3 2 2" xfId="1929" xr:uid="{00000000-0005-0000-0000-000085070000}"/>
    <cellStyle name="Salida 4" xfId="1930" xr:uid="{00000000-0005-0000-0000-000086070000}"/>
    <cellStyle name="Salida 4 2" xfId="1931" xr:uid="{00000000-0005-0000-0000-000087070000}"/>
    <cellStyle name="Salida 4 2 2" xfId="1932" xr:uid="{00000000-0005-0000-0000-000088070000}"/>
    <cellStyle name="Salida 4 3" xfId="1933" xr:uid="{00000000-0005-0000-0000-000089070000}"/>
    <cellStyle name="Salida 5" xfId="2023" xr:uid="{80F2AB63-1F5D-4339-AF7C-D146AF612FBD}"/>
    <cellStyle name="ss22" xfId="1934" xr:uid="{00000000-0005-0000-0000-00008B070000}"/>
    <cellStyle name="Texto de advertencia" xfId="1935" builtinId="11" customBuiltin="1"/>
    <cellStyle name="Texto de advertencia 2" xfId="1936" xr:uid="{00000000-0005-0000-0000-00008D070000}"/>
    <cellStyle name="Texto de advertencia 2 2" xfId="1937" xr:uid="{00000000-0005-0000-0000-00008E070000}"/>
    <cellStyle name="Texto de advertencia 3" xfId="1938" xr:uid="{00000000-0005-0000-0000-00008F070000}"/>
    <cellStyle name="Texto de advertencia 3 2" xfId="1939" xr:uid="{00000000-0005-0000-0000-000090070000}"/>
    <cellStyle name="Texto de advertencia 4" xfId="1940" xr:uid="{00000000-0005-0000-0000-000091070000}"/>
    <cellStyle name="Texto de advertencia 5" xfId="2027" xr:uid="{1678AA12-8C05-4F2A-84F1-FB3DCDF295CC}"/>
    <cellStyle name="Texto explicativo" xfId="1941" builtinId="53" customBuiltin="1"/>
    <cellStyle name="Texto explicativo 2" xfId="1942" xr:uid="{00000000-0005-0000-0000-000092070000}"/>
    <cellStyle name="Texto explicativo 2 2" xfId="1943" xr:uid="{00000000-0005-0000-0000-000093070000}"/>
    <cellStyle name="Texto explicativo 3" xfId="1944" xr:uid="{00000000-0005-0000-0000-000094070000}"/>
    <cellStyle name="Texto explicativo 3 2" xfId="1945" xr:uid="{00000000-0005-0000-0000-000095070000}"/>
    <cellStyle name="Texto explicativo 4" xfId="1946" xr:uid="{00000000-0005-0000-0000-000096070000}"/>
    <cellStyle name="Texto explicativo 5" xfId="2028" xr:uid="{1D833FD8-37AD-430F-A21A-50E51E41F111}"/>
    <cellStyle name="Título" xfId="1947" builtinId="15" customBuiltin="1"/>
    <cellStyle name="Título 1 2" xfId="1948" xr:uid="{00000000-0005-0000-0000-000097070000}"/>
    <cellStyle name="Título 1 2 2" xfId="1949" xr:uid="{00000000-0005-0000-0000-000098070000}"/>
    <cellStyle name="Título 1 3" xfId="1950" xr:uid="{00000000-0005-0000-0000-000099070000}"/>
    <cellStyle name="Título 1 3 2" xfId="1951" xr:uid="{00000000-0005-0000-0000-00009A070000}"/>
    <cellStyle name="Título 1 4" xfId="1952" xr:uid="{00000000-0005-0000-0000-00009B070000}"/>
    <cellStyle name="Título 2" xfId="1953" builtinId="17" customBuiltin="1"/>
    <cellStyle name="Título 2 2" xfId="1954" xr:uid="{00000000-0005-0000-0000-00009C070000}"/>
    <cellStyle name="Título 2 2 2" xfId="1955" xr:uid="{00000000-0005-0000-0000-00009D070000}"/>
    <cellStyle name="Título 2 3" xfId="1956" xr:uid="{00000000-0005-0000-0000-00009E070000}"/>
    <cellStyle name="Título 2 3 2" xfId="1957" xr:uid="{00000000-0005-0000-0000-00009F070000}"/>
    <cellStyle name="Título 2 4" xfId="1958" xr:uid="{00000000-0005-0000-0000-0000A0070000}"/>
    <cellStyle name="Título 2 5" xfId="2017" xr:uid="{787080D9-C5A0-4ABD-82E8-870D90E2FB9E}"/>
    <cellStyle name="Título 3" xfId="1959" builtinId="18" customBuiltin="1"/>
    <cellStyle name="Título 3 2" xfId="1960" xr:uid="{00000000-0005-0000-0000-0000A1070000}"/>
    <cellStyle name="Título 3 2 2" xfId="1961" xr:uid="{00000000-0005-0000-0000-0000A2070000}"/>
    <cellStyle name="Título 3 3" xfId="1962" xr:uid="{00000000-0005-0000-0000-0000A3070000}"/>
    <cellStyle name="Título 3 3 2" xfId="1963" xr:uid="{00000000-0005-0000-0000-0000A4070000}"/>
    <cellStyle name="Título 3 4" xfId="1964" xr:uid="{00000000-0005-0000-0000-0000A5070000}"/>
    <cellStyle name="Título 3 5" xfId="2018" xr:uid="{5AC67250-D88C-4F28-B6BF-7D0568D5C830}"/>
    <cellStyle name="Título 4" xfId="1965" xr:uid="{00000000-0005-0000-0000-0000A6070000}"/>
    <cellStyle name="Título 4 2" xfId="1966" xr:uid="{00000000-0005-0000-0000-0000A7070000}"/>
    <cellStyle name="Título 5" xfId="1967" xr:uid="{00000000-0005-0000-0000-0000A8070000}"/>
    <cellStyle name="Título 5 2" xfId="1968" xr:uid="{00000000-0005-0000-0000-0000A9070000}"/>
    <cellStyle name="Título 6" xfId="1969" xr:uid="{00000000-0005-0000-0000-0000AA070000}"/>
    <cellStyle name="Título 6 2" xfId="3030" xr:uid="{AA5E7802-EE88-4100-8EFD-2B4911903190}"/>
    <cellStyle name="Total" xfId="1970" builtinId="25" customBuiltin="1"/>
    <cellStyle name="Total 2" xfId="1971" xr:uid="{00000000-0005-0000-0000-0000AB070000}"/>
    <cellStyle name="Total 2 2" xfId="1972" xr:uid="{00000000-0005-0000-0000-0000AC070000}"/>
    <cellStyle name="Total 2 2 2" xfId="1973" xr:uid="{00000000-0005-0000-0000-0000AD070000}"/>
    <cellStyle name="Total 2 3" xfId="1974" xr:uid="{00000000-0005-0000-0000-0000AE070000}"/>
    <cellStyle name="Total 2 3 2" xfId="1975" xr:uid="{00000000-0005-0000-0000-0000AF070000}"/>
    <cellStyle name="Total 3" xfId="1976" xr:uid="{00000000-0005-0000-0000-0000B0070000}"/>
    <cellStyle name="Total 3 2" xfId="1977" xr:uid="{00000000-0005-0000-0000-0000B1070000}"/>
    <cellStyle name="Total 3 2 2" xfId="1978" xr:uid="{00000000-0005-0000-0000-0000B2070000}"/>
    <cellStyle name="Total 3 3" xfId="1979" xr:uid="{00000000-0005-0000-0000-0000B3070000}"/>
    <cellStyle name="Total 3 3 2" xfId="1980" xr:uid="{00000000-0005-0000-0000-0000B4070000}"/>
    <cellStyle name="Total 4" xfId="1981" xr:uid="{00000000-0005-0000-0000-0000B5070000}"/>
    <cellStyle name="Total 5" xfId="2029" xr:uid="{5DC609BA-CF48-4167-BA16-DEE1BC34F89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FF3300"/>
      <color rgb="FFFF6600"/>
      <color rgb="FF199791"/>
      <color rgb="FF000000"/>
      <color rgb="FFFF99CC"/>
      <color rgb="FFFF99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800" b="0" i="0" u="none" strike="noStrike" kern="1200" baseline="0">
                <a:solidFill>
                  <a:srgbClr val="000000"/>
                </a:solidFill>
                <a:latin typeface="Arial"/>
                <a:ea typeface="Arial"/>
                <a:cs typeface="Arial"/>
              </a:defRPr>
            </a:pPr>
            <a:r>
              <a:rPr lang="es-CL" sz="900" b="1" i="0" u="none" strike="noStrike" kern="1200" baseline="0">
                <a:solidFill>
                  <a:srgbClr val="000000"/>
                </a:solidFill>
                <a:latin typeface="Arial"/>
                <a:ea typeface="Arial"/>
                <a:cs typeface="Arial"/>
              </a:rPr>
              <a:t>Gráfico N° 1. Proyecciones de la relación producción / demanda mundial de trigo </a:t>
            </a:r>
          </a:p>
          <a:p>
            <a:pPr algn="ctr" rtl="0">
              <a:defRPr sz="800" b="0" i="0" u="none" strike="noStrike" kern="1200" baseline="0">
                <a:solidFill>
                  <a:srgbClr val="000000"/>
                </a:solidFill>
                <a:latin typeface="Arial"/>
                <a:ea typeface="Arial"/>
                <a:cs typeface="Arial"/>
              </a:defRPr>
            </a:pPr>
            <a:r>
              <a:rPr lang="es-CL" sz="900" b="1" i="0" u="none" strike="noStrike" kern="1200" baseline="0">
                <a:solidFill>
                  <a:srgbClr val="000000"/>
                </a:solidFill>
                <a:latin typeface="Arial"/>
                <a:ea typeface="Arial"/>
                <a:cs typeface="Arial"/>
              </a:rPr>
              <a:t>temporada 2024/25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'4'!$D$5</c:f>
              <c:strCache>
                <c:ptCount val="1"/>
                <c:pt idx="0">
                  <c:v>Producción</c:v>
                </c:pt>
              </c:strCache>
            </c:strRef>
          </c:tx>
          <c:spPr>
            <a:pattFill prst="dkUpDiag">
              <a:fgClr>
                <a:srgbClr val="C00000"/>
              </a:fgClr>
              <a:bgClr>
                <a:schemeClr val="bg1"/>
              </a:bgClr>
            </a:pattFill>
          </c:spPr>
          <c:invertIfNegative val="0"/>
          <c:cat>
            <c:numRef>
              <c:f>'4'!$B$6:$B$17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'4'!$D$6:$D$17</c:f>
              <c:numCache>
                <c:formatCode>0.00</c:formatCode>
                <c:ptCount val="12"/>
                <c:pt idx="0" formatCode="General">
                  <c:v>798.19</c:v>
                </c:pt>
                <c:pt idx="1">
                  <c:v>790.75</c:v>
                </c:pt>
                <c:pt idx="2" formatCode="General">
                  <c:v>796.19</c:v>
                </c:pt>
                <c:pt idx="3">
                  <c:v>798.28</c:v>
                </c:pt>
              </c:numCache>
            </c:numRef>
          </c:val>
          <c:extLst>
            <c:ext xmlns:c16="http://schemas.microsoft.com/office/drawing/2014/chart" uri="{C3380CC4-5D6E-409C-BE32-E72D297353CC}">
              <c16:uniqueId val="{00000000-93FC-46AD-B9EE-467AB89AB980}"/>
            </c:ext>
          </c:extLst>
        </c:ser>
        <c:ser>
          <c:idx val="0"/>
          <c:order val="1"/>
          <c:tx>
            <c:strRef>
              <c:f>'4'!$E$5</c:f>
              <c:strCache>
                <c:ptCount val="1"/>
                <c:pt idx="0">
                  <c:v>Demanda</c:v>
                </c:pt>
              </c:strCache>
            </c:strRef>
          </c:tx>
          <c:spPr>
            <a:solidFill>
              <a:schemeClr val="accent1"/>
            </a:solidFill>
            <a:ln>
              <a:solidFill>
                <a:schemeClr val="accent1"/>
              </a:solidFill>
              <a:prstDash val="sysDash"/>
            </a:ln>
          </c:spPr>
          <c:invertIfNegative val="0"/>
          <c:cat>
            <c:numRef>
              <c:f>'4'!$B$6:$B$17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'4'!$E$6:$E$17</c:f>
              <c:numCache>
                <c:formatCode>0.00</c:formatCode>
                <c:ptCount val="12"/>
                <c:pt idx="0" formatCode="General">
                  <c:v>802.37</c:v>
                </c:pt>
                <c:pt idx="1">
                  <c:v>798.04</c:v>
                </c:pt>
                <c:pt idx="2" formatCode="General">
                  <c:v>799.94</c:v>
                </c:pt>
                <c:pt idx="3">
                  <c:v>804.02</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993073152"/>
        <c:axId val="979589888"/>
      </c:barChart>
      <c:dateAx>
        <c:axId val="9930731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589888"/>
        <c:crosses val="autoZero"/>
        <c:auto val="1"/>
        <c:lblOffset val="100"/>
        <c:baseTimeUnit val="months"/>
        <c:majorUnit val="1"/>
      </c:dateAx>
      <c:valAx>
        <c:axId val="979589888"/>
        <c:scaling>
          <c:orientation val="minMax"/>
          <c:max val="800"/>
          <c:min val="70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3073152"/>
        <c:crosses val="autoZero"/>
        <c:crossBetween val="between"/>
        <c:majorUnit val="10"/>
      </c:valAx>
    </c:plotArea>
    <c:legend>
      <c:legendPos val="r"/>
      <c:layout>
        <c:manualLayout>
          <c:xMode val="edge"/>
          <c:yMode val="edge"/>
          <c:x val="0.32935121882219814"/>
          <c:y val="0.82798137329608001"/>
          <c:w val="0.2470135319911359"/>
          <c:h val="6.451816103632201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3808"/>
        <c:axId val="244181248"/>
      </c:barChart>
      <c:catAx>
        <c:axId val="2446638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1248"/>
        <c:crosses val="autoZero"/>
        <c:auto val="1"/>
        <c:lblAlgn val="ctr"/>
        <c:lblOffset val="100"/>
        <c:tickMarkSkip val="1"/>
        <c:noMultiLvlLbl val="0"/>
      </c:catAx>
      <c:valAx>
        <c:axId val="244181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380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5856"/>
        <c:axId val="244182976"/>
      </c:barChart>
      <c:catAx>
        <c:axId val="2446658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2976"/>
        <c:crosses val="autoZero"/>
        <c:auto val="1"/>
        <c:lblAlgn val="ctr"/>
        <c:lblOffset val="100"/>
        <c:tickMarkSkip val="1"/>
        <c:noMultiLvlLbl val="0"/>
      </c:catAx>
      <c:valAx>
        <c:axId val="2441829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58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10. Evolución de los precios en los mercados de</a:t>
            </a:r>
          </a:p>
          <a:p>
            <a:pPr>
              <a:defRPr sz="900" b="1"/>
            </a:pPr>
            <a:r>
              <a:rPr lang="es-CL" sz="900" b="1"/>
              <a:t> Argentina, EE. UU y Chile</a:t>
            </a:r>
          </a:p>
          <a:p>
            <a:pPr>
              <a:defRPr sz="900" b="1"/>
            </a:pPr>
            <a:r>
              <a:rPr lang="es-CL" sz="900" b="1"/>
              <a:t>(precios mensuales en $ / kg)</a:t>
            </a:r>
          </a:p>
        </c:rich>
      </c:tx>
      <c:layout>
        <c:manualLayout>
          <c:xMode val="edge"/>
          <c:yMode val="edge"/>
          <c:x val="0.28889939665194442"/>
          <c:y val="1.2218071225324138E-3"/>
        </c:manualLayout>
      </c:layout>
      <c:overlay val="0"/>
      <c:spPr>
        <a:noFill/>
        <a:ln w="25400">
          <a:noFill/>
        </a:ln>
      </c:spPr>
    </c:title>
    <c:autoTitleDeleted val="0"/>
    <c:plotArea>
      <c:layout>
        <c:manualLayout>
          <c:layoutTarget val="inner"/>
          <c:xMode val="edge"/>
          <c:yMode val="edge"/>
          <c:x val="0.10506991035793359"/>
          <c:y val="0.21437588761773466"/>
          <c:w val="0.83313149867646341"/>
          <c:h val="0.50594671969594152"/>
        </c:manualLayout>
      </c:layout>
      <c:lineChart>
        <c:grouping val="standard"/>
        <c:varyColors val="0"/>
        <c:ser>
          <c:idx val="4"/>
          <c:order val="0"/>
          <c:tx>
            <c:strRef>
              <c:f>'20'!$F$5</c:f>
              <c:strCache>
                <c:ptCount val="1"/>
                <c:pt idx="0">
                  <c:v> Precio promedio trigo intermedio RM </c:v>
                </c:pt>
              </c:strCache>
            </c:strRef>
          </c:tx>
          <c:spPr>
            <a:ln w="9525">
              <a:solidFill>
                <a:srgbClr val="FF0000"/>
              </a:solidFill>
              <a:prstDash val="sysDash"/>
            </a:ln>
          </c:spPr>
          <c:marker>
            <c:spPr>
              <a:solidFill>
                <a:srgbClr val="FF0000"/>
              </a:solidFill>
              <a:ln w="9525">
                <a:solidFill>
                  <a:srgbClr val="FF0000"/>
                </a:solidFill>
              </a:ln>
            </c:spPr>
          </c:marker>
          <c:cat>
            <c:numRef>
              <c:f>'20'!$B$6:$B$48</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'20'!$F$6:$F$48</c:f>
              <c:numCache>
                <c:formatCode>0</c:formatCode>
                <c:ptCount val="43"/>
                <c:pt idx="0">
                  <c:v>205.9375</c:v>
                </c:pt>
                <c:pt idx="1">
                  <c:v>213.75</c:v>
                </c:pt>
                <c:pt idx="5">
                  <c:v>240</c:v>
                </c:pt>
                <c:pt idx="6">
                  <c:v>240</c:v>
                </c:pt>
                <c:pt idx="7">
                  <c:v>255.36666666666667</c:v>
                </c:pt>
                <c:pt idx="8">
                  <c:v>271.10000000000002</c:v>
                </c:pt>
                <c:pt idx="9">
                  <c:v>299.58064516129036</c:v>
                </c:pt>
                <c:pt idx="10">
                  <c:v>307.5</c:v>
                </c:pt>
                <c:pt idx="11">
                  <c:v>314.15509259259261</c:v>
                </c:pt>
                <c:pt idx="12">
                  <c:v>311.08832565284177</c:v>
                </c:pt>
                <c:pt idx="13">
                  <c:v>314.15816326530614</c:v>
                </c:pt>
                <c:pt idx="14">
                  <c:v>321.02150537634407</c:v>
                </c:pt>
                <c:pt idx="15">
                  <c:v>321.66666666666669</c:v>
                </c:pt>
                <c:pt idx="16">
                  <c:v>430</c:v>
                </c:pt>
                <c:pt idx="23">
                  <c:v>371.13333333333338</c:v>
                </c:pt>
                <c:pt idx="24">
                  <c:v>350.7</c:v>
                </c:pt>
                <c:pt idx="30">
                  <c:v>263.75</c:v>
                </c:pt>
                <c:pt idx="31">
                  <c:v>275</c:v>
                </c:pt>
                <c:pt idx="35">
                  <c:v>242.5</c:v>
                </c:pt>
                <c:pt idx="36">
                  <c:v>247.20833333333331</c:v>
                </c:pt>
                <c:pt idx="37">
                  <c:v>252.39583333333331</c:v>
                </c:pt>
                <c:pt idx="38">
                  <c:v>252.5</c:v>
                </c:pt>
                <c:pt idx="39">
                  <c:v>255</c:v>
                </c:pt>
                <c:pt idx="40">
                  <c:v>255</c:v>
                </c:pt>
                <c:pt idx="41">
                  <c:v>263.63333333333333</c:v>
                </c:pt>
                <c:pt idx="42">
                  <c:v>269.75</c:v>
                </c:pt>
              </c:numCache>
            </c:numRef>
          </c:val>
          <c:smooth val="0"/>
          <c:extLst>
            <c:ext xmlns:c16="http://schemas.microsoft.com/office/drawing/2014/chart" uri="{C3380CC4-5D6E-409C-BE32-E72D297353CC}">
              <c16:uniqueId val="{00000000-3B76-4DE4-A73F-2D8BFAAA2C60}"/>
            </c:ext>
          </c:extLst>
        </c:ser>
        <c:ser>
          <c:idx val="2"/>
          <c:order val="1"/>
          <c:tx>
            <c:strRef>
              <c:f>'20'!$E$5</c:f>
              <c:strCache>
                <c:ptCount val="1"/>
                <c:pt idx="0">
                  <c:v> CAI trigo panadero Argentina </c:v>
                </c:pt>
              </c:strCache>
            </c:strRef>
          </c:tx>
          <c:spPr>
            <a:ln w="9525"/>
          </c:spPr>
          <c:marker>
            <c:spPr>
              <a:ln w="9525"/>
            </c:spPr>
          </c:marker>
          <c:cat>
            <c:numRef>
              <c:f>'20'!$B$6:$B$48</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'20'!$E$6:$E$48</c:f>
              <c:numCache>
                <c:formatCode>0</c:formatCode>
                <c:ptCount val="43"/>
                <c:pt idx="0">
                  <c:v>235.21935483870965</c:v>
                </c:pt>
                <c:pt idx="1">
                  <c:v>228.05</c:v>
                </c:pt>
                <c:pt idx="2">
                  <c:v>226.72774193548386</c:v>
                </c:pt>
                <c:pt idx="3">
                  <c:v>227.636</c:v>
                </c:pt>
                <c:pt idx="4">
                  <c:v>239.34774193548387</c:v>
                </c:pt>
                <c:pt idx="5">
                  <c:v>243.10333333333332</c:v>
                </c:pt>
                <c:pt idx="6">
                  <c:v>251.781935483871</c:v>
                </c:pt>
                <c:pt idx="7">
                  <c:v>269.73161290322582</c:v>
                </c:pt>
                <c:pt idx="8">
                  <c:v>284.89733333333334</c:v>
                </c:pt>
                <c:pt idx="9">
                  <c:v>305.43677419354839</c:v>
                </c:pt>
                <c:pt idx="10">
                  <c:v>323.863</c:v>
                </c:pt>
                <c:pt idx="11">
                  <c:v>340.73096774193544</c:v>
                </c:pt>
                <c:pt idx="12">
                  <c:v>324.30677419354839</c:v>
                </c:pt>
                <c:pt idx="13">
                  <c:v>325.3257142857143</c:v>
                </c:pt>
                <c:pt idx="14">
                  <c:v>393.41967741935485</c:v>
                </c:pt>
                <c:pt idx="15">
                  <c:v>405.56366243244156</c:v>
                </c:pt>
                <c:pt idx="16">
                  <c:v>467.04868495006764</c:v>
                </c:pt>
                <c:pt idx="17">
                  <c:v>484.11451337298496</c:v>
                </c:pt>
                <c:pt idx="18">
                  <c:v>493.93063833239512</c:v>
                </c:pt>
                <c:pt idx="19">
                  <c:v>456.0236533817631</c:v>
                </c:pt>
                <c:pt idx="20">
                  <c:v>440.13351168146153</c:v>
                </c:pt>
                <c:pt idx="21">
                  <c:v>487.29672026186699</c:v>
                </c:pt>
                <c:pt idx="22">
                  <c:v>453.96397314135362</c:v>
                </c:pt>
                <c:pt idx="23">
                  <c:v>414.80038608176028</c:v>
                </c:pt>
                <c:pt idx="24">
                  <c:v>368.43754961004709</c:v>
                </c:pt>
                <c:pt idx="25">
                  <c:v>342.6544196327518</c:v>
                </c:pt>
                <c:pt idx="26">
                  <c:v>337.43207538086614</c:v>
                </c:pt>
                <c:pt idx="27">
                  <c:v>325.6808990243897</c:v>
                </c:pt>
                <c:pt idx="28">
                  <c:v>337.67781266433286</c:v>
                </c:pt>
                <c:pt idx="29">
                  <c:v>338.63524388886987</c:v>
                </c:pt>
                <c:pt idx="30">
                  <c:v>318.20578306040829</c:v>
                </c:pt>
                <c:pt idx="31">
                  <c:v>326.33041327057919</c:v>
                </c:pt>
                <c:pt idx="32">
                  <c:v>327.23848365240008</c:v>
                </c:pt>
                <c:pt idx="33">
                  <c:v>326.66104877501562</c:v>
                </c:pt>
                <c:pt idx="34">
                  <c:v>283.35300264216085</c:v>
                </c:pt>
                <c:pt idx="35">
                  <c:v>260.6049129060018</c:v>
                </c:pt>
                <c:pt idx="36">
                  <c:v>267.74312895383491</c:v>
                </c:pt>
                <c:pt idx="37">
                  <c:v>280.15580486185598</c:v>
                </c:pt>
                <c:pt idx="38">
                  <c:v>270.01484609506736</c:v>
                </c:pt>
                <c:pt idx="39">
                  <c:v>284.75108315967782</c:v>
                </c:pt>
                <c:pt idx="40">
                  <c:v>305.36222532214072</c:v>
                </c:pt>
                <c:pt idx="41">
                  <c:v>321.2452045236285</c:v>
                </c:pt>
                <c:pt idx="42">
                  <c:v>310.60821023160207</c:v>
                </c:pt>
              </c:numCache>
            </c:numRef>
          </c:val>
          <c:smooth val="0"/>
          <c:extLst>
            <c:ext xmlns:c16="http://schemas.microsoft.com/office/drawing/2014/chart" uri="{C3380CC4-5D6E-409C-BE32-E72D297353CC}">
              <c16:uniqueId val="{00000001-3B76-4DE4-A73F-2D8BFAAA2C60}"/>
            </c:ext>
          </c:extLst>
        </c:ser>
        <c:ser>
          <c:idx val="0"/>
          <c:order val="3"/>
          <c:tx>
            <c:strRef>
              <c:f>'20'!$G$5</c:f>
              <c:strCache>
                <c:ptCount val="1"/>
                <c:pt idx="0">
                  <c:v> Precio promedio trigo intermedio país </c:v>
                </c:pt>
              </c:strCache>
            </c:strRef>
          </c:tx>
          <c:spPr>
            <a:ln w="9525">
              <a:solidFill>
                <a:srgbClr val="00B0F0"/>
              </a:solidFill>
            </a:ln>
          </c:spPr>
          <c:marker>
            <c:spPr>
              <a:solidFill>
                <a:srgbClr val="00B0F0"/>
              </a:solidFill>
              <a:ln w="9525">
                <a:solidFill>
                  <a:srgbClr val="00B0F0"/>
                </a:solidFill>
              </a:ln>
            </c:spPr>
          </c:marker>
          <c:cat>
            <c:numRef>
              <c:f>'20'!$B$6:$B$48</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'20'!$G$6:$G$48</c:f>
              <c:numCache>
                <c:formatCode>0</c:formatCode>
                <c:ptCount val="43"/>
                <c:pt idx="0">
                  <c:v>195.03810664112387</c:v>
                </c:pt>
                <c:pt idx="1">
                  <c:v>197.594057537743</c:v>
                </c:pt>
                <c:pt idx="2">
                  <c:v>201.09551971326164</c:v>
                </c:pt>
                <c:pt idx="3">
                  <c:v>205.39523809523808</c:v>
                </c:pt>
                <c:pt idx="4">
                  <c:v>208.30208333333331</c:v>
                </c:pt>
                <c:pt idx="5">
                  <c:v>212.06726190476192</c:v>
                </c:pt>
                <c:pt idx="6">
                  <c:v>221.21300563236045</c:v>
                </c:pt>
                <c:pt idx="7">
                  <c:v>239.81566820276501</c:v>
                </c:pt>
                <c:pt idx="8">
                  <c:v>249.5</c:v>
                </c:pt>
                <c:pt idx="9">
                  <c:v>264.58774845226452</c:v>
                </c:pt>
                <c:pt idx="10">
                  <c:v>265.03777777777776</c:v>
                </c:pt>
                <c:pt idx="11">
                  <c:v>302.93791341508734</c:v>
                </c:pt>
                <c:pt idx="12">
                  <c:v>302.83298429290295</c:v>
                </c:pt>
                <c:pt idx="13">
                  <c:v>302.96309112589893</c:v>
                </c:pt>
                <c:pt idx="14">
                  <c:v>308.17002688172045</c:v>
                </c:pt>
                <c:pt idx="15">
                  <c:v>319.00555555555559</c:v>
                </c:pt>
                <c:pt idx="16">
                  <c:v>400.54597701149424</c:v>
                </c:pt>
                <c:pt idx="23">
                  <c:v>358.37573099415204</c:v>
                </c:pt>
                <c:pt idx="24">
                  <c:v>337.47900883838383</c:v>
                </c:pt>
                <c:pt idx="25">
                  <c:v>313.37179487179486</c:v>
                </c:pt>
                <c:pt idx="26">
                  <c:v>304.84375</c:v>
                </c:pt>
                <c:pt idx="27">
                  <c:v>300.33333333333331</c:v>
                </c:pt>
                <c:pt idx="28">
                  <c:v>301.66666666666669</c:v>
                </c:pt>
                <c:pt idx="29">
                  <c:v>240</c:v>
                </c:pt>
                <c:pt idx="30">
                  <c:v>260.41666666666669</c:v>
                </c:pt>
                <c:pt idx="31">
                  <c:v>275</c:v>
                </c:pt>
                <c:pt idx="35">
                  <c:v>238.5</c:v>
                </c:pt>
                <c:pt idx="36">
                  <c:v>230.93741919844859</c:v>
                </c:pt>
                <c:pt idx="37">
                  <c:v>225.32874060565868</c:v>
                </c:pt>
                <c:pt idx="38">
                  <c:v>233.87344086021506</c:v>
                </c:pt>
                <c:pt idx="39">
                  <c:v>235.85624999999999</c:v>
                </c:pt>
                <c:pt idx="40">
                  <c:v>241.84615384615384</c:v>
                </c:pt>
                <c:pt idx="41">
                  <c:v>251.24188034188035</c:v>
                </c:pt>
                <c:pt idx="42">
                  <c:v>259.38988095238096</c:v>
                </c:pt>
              </c:numCache>
            </c:numRef>
          </c:val>
          <c:smooth val="0"/>
          <c:extLst>
            <c:ext xmlns:c16="http://schemas.microsoft.com/office/drawing/2014/chart" uri="{C3380CC4-5D6E-409C-BE32-E72D297353CC}">
              <c16:uniqueId val="{00000000-E0D3-4B2E-B817-3B4AC18C7C22}"/>
            </c:ext>
          </c:extLst>
        </c:ser>
        <c:ser>
          <c:idx val="1"/>
          <c:order val="4"/>
          <c:tx>
            <c:strRef>
              <c:f>'20'!$D$5</c:f>
              <c:strCache>
                <c:ptCount val="1"/>
                <c:pt idx="0">
                  <c:v> CAI SRW Golfo </c:v>
                </c:pt>
              </c:strCache>
            </c:strRef>
          </c:tx>
          <c:spPr>
            <a:ln w="9525">
              <a:solidFill>
                <a:schemeClr val="tx1"/>
              </a:solidFill>
            </a:ln>
          </c:spPr>
          <c:marker>
            <c:spPr>
              <a:solidFill>
                <a:schemeClr val="tx1"/>
              </a:solidFill>
              <a:ln w="9525">
                <a:solidFill>
                  <a:schemeClr val="tx1"/>
                </a:solidFill>
              </a:ln>
            </c:spPr>
          </c:marker>
          <c:cat>
            <c:numRef>
              <c:f>'20'!$B$6:$B$48</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'20'!$D$6:$D$48</c:f>
              <c:numCache>
                <c:formatCode>0</c:formatCode>
                <c:ptCount val="43"/>
                <c:pt idx="0">
                  <c:v>238.06580645161293</c:v>
                </c:pt>
                <c:pt idx="1">
                  <c:v>240.04750000000001</c:v>
                </c:pt>
                <c:pt idx="2">
                  <c:v>243.50451612903228</c:v>
                </c:pt>
                <c:pt idx="3">
                  <c:v>239.45733333333334</c:v>
                </c:pt>
                <c:pt idx="4">
                  <c:v>246.23354838709679</c:v>
                </c:pt>
                <c:pt idx="5">
                  <c:v>245.18666666666667</c:v>
                </c:pt>
                <c:pt idx="6">
                  <c:v>240.82741935483872</c:v>
                </c:pt>
                <c:pt idx="7">
                  <c:v>280.78870967741938</c:v>
                </c:pt>
                <c:pt idx="8">
                  <c:v>295.92366666666663</c:v>
                </c:pt>
                <c:pt idx="9">
                  <c:v>322.99709677419355</c:v>
                </c:pt>
                <c:pt idx="10">
                  <c:v>367.767</c:v>
                </c:pt>
                <c:pt idx="11">
                  <c:v>370.1725806451613</c:v>
                </c:pt>
                <c:pt idx="12">
                  <c:v>353.91774193548389</c:v>
                </c:pt>
                <c:pt idx="13">
                  <c:v>353.36607142857144</c:v>
                </c:pt>
                <c:pt idx="14">
                  <c:v>440.50032258064516</c:v>
                </c:pt>
                <c:pt idx="15">
                  <c:v>428.64464075649948</c:v>
                </c:pt>
                <c:pt idx="16">
                  <c:v>462.79371025013364</c:v>
                </c:pt>
                <c:pt idx="17">
                  <c:v>409.72917165816102</c:v>
                </c:pt>
                <c:pt idx="18">
                  <c:v>393.82392885404829</c:v>
                </c:pt>
                <c:pt idx="19">
                  <c:v>385.24285377201124</c:v>
                </c:pt>
                <c:pt idx="20">
                  <c:v>415.56294626538988</c:v>
                </c:pt>
                <c:pt idx="21">
                  <c:v>462.91728514766112</c:v>
                </c:pt>
                <c:pt idx="22">
                  <c:v>419.42889467647632</c:v>
                </c:pt>
                <c:pt idx="23">
                  <c:v>372.28688603204557</c:v>
                </c:pt>
                <c:pt idx="24">
                  <c:v>343.83771717197328</c:v>
                </c:pt>
                <c:pt idx="25">
                  <c:v>322.18989319837959</c:v>
                </c:pt>
                <c:pt idx="26">
                  <c:v>293.65645613887631</c:v>
                </c:pt>
                <c:pt idx="27">
                  <c:v>285.41141914744958</c:v>
                </c:pt>
                <c:pt idx="28">
                  <c:v>256.50323522381967</c:v>
                </c:pt>
                <c:pt idx="29">
                  <c:v>264.8041067200997</c:v>
                </c:pt>
                <c:pt idx="30">
                  <c:v>269.60319352354685</c:v>
                </c:pt>
                <c:pt idx="31">
                  <c:v>260.65921704415609</c:v>
                </c:pt>
                <c:pt idx="32">
                  <c:v>264.73555922237779</c:v>
                </c:pt>
                <c:pt idx="33">
                  <c:v>285.94077980592294</c:v>
                </c:pt>
                <c:pt idx="34">
                  <c:v>273.86743357005622</c:v>
                </c:pt>
                <c:pt idx="35">
                  <c:v>283.98195584444466</c:v>
                </c:pt>
                <c:pt idx="36">
                  <c:v>288.11700752660141</c:v>
                </c:pt>
                <c:pt idx="37">
                  <c:v>297.90703282890655</c:v>
                </c:pt>
                <c:pt idx="38">
                  <c:v>280.81698568581442</c:v>
                </c:pt>
                <c:pt idx="39">
                  <c:v>273.85118663077219</c:v>
                </c:pt>
                <c:pt idx="40">
                  <c:v>283.67329857829708</c:v>
                </c:pt>
                <c:pt idx="41">
                  <c:v>272.85301774702509</c:v>
                </c:pt>
                <c:pt idx="42">
                  <c:v>259.85328116887376</c:v>
                </c:pt>
              </c:numCache>
            </c:numRef>
          </c:val>
          <c:smooth val="0"/>
          <c:extLst>
            <c:ext xmlns:c16="http://schemas.microsoft.com/office/drawing/2014/chart" uri="{C3380CC4-5D6E-409C-BE32-E72D297353CC}">
              <c16:uniqueId val="{00000000-23FD-4D9F-8CD6-26121F0AD2B0}"/>
            </c:ext>
          </c:extLst>
        </c:ser>
        <c:dLbls>
          <c:showLegendKey val="0"/>
          <c:showVal val="0"/>
          <c:showCatName val="0"/>
          <c:showSerName val="0"/>
          <c:showPercent val="0"/>
          <c:showBubbleSize val="0"/>
        </c:dLbls>
        <c:marker val="1"/>
        <c:smooth val="0"/>
        <c:axId val="244819456"/>
        <c:axId val="244184704"/>
        <c:extLst>
          <c:ext xmlns:c15="http://schemas.microsoft.com/office/drawing/2012/chart" uri="{02D57815-91ED-43cb-92C2-25804820EDAC}">
            <c15:filteredLineSeries>
              <c15:ser>
                <c:idx val="5"/>
                <c:order val="2"/>
                <c:tx>
                  <c:strRef>
                    <c:extLst>
                      <c:ext uri="{02D57815-91ED-43cb-92C2-25804820EDAC}">
                        <c15:formulaRef>
                          <c15:sqref>'20'!$H$5</c15:sqref>
                        </c15:formulaRef>
                      </c:ext>
                    </c:extLst>
                    <c:strCache>
                      <c:ptCount val="1"/>
                      <c:pt idx="0">
                        <c:v> Costo importación CIF Trigo Pan Argentino </c:v>
                      </c:pt>
                    </c:strCache>
                  </c:strRef>
                </c:tx>
                <c:cat>
                  <c:numRef>
                    <c:extLst>
                      <c:ext uri="{02D57815-91ED-43cb-92C2-25804820EDAC}">
                        <c15:formulaRef>
                          <c15:sqref>'20'!$B$6:$B$48</c15:sqref>
                        </c15:formulaRef>
                      </c:ext>
                    </c:extLst>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extLst>
                      <c:ext uri="{02D57815-91ED-43cb-92C2-25804820EDAC}">
                        <c15:formulaRef>
                          <c15:sqref>'20'!$H$6:$H$47</c15:sqref>
                        </c15:formulaRef>
                      </c:ext>
                    </c:extLst>
                    <c:numCache>
                      <c:formatCode>0</c:formatCode>
                      <c:ptCount val="42"/>
                      <c:pt idx="0">
                        <c:v>179.06751708119464</c:v>
                      </c:pt>
                      <c:pt idx="1">
                        <c:v>189.30695667784781</c:v>
                      </c:pt>
                      <c:pt idx="2">
                        <c:v>183.41406272080454</c:v>
                      </c:pt>
                      <c:pt idx="3">
                        <c:v>204.15279983555058</c:v>
                      </c:pt>
                      <c:pt idx="4">
                        <c:v>210.65756835698585</c:v>
                      </c:pt>
                      <c:pt idx="5">
                        <c:v>209.66826032490411</c:v>
                      </c:pt>
                      <c:pt idx="6">
                        <c:v>220.76350792425433</c:v>
                      </c:pt>
                      <c:pt idx="7">
                        <c:v>241.25919977991967</c:v>
                      </c:pt>
                      <c:pt idx="8">
                        <c:v>254.62518425105466</c:v>
                      </c:pt>
                      <c:pt idx="9">
                        <c:v>259.79918706588194</c:v>
                      </c:pt>
                      <c:pt idx="10">
                        <c:v>269.92286061216396</c:v>
                      </c:pt>
                      <c:pt idx="11">
                        <c:v>294.84701899390365</c:v>
                      </c:pt>
                      <c:pt idx="12">
                        <c:v>267.76866535875007</c:v>
                      </c:pt>
                      <c:pt idx="13">
                        <c:v>283.74659203941059</c:v>
                      </c:pt>
                      <c:pt idx="14">
                        <c:v>278.05501162064633</c:v>
                      </c:pt>
                      <c:pt idx="15">
                        <c:v>290.36895454054587</c:v>
                      </c:pt>
                      <c:pt idx="16">
                        <c:v>350.13848762681442</c:v>
                      </c:pt>
                      <c:pt idx="17">
                        <c:v>358.36082903826508</c:v>
                      </c:pt>
                      <c:pt idx="18">
                        <c:v>478.33443848605827</c:v>
                      </c:pt>
                      <c:pt idx="19">
                        <c:v>452.4490248681422</c:v>
                      </c:pt>
                      <c:pt idx="20">
                        <c:v>467.19882378305124</c:v>
                      </c:pt>
                      <c:pt idx="21">
                        <c:v>410.00199101717311</c:v>
                      </c:pt>
                      <c:pt idx="22">
                        <c:v>386.43928832892283</c:v>
                      </c:pt>
                      <c:pt idx="23">
                        <c:v>308.3459822919865</c:v>
                      </c:pt>
                      <c:pt idx="24">
                        <c:v>306.65763765337766</c:v>
                      </c:pt>
                      <c:pt idx="25">
                        <c:v>343.85586884912351</c:v>
                      </c:pt>
                      <c:pt idx="26">
                        <c:v>305.16560469823025</c:v>
                      </c:pt>
                      <c:pt idx="27">
                        <c:v>295.83677462236597</c:v>
                      </c:pt>
                      <c:pt idx="28">
                        <c:v>303.18345326983513</c:v>
                      </c:pt>
                      <c:pt idx="29">
                        <c:v>291.004170782676</c:v>
                      </c:pt>
                      <c:pt idx="30">
                        <c:v>304.47742072268699</c:v>
                      </c:pt>
                      <c:pt idx="34">
                        <c:v>292.51182373572721</c:v>
                      </c:pt>
                      <c:pt idx="36">
                        <c:v>277.22571833484852</c:v>
                      </c:pt>
                      <c:pt idx="37">
                        <c:v>291.77167307187551</c:v>
                      </c:pt>
                      <c:pt idx="38">
                        <c:v>294.52251426870703</c:v>
                      </c:pt>
                      <c:pt idx="39">
                        <c:v>267.27266562950297</c:v>
                      </c:pt>
                    </c:numCache>
                  </c:numRef>
                </c:val>
                <c:smooth val="0"/>
                <c:extLst>
                  <c:ext xmlns:c16="http://schemas.microsoft.com/office/drawing/2014/chart" uri="{C3380CC4-5D6E-409C-BE32-E72D297353CC}">
                    <c16:uniqueId val="{00000002-3B76-4DE4-A73F-2D8BFAAA2C60}"/>
                  </c:ext>
                </c:extLst>
              </c15:ser>
            </c15:filteredLineSeries>
          </c:ext>
        </c:extLst>
      </c:lineChart>
      <c:catAx>
        <c:axId val="24481945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a:pPr>
            <a:endParaRPr lang="es-CL"/>
          </a:p>
        </c:txPr>
        <c:crossAx val="244184704"/>
        <c:crosses val="autoZero"/>
        <c:auto val="0"/>
        <c:lblAlgn val="ctr"/>
        <c:lblOffset val="100"/>
        <c:noMultiLvlLbl val="1"/>
      </c:catAx>
      <c:valAx>
        <c:axId val="244184704"/>
        <c:scaling>
          <c:orientation val="minMax"/>
          <c:max val="500"/>
          <c:min val="150"/>
        </c:scaling>
        <c:delete val="0"/>
        <c:axPos val="l"/>
        <c:title>
          <c:tx>
            <c:rich>
              <a:bodyPr/>
              <a:lstStyle/>
              <a:p>
                <a:pPr>
                  <a:defRPr/>
                </a:pPr>
                <a:r>
                  <a:rPr lang="es-CL"/>
                  <a:t>$ / kilo</a:t>
                </a:r>
              </a:p>
            </c:rich>
          </c:tx>
          <c:layout>
            <c:manualLayout>
              <c:xMode val="edge"/>
              <c:yMode val="edge"/>
              <c:x val="7.2606149282242755E-3"/>
              <c:y val="0.36269387801290781"/>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a:pPr>
            <a:endParaRPr lang="es-CL"/>
          </a:p>
        </c:txPr>
        <c:crossAx val="244819456"/>
        <c:crosses val="autoZero"/>
        <c:crossBetween val="between"/>
      </c:valAx>
      <c:spPr>
        <a:solidFill>
          <a:srgbClr val="FFFFFF"/>
        </a:solidFill>
        <a:ln w="12700">
          <a:noFill/>
          <a:prstDash val="solid"/>
        </a:ln>
      </c:spPr>
    </c:plotArea>
    <c:legend>
      <c:legendPos val="r"/>
      <c:layout>
        <c:manualLayout>
          <c:xMode val="edge"/>
          <c:yMode val="edge"/>
          <c:x val="3.4266178889747187E-2"/>
          <c:y val="0.85276513188506242"/>
          <c:w val="0.92230865878645518"/>
          <c:h val="7.5741883482129999E-2"/>
        </c:manualLayout>
      </c:layout>
      <c:overlay val="0"/>
      <c:txPr>
        <a:bodyPr/>
        <a:lstStyle/>
        <a:p>
          <a:pPr>
            <a:defRPr sz="900"/>
          </a:pPr>
          <a:endParaRPr lang="es-CL"/>
        </a:p>
      </c:txPr>
    </c:legend>
    <c:plotVisOnly val="1"/>
    <c:dispBlanksAs val="gap"/>
    <c:showDLblsOverMax val="0"/>
  </c:chart>
  <c:spPr>
    <a:solidFill>
      <a:srgbClr val="FFFFFF"/>
    </a:solidFill>
  </c:spPr>
  <c:txPr>
    <a:bodyPr/>
    <a:lstStyle/>
    <a:p>
      <a:pPr>
        <a:defRPr sz="900" b="0" i="0" u="none" strike="noStrike" baseline="0">
          <a:solidFill>
            <a:srgbClr val="000000"/>
          </a:solidFill>
          <a:latin typeface="+mj-lt"/>
          <a:ea typeface="Arial MT"/>
          <a:cs typeface="Calibri" panose="020F0502020204030204" pitchFamily="34" charset="0"/>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CL" b="1"/>
              <a:t>Gráfico 11. Evolución de los precios del trigo HRW en el mercado de futuros de Kansas desde el 24 de</a:t>
            </a:r>
            <a:r>
              <a:rPr lang="es-CL" b="1" baseline="0"/>
              <a:t> julio 2023 al 26 de agosto 2024</a:t>
            </a:r>
          </a:p>
          <a:p>
            <a:pPr>
              <a:defRPr b="1"/>
            </a:pPr>
            <a:r>
              <a:rPr lang="es-CL" b="1" baseline="0"/>
              <a:t>(</a:t>
            </a:r>
            <a:r>
              <a:rPr lang="es-CL" b="1"/>
              <a:t>precios diarios en USD / tonelada)</a:t>
            </a:r>
          </a:p>
        </c:rich>
      </c:tx>
      <c:layout>
        <c:manualLayout>
          <c:xMode val="edge"/>
          <c:yMode val="edge"/>
          <c:x val="0.14497629516532218"/>
          <c:y val="4.641973255131468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11625067883793085"/>
          <c:y val="0.20741802425470879"/>
          <c:w val="0.7849595749924172"/>
          <c:h val="0.56812617390090847"/>
        </c:manualLayout>
      </c:layout>
      <c:lineChart>
        <c:grouping val="standard"/>
        <c:varyColors val="0"/>
        <c:ser>
          <c:idx val="3"/>
          <c:order val="2"/>
          <c:tx>
            <c:strRef>
              <c:f>'21'!$AT$1</c:f>
              <c:strCache>
                <c:ptCount val="1"/>
                <c:pt idx="0">
                  <c:v>jul-24</c:v>
                </c:pt>
              </c:strCache>
            </c:strRef>
          </c:tx>
          <c:spPr>
            <a:ln w="28575" cap="rnd">
              <a:solidFill>
                <a:schemeClr val="accent4"/>
              </a:solidFill>
              <a:round/>
            </a:ln>
            <a:effectLst/>
          </c:spPr>
          <c:marker>
            <c:symbol val="none"/>
          </c:marker>
          <c:cat>
            <c:numRef>
              <c:f>'21'!$L$125:$AL$180</c:f>
              <c:numCache>
                <c:formatCode>dd/mm/yyyy;@</c:formatCode>
                <c:ptCount val="56"/>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numCache>
            </c:numRef>
          </c:cat>
          <c:val>
            <c:numRef>
              <c:f>'21'!$AT$125:$AT$180</c:f>
              <c:numCache>
                <c:formatCode>0.00</c:formatCode>
                <c:ptCount val="56"/>
                <c:pt idx="0">
                  <c:v>317.83999999999997</c:v>
                </c:pt>
                <c:pt idx="1">
                  <c:v>295.60548</c:v>
                </c:pt>
                <c:pt idx="2">
                  <c:v>285.68459999999999</c:v>
                </c:pt>
                <c:pt idx="3">
                  <c:v>276.31488000000002</c:v>
                </c:pt>
                <c:pt idx="4">
                  <c:v>272.18117999999998</c:v>
                </c:pt>
                <c:pt idx="5">
                  <c:v>263.82191999999998</c:v>
                </c:pt>
                <c:pt idx="6">
                  <c:v>262.26029999999997</c:v>
                </c:pt>
                <c:pt idx="7">
                  <c:v>265.93469999999996</c:v>
                </c:pt>
                <c:pt idx="8">
                  <c:v>262.53588000000002</c:v>
                </c:pt>
                <c:pt idx="9">
                  <c:v>254.36033999999998</c:v>
                </c:pt>
                <c:pt idx="10">
                  <c:v>258.76961999999997</c:v>
                </c:pt>
                <c:pt idx="11">
                  <c:v>252.61499999999998</c:v>
                </c:pt>
                <c:pt idx="12">
                  <c:v>253.71732</c:v>
                </c:pt>
                <c:pt idx="13">
                  <c:v>246.46037999999999</c:v>
                </c:pt>
                <c:pt idx="14">
                  <c:v>246.73596000000001</c:v>
                </c:pt>
                <c:pt idx="15">
                  <c:v>244.25574</c:v>
                </c:pt>
                <c:pt idx="16">
                  <c:v>224.23025999999999</c:v>
                </c:pt>
                <c:pt idx="17" formatCode="0.0">
                  <c:v>244.53131999999999</c:v>
                </c:pt>
                <c:pt idx="18" formatCode="0.0">
                  <c:v>235.16159999999999</c:v>
                </c:pt>
                <c:pt idx="19" formatCode="0.0">
                  <c:v>234.33485999999999</c:v>
                </c:pt>
                <c:pt idx="20" formatCode="0.0">
                  <c:v>238.92785999999998</c:v>
                </c:pt>
                <c:pt idx="21" formatCode="0.0">
                  <c:v>233.14068</c:v>
                </c:pt>
                <c:pt idx="22" formatCode="0.0">
                  <c:v>228.82326</c:v>
                </c:pt>
                <c:pt idx="23" formatCode="0.0">
                  <c:v>229.00698</c:v>
                </c:pt>
                <c:pt idx="24" formatCode="0.0">
                  <c:v>229.00698</c:v>
                </c:pt>
                <c:pt idx="25" formatCode="0.0">
                  <c:v>223.40351999999999</c:v>
                </c:pt>
                <c:pt idx="26" formatCode="0.0">
                  <c:v>216.42215999999999</c:v>
                </c:pt>
                <c:pt idx="27" formatCode="0.0">
                  <c:v>204.02106000000001</c:v>
                </c:pt>
                <c:pt idx="28" formatCode="0.0">
                  <c:v>208.15475999999998</c:v>
                </c:pt>
                <c:pt idx="29" formatCode="0.0">
                  <c:v>208.33848</c:v>
                </c:pt>
                <c:pt idx="30" formatCode="0.0">
                  <c:v>206.13383999999999</c:v>
                </c:pt>
                <c:pt idx="31" formatCode="0.0">
                  <c:v>215.96286000000001</c:v>
                </c:pt>
                <c:pt idx="32" formatCode="0.0">
                  <c:v>210.81870000000001</c:v>
                </c:pt>
                <c:pt idx="33" formatCode="0.0">
                  <c:v>209.80823999999998</c:v>
                </c:pt>
                <c:pt idx="34" formatCode="0.0">
                  <c:v>214.76867999999999</c:v>
                </c:pt>
                <c:pt idx="35" formatCode="0.0">
                  <c:v>214.21752000000001</c:v>
                </c:pt>
                <c:pt idx="36" formatCode="0.0">
                  <c:v>221.3826</c:v>
                </c:pt>
                <c:pt idx="37" formatCode="0.0">
                  <c:v>235.34531999999999</c:v>
                </c:pt>
                <c:pt idx="38" formatCode="0.0">
                  <c:v>239.01972000000001</c:v>
                </c:pt>
                <c:pt idx="39" formatCode="0.0">
                  <c:v>248.11385999999999</c:v>
                </c:pt>
                <c:pt idx="40" formatCode="0.0">
                  <c:v>257.20799999999997</c:v>
                </c:pt>
                <c:pt idx="41" formatCode="0.0">
                  <c:v>265.01609999999999</c:v>
                </c:pt>
                <c:pt idx="42" formatCode="0.0">
                  <c:v>260.42309999999998</c:v>
                </c:pt>
                <c:pt idx="43" formatCode="0.0">
                  <c:v>244.62317999999999</c:v>
                </c:pt>
                <c:pt idx="44" formatCode="0.0">
                  <c:v>230.5686</c:v>
                </c:pt>
                <c:pt idx="45" formatCode="0.0">
                  <c:v>217.52447999999998</c:v>
                </c:pt>
                <c:pt idx="46">
                  <c:v>213.66636</c:v>
                </c:pt>
                <c:pt idx="47">
                  <c:v>221.47445999999999</c:v>
                </c:pt>
                <c:pt idx="48">
                  <c:v>210.72683999999998</c:v>
                </c:pt>
              </c:numCache>
            </c:numRef>
          </c:val>
          <c:smooth val="0"/>
          <c:extLst>
            <c:ext xmlns:c16="http://schemas.microsoft.com/office/drawing/2014/chart" uri="{C3380CC4-5D6E-409C-BE32-E72D297353CC}">
              <c16:uniqueId val="{00000002-6C7E-48D9-A893-EB4B713015D4}"/>
            </c:ext>
          </c:extLst>
        </c:ser>
        <c:ser>
          <c:idx val="5"/>
          <c:order val="3"/>
          <c:tx>
            <c:strRef>
              <c:f>'21'!$AY$1</c:f>
              <c:strCache>
                <c:ptCount val="1"/>
                <c:pt idx="0">
                  <c:v>dic-24</c:v>
                </c:pt>
              </c:strCache>
            </c:strRef>
          </c:tx>
          <c:spPr>
            <a:ln w="28575" cap="rnd">
              <a:solidFill>
                <a:schemeClr val="accent6"/>
              </a:solidFill>
              <a:round/>
            </a:ln>
            <a:effectLst/>
          </c:spPr>
          <c:marker>
            <c:symbol val="none"/>
          </c:marker>
          <c:cat>
            <c:numRef>
              <c:f>'21'!$L$125:$AL$180</c:f>
              <c:numCache>
                <c:formatCode>dd/mm/yyyy;@</c:formatCode>
                <c:ptCount val="56"/>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numCache>
            </c:numRef>
          </c:cat>
          <c:val>
            <c:numRef>
              <c:f>'21'!$AY$125:$AY$180</c:f>
              <c:numCache>
                <c:formatCode>General</c:formatCode>
                <c:ptCount val="56"/>
                <c:pt idx="7" formatCode="0.00">
                  <c:v>270.89513999999997</c:v>
                </c:pt>
                <c:pt idx="8" formatCode="0.00">
                  <c:v>267.86376000000001</c:v>
                </c:pt>
                <c:pt idx="9" formatCode="0.00">
                  <c:v>262.07657999999998</c:v>
                </c:pt>
                <c:pt idx="10" formatCode="0.00">
                  <c:v>266.48586</c:v>
                </c:pt>
                <c:pt idx="11" formatCode="0.00">
                  <c:v>261.3417</c:v>
                </c:pt>
                <c:pt idx="12" formatCode="0.00">
                  <c:v>261.15798000000001</c:v>
                </c:pt>
                <c:pt idx="13" formatCode="0.00">
                  <c:v>255.00335999999999</c:v>
                </c:pt>
                <c:pt idx="14" formatCode="0.00">
                  <c:v>254.81963999999999</c:v>
                </c:pt>
                <c:pt idx="15" formatCode="0.00">
                  <c:v>252.79872</c:v>
                </c:pt>
                <c:pt idx="16" formatCode="0.00">
                  <c:v>234.61043999999998</c:v>
                </c:pt>
                <c:pt idx="17" formatCode="0.0">
                  <c:v>253.71732</c:v>
                </c:pt>
                <c:pt idx="18" formatCode="0.0">
                  <c:v>243.24527999999998</c:v>
                </c:pt>
                <c:pt idx="19" formatCode="0.0">
                  <c:v>243.06155999999999</c:v>
                </c:pt>
                <c:pt idx="20" formatCode="0.0">
                  <c:v>248.75688</c:v>
                </c:pt>
                <c:pt idx="21" formatCode="0.0">
                  <c:v>242.69412</c:v>
                </c:pt>
                <c:pt idx="22" formatCode="0.0">
                  <c:v>239.11158</c:v>
                </c:pt>
                <c:pt idx="23" formatCode="0.0">
                  <c:v>238.28484</c:v>
                </c:pt>
                <c:pt idx="24" formatCode="0.0">
                  <c:v>239.01972000000001</c:v>
                </c:pt>
                <c:pt idx="25" formatCode="0.0">
                  <c:v>233.04882000000001</c:v>
                </c:pt>
                <c:pt idx="26" formatCode="0.0">
                  <c:v>226.71047999999999</c:v>
                </c:pt>
                <c:pt idx="27" formatCode="0.0">
                  <c:v>214.03379999999999</c:v>
                </c:pt>
                <c:pt idx="28" formatCode="0.0">
                  <c:v>218.07563999999999</c:v>
                </c:pt>
                <c:pt idx="29" formatCode="0.0">
                  <c:v>217.43261999999999</c:v>
                </c:pt>
                <c:pt idx="30" formatCode="0.0">
                  <c:v>214.67681999999999</c:v>
                </c:pt>
                <c:pt idx="31" formatCode="0.0">
                  <c:v>224.50584000000001</c:v>
                </c:pt>
                <c:pt idx="32" formatCode="0.0">
                  <c:v>221.10702000000001</c:v>
                </c:pt>
                <c:pt idx="33" formatCode="0.0">
                  <c:v>221.47445999999999</c:v>
                </c:pt>
                <c:pt idx="34" formatCode="0.0">
                  <c:v>226.71047999999999</c:v>
                </c:pt>
                <c:pt idx="35" formatCode="0.0">
                  <c:v>225.05699999999999</c:v>
                </c:pt>
                <c:pt idx="36" formatCode="0.0">
                  <c:v>232.4058</c:v>
                </c:pt>
                <c:pt idx="37" formatCode="0.0">
                  <c:v>246.46037999999999</c:v>
                </c:pt>
                <c:pt idx="38" formatCode="0.0">
                  <c:v>250.41036</c:v>
                </c:pt>
                <c:pt idx="39" formatCode="0.0">
                  <c:v>259.41264000000001</c:v>
                </c:pt>
                <c:pt idx="40" formatCode="0.0">
                  <c:v>269.05793999999997</c:v>
                </c:pt>
                <c:pt idx="41" formatCode="0.0">
                  <c:v>276.77418</c:v>
                </c:pt>
                <c:pt idx="42" formatCode="0.0">
                  <c:v>272.54861999999997</c:v>
                </c:pt>
                <c:pt idx="43" formatCode="0.0">
                  <c:v>257.02427999999998</c:v>
                </c:pt>
                <c:pt idx="44" formatCode="0.0">
                  <c:v>240.58133999999998</c:v>
                </c:pt>
                <c:pt idx="45" formatCode="0.0">
                  <c:v>225.97559999999999</c:v>
                </c:pt>
                <c:pt idx="46" formatCode="0.00">
                  <c:v>221.01515999999998</c:v>
                </c:pt>
                <c:pt idx="47" formatCode="0.00">
                  <c:v>226.06745999999998</c:v>
                </c:pt>
                <c:pt idx="48" formatCode="0.00">
                  <c:v>218.90237999999999</c:v>
                </c:pt>
                <c:pt idx="49" formatCode="0.00">
                  <c:v>210.26754</c:v>
                </c:pt>
                <c:pt idx="50" formatCode="0.00">
                  <c:v>216.05472</c:v>
                </c:pt>
                <c:pt idx="51" formatCode="0.00">
                  <c:v>209.16522000000001</c:v>
                </c:pt>
                <c:pt idx="52" formatCode="0.00">
                  <c:v>211.92102</c:v>
                </c:pt>
                <c:pt idx="53" formatCode="0.00">
                  <c:v>207.05243999999999</c:v>
                </c:pt>
                <c:pt idx="54" formatCode="0.00">
                  <c:v>204.48035999999999</c:v>
                </c:pt>
                <c:pt idx="55" formatCode="0.00">
                  <c:v>197.40714</c:v>
                </c:pt>
              </c:numCache>
            </c:numRef>
          </c:val>
          <c:smooth val="0"/>
          <c:extLst>
            <c:ext xmlns:c16="http://schemas.microsoft.com/office/drawing/2014/chart" uri="{C3380CC4-5D6E-409C-BE32-E72D297353CC}">
              <c16:uniqueId val="{00000003-6C7E-48D9-A893-EB4B713015D4}"/>
            </c:ext>
          </c:extLst>
        </c:ser>
        <c:ser>
          <c:idx val="6"/>
          <c:order val="5"/>
          <c:tx>
            <c:strRef>
              <c:f>'21'!$AZ$1</c:f>
              <c:strCache>
                <c:ptCount val="1"/>
                <c:pt idx="0">
                  <c:v>mar-25</c:v>
                </c:pt>
              </c:strCache>
            </c:strRef>
          </c:tx>
          <c:spPr>
            <a:ln w="28575" cap="rnd">
              <a:solidFill>
                <a:schemeClr val="accent1">
                  <a:lumMod val="60000"/>
                </a:schemeClr>
              </a:solidFill>
              <a:round/>
            </a:ln>
            <a:effectLst/>
          </c:spPr>
          <c:marker>
            <c:symbol val="none"/>
          </c:marker>
          <c:cat>
            <c:numRef>
              <c:f>'21'!$L$125:$AL$180</c:f>
              <c:numCache>
                <c:formatCode>dd/mm/yyyy;@</c:formatCode>
                <c:ptCount val="56"/>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numCache>
            </c:numRef>
          </c:cat>
          <c:val>
            <c:numRef>
              <c:f>'21'!$AZ$125:$AZ$180</c:f>
              <c:numCache>
                <c:formatCode>General</c:formatCode>
                <c:ptCount val="56"/>
                <c:pt idx="19" formatCode="0.0">
                  <c:v>245.44991999999999</c:v>
                </c:pt>
                <c:pt idx="20" formatCode="0.0">
                  <c:v>251.60453999999999</c:v>
                </c:pt>
                <c:pt idx="21" formatCode="0.0">
                  <c:v>246.00108</c:v>
                </c:pt>
                <c:pt idx="22" formatCode="0.0">
                  <c:v>242.96969999999999</c:v>
                </c:pt>
                <c:pt idx="23" formatCode="0.0">
                  <c:v>241.95923999999999</c:v>
                </c:pt>
                <c:pt idx="24" formatCode="0.0">
                  <c:v>243.24527999999998</c:v>
                </c:pt>
                <c:pt idx="25" formatCode="0.0">
                  <c:v>237.64182</c:v>
                </c:pt>
                <c:pt idx="26" formatCode="0.0">
                  <c:v>231.85463999999999</c:v>
                </c:pt>
                <c:pt idx="27" formatCode="0.0">
                  <c:v>219.45354</c:v>
                </c:pt>
                <c:pt idx="28" formatCode="0.0">
                  <c:v>223.40351999999999</c:v>
                </c:pt>
                <c:pt idx="29" formatCode="0.0">
                  <c:v>222.76049999999998</c:v>
                </c:pt>
                <c:pt idx="30" formatCode="0.0">
                  <c:v>220.18841999999998</c:v>
                </c:pt>
                <c:pt idx="31" formatCode="0.0">
                  <c:v>229.55813999999998</c:v>
                </c:pt>
                <c:pt idx="32" formatCode="0.0">
                  <c:v>226.80233999999999</c:v>
                </c:pt>
                <c:pt idx="33" formatCode="0.0">
                  <c:v>227.53721999999999</c:v>
                </c:pt>
                <c:pt idx="34" formatCode="0.0">
                  <c:v>233.14068</c:v>
                </c:pt>
                <c:pt idx="35" formatCode="0.0">
                  <c:v>230.75232</c:v>
                </c:pt>
                <c:pt idx="36" formatCode="0.0">
                  <c:v>238.10111999999998</c:v>
                </c:pt>
                <c:pt idx="37" formatCode="0.0">
                  <c:v>251.78825999999998</c:v>
                </c:pt>
                <c:pt idx="38" formatCode="0.0">
                  <c:v>255.3708</c:v>
                </c:pt>
                <c:pt idx="39" formatCode="0.0">
                  <c:v>265.01609999999999</c:v>
                </c:pt>
                <c:pt idx="40" formatCode="0.0">
                  <c:v>274.75326000000001</c:v>
                </c:pt>
                <c:pt idx="41" formatCode="0.0">
                  <c:v>281.64276000000001</c:v>
                </c:pt>
                <c:pt idx="42" formatCode="0.0">
                  <c:v>277.32533999999998</c:v>
                </c:pt>
                <c:pt idx="43" formatCode="0.0">
                  <c:v>262.26029999999997</c:v>
                </c:pt>
                <c:pt idx="44" formatCode="0.0">
                  <c:v>245.35805999999999</c:v>
                </c:pt>
                <c:pt idx="45" formatCode="0.0">
                  <c:v>231.11975999999999</c:v>
                </c:pt>
                <c:pt idx="46" formatCode="0.00">
                  <c:v>225.70001999999999</c:v>
                </c:pt>
                <c:pt idx="47" formatCode="0.00">
                  <c:v>230.75232</c:v>
                </c:pt>
                <c:pt idx="48" formatCode="0.00">
                  <c:v>224.13839999999999</c:v>
                </c:pt>
                <c:pt idx="49" formatCode="0.00">
                  <c:v>215.68727999999999</c:v>
                </c:pt>
                <c:pt idx="50" formatCode="0.00">
                  <c:v>221.01515999999998</c:v>
                </c:pt>
                <c:pt idx="51" formatCode="0.00">
                  <c:v>214.12565999999998</c:v>
                </c:pt>
                <c:pt idx="52" formatCode="0.00">
                  <c:v>217.15703999999999</c:v>
                </c:pt>
                <c:pt idx="53" formatCode="0.00">
                  <c:v>211.82916</c:v>
                </c:pt>
                <c:pt idx="54" formatCode="0.00">
                  <c:v>209.07335999999998</c:v>
                </c:pt>
                <c:pt idx="55" formatCode="0.00">
                  <c:v>201.90827999999999</c:v>
                </c:pt>
              </c:numCache>
            </c:numRef>
          </c:val>
          <c:smooth val="0"/>
          <c:extLst>
            <c:ext xmlns:c16="http://schemas.microsoft.com/office/drawing/2014/chart" uri="{C3380CC4-5D6E-409C-BE32-E72D297353CC}">
              <c16:uniqueId val="{00000004-6C7E-48D9-A893-EB4B713015D4}"/>
            </c:ext>
          </c:extLst>
        </c:ser>
        <c:dLbls>
          <c:showLegendKey val="0"/>
          <c:showVal val="0"/>
          <c:showCatName val="0"/>
          <c:showSerName val="0"/>
          <c:showPercent val="0"/>
          <c:showBubbleSize val="0"/>
        </c:dLbls>
        <c:smooth val="0"/>
        <c:axId val="242690048"/>
        <c:axId val="979681280"/>
        <c:extLst>
          <c:ext xmlns:c15="http://schemas.microsoft.com/office/drawing/2012/chart" uri="{02D57815-91ED-43cb-92C2-25804820EDAC}">
            <c15:filteredLineSeries>
              <c15:ser>
                <c:idx val="1"/>
                <c:order val="0"/>
                <c:tx>
                  <c:strRef>
                    <c:extLst>
                      <c:ext uri="{02D57815-91ED-43cb-92C2-25804820EDAC}">
                        <c15:formulaRef>
                          <c15:sqref>'[2]21'!$R$1</c15:sqref>
                        </c15:formulaRef>
                      </c:ext>
                    </c:extLst>
                    <c:strCache>
                      <c:ptCount val="1"/>
                      <c:pt idx="0">
                        <c:v>44531</c:v>
                      </c:pt>
                    </c:strCache>
                  </c:strRef>
                </c:tx>
                <c:spPr>
                  <a:ln w="28575" cap="rnd">
                    <a:solidFill>
                      <a:schemeClr val="accent2"/>
                    </a:solidFill>
                    <a:round/>
                  </a:ln>
                  <a:effectLst/>
                </c:spPr>
                <c:marker>
                  <c:symbol val="none"/>
                </c:marker>
                <c:cat>
                  <c:multiLvlStrRef>
                    <c:extLst>
                      <c:ext uri="{02D57815-91ED-43cb-92C2-25804820EDAC}">
                        <c15:formulaRef>
                          <c15:sqref>'[2]21'!$L$125:$AL$180</c15:sqref>
                        </c15:formulaRef>
                      </c:ext>
                    </c:extLst>
                    <c:multiLvlStrCache>
                      <c:ptCount val="56"/>
                      <c:lvl>
                        <c:pt idx="9">
                          <c:v> </c:v>
                        </c:pt>
                      </c:lvl>
                      <c:lvl/>
                      <c:lvl>
                        <c:pt idx="0">
                          <c:v>337,49</c:v>
                        </c:pt>
                        <c:pt idx="1">
                          <c:v>298,63686</c:v>
                        </c:pt>
                        <c:pt idx="2">
                          <c:v>282,83694</c:v>
                        </c:pt>
                        <c:pt idx="3">
                          <c:v>275,76372</c:v>
                        </c:pt>
                        <c:pt idx="4">
                          <c:v>272,27304</c:v>
                        </c:pt>
                        <c:pt idx="5">
                          <c:v>264,74052</c:v>
                        </c:pt>
                        <c:pt idx="6">
                          <c:v>263,82192</c:v>
                        </c:pt>
                      </c:lvl>
                      <c:lvl/>
                      <c:lvl/>
                      <c:lvl/>
                      <c:lvl/>
                      <c:lvl/>
                      <c:lvl/>
                      <c:lvl/>
                      <c:lvl/>
                      <c:lvl/>
                      <c:lvl/>
                      <c:lvl/>
                      <c:lvl/>
                      <c:lvl/>
                      <c:lvl/>
                      <c:lvl/>
                      <c:lvl/>
                      <c:lvl/>
                      <c:lvl/>
                      <c:lvl/>
                      <c:lvl/>
                      <c:lvl/>
                      <c:lvl/>
                      <c:lvl/>
                      <c:lvl>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lvl>
                    </c:multiLvlStrCache>
                  </c:multiLvlStrRef>
                </c:cat>
                <c:val>
                  <c:numRef>
                    <c:extLst>
                      <c:ext uri="{02D57815-91ED-43cb-92C2-25804820EDAC}">
                        <c15:formulaRef>
                          <c15:sqref>'[2]21'!$R$2:$R$50</c15:sqref>
                        </c15:formulaRef>
                      </c:ext>
                    </c:extLst>
                    <c:numCache>
                      <c:formatCode>General</c:formatCode>
                      <c:ptCount val="49"/>
                      <c:pt idx="0">
                        <c:v>226.52676</c:v>
                      </c:pt>
                      <c:pt idx="1">
                        <c:v>225.70001999999999</c:v>
                      </c:pt>
                      <c:pt idx="2">
                        <c:v>241.04064</c:v>
                      </c:pt>
                      <c:pt idx="3">
                        <c:v>233.78369999999998</c:v>
                      </c:pt>
                      <c:pt idx="4">
                        <c:v>232.86509999999998</c:v>
                      </c:pt>
                      <c:pt idx="5">
                        <c:v>240.03018</c:v>
                      </c:pt>
                      <c:pt idx="6">
                        <c:v>240.58133999999998</c:v>
                      </c:pt>
                      <c:pt idx="7">
                        <c:v>243.98015999999998</c:v>
                      </c:pt>
                      <c:pt idx="8">
                        <c:v>235.62090000000001</c:v>
                      </c:pt>
                      <c:pt idx="9">
                        <c:v>235.25345999999999</c:v>
                      </c:pt>
                      <c:pt idx="10">
                        <c:v>229.65</c:v>
                      </c:pt>
                      <c:pt idx="11">
                        <c:v>219.82097999999999</c:v>
                      </c:pt>
                      <c:pt idx="12">
                        <c:v>217.24889999999999</c:v>
                      </c:pt>
                      <c:pt idx="13">
                        <c:v>215.59541999999999</c:v>
                      </c:pt>
                      <c:pt idx="14">
                        <c:v>221.56631999999999</c:v>
                      </c:pt>
                      <c:pt idx="15">
                        <c:v>232.95695999999998</c:v>
                      </c:pt>
                      <c:pt idx="16">
                        <c:v>264.28122000000002</c:v>
                      </c:pt>
                      <c:pt idx="17">
                        <c:v>257.39171999999996</c:v>
                      </c:pt>
                      <c:pt idx="18">
                        <c:v>262.35215999999997</c:v>
                      </c:pt>
                      <c:pt idx="19">
                        <c:v>244.07201999999998</c:v>
                      </c:pt>
                      <c:pt idx="20">
                        <c:v>232.31394</c:v>
                      </c:pt>
                      <c:pt idx="21">
                        <c:v>241.13249999999999</c:v>
                      </c:pt>
                      <c:pt idx="22">
                        <c:v>238.3767</c:v>
                      </c:pt>
                      <c:pt idx="23">
                        <c:v>236.90693999999999</c:v>
                      </c:pt>
                      <c:pt idx="24">
                        <c:v>227.81279999999998</c:v>
                      </c:pt>
                      <c:pt idx="25">
                        <c:v>233.69183999999998</c:v>
                      </c:pt>
                      <c:pt idx="26">
                        <c:v>218.81052</c:v>
                      </c:pt>
                      <c:pt idx="27">
                        <c:v>229.92558</c:v>
                      </c:pt>
                      <c:pt idx="28">
                        <c:v>243.61272</c:v>
                      </c:pt>
                      <c:pt idx="29">
                        <c:v>239.01972000000001</c:v>
                      </c:pt>
                      <c:pt idx="30">
                        <c:v>262.62774000000002</c:v>
                      </c:pt>
                      <c:pt idx="31">
                        <c:v>262.16843999999998</c:v>
                      </c:pt>
                      <c:pt idx="32">
                        <c:v>275.30441999999999</c:v>
                      </c:pt>
                      <c:pt idx="33">
                        <c:v>263.63819999999998</c:v>
                      </c:pt>
                      <c:pt idx="34">
                        <c:v>261.80099999999999</c:v>
                      </c:pt>
                      <c:pt idx="35">
                        <c:v>263.63819999999998</c:v>
                      </c:pt>
                      <c:pt idx="36">
                        <c:v>252.1557</c:v>
                      </c:pt>
                      <c:pt idx="37">
                        <c:v>257.20799999999997</c:v>
                      </c:pt>
                      <c:pt idx="38">
                        <c:v>264.83238</c:v>
                      </c:pt>
                      <c:pt idx="39">
                        <c:v>277.14161999999999</c:v>
                      </c:pt>
                      <c:pt idx="40">
                        <c:v>269.88468</c:v>
                      </c:pt>
                      <c:pt idx="41">
                        <c:v>275.21256</c:v>
                      </c:pt>
                      <c:pt idx="42">
                        <c:v>285.77645999999999</c:v>
                      </c:pt>
                      <c:pt idx="43">
                        <c:v>296.34035999999998</c:v>
                      </c:pt>
                      <c:pt idx="44">
                        <c:v>286.87878000000001</c:v>
                      </c:pt>
                      <c:pt idx="45">
                        <c:v>307.17984000000001</c:v>
                      </c:pt>
                      <c:pt idx="46">
                        <c:v>316.64141999999998</c:v>
                      </c:pt>
                      <c:pt idx="47">
                        <c:v>313.79375999999996</c:v>
                      </c:pt>
                      <c:pt idx="48">
                        <c:v>301.85195999999996</c:v>
                      </c:pt>
                    </c:numCache>
                  </c:numRef>
                </c:val>
                <c:smooth val="0"/>
                <c:extLst>
                  <c:ext xmlns:c16="http://schemas.microsoft.com/office/drawing/2014/chart" uri="{C3380CC4-5D6E-409C-BE32-E72D297353CC}">
                    <c16:uniqueId val="{00000000-6C7E-48D9-A893-EB4B713015D4}"/>
                  </c:ext>
                </c:extLst>
              </c15:ser>
            </c15:filteredLineSeries>
            <c15:filteredLineSeries>
              <c15:ser>
                <c:idx val="2"/>
                <c:order val="1"/>
                <c:tx>
                  <c:strRef>
                    <c:extLst>
                      <c:ext xmlns:c15="http://schemas.microsoft.com/office/drawing/2012/chart" uri="{02D57815-91ED-43cb-92C2-25804820EDAC}">
                        <c15:formulaRef>
                          <c15:sqref>'[2]21'!$S$1</c15:sqref>
                        </c15:formulaRef>
                      </c:ext>
                    </c:extLst>
                    <c:strCache>
                      <c:ptCount val="1"/>
                      <c:pt idx="0">
                        <c:v>44621</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ormulaRef>
                          <c15:sqref>'[2]21'!$L$125:$AL$180</c15:sqref>
                        </c15:formulaRef>
                      </c:ext>
                    </c:extLst>
                    <c:multiLvlStrCache>
                      <c:ptCount val="56"/>
                      <c:lvl>
                        <c:pt idx="9">
                          <c:v> </c:v>
                        </c:pt>
                      </c:lvl>
                      <c:lvl/>
                      <c:lvl>
                        <c:pt idx="0">
                          <c:v>337,49</c:v>
                        </c:pt>
                        <c:pt idx="1">
                          <c:v>298,63686</c:v>
                        </c:pt>
                        <c:pt idx="2">
                          <c:v>282,83694</c:v>
                        </c:pt>
                        <c:pt idx="3">
                          <c:v>275,76372</c:v>
                        </c:pt>
                        <c:pt idx="4">
                          <c:v>272,27304</c:v>
                        </c:pt>
                        <c:pt idx="5">
                          <c:v>264,74052</c:v>
                        </c:pt>
                        <c:pt idx="6">
                          <c:v>263,82192</c:v>
                        </c:pt>
                      </c:lvl>
                      <c:lvl/>
                      <c:lvl/>
                      <c:lvl/>
                      <c:lvl/>
                      <c:lvl/>
                      <c:lvl/>
                      <c:lvl/>
                      <c:lvl/>
                      <c:lvl/>
                      <c:lvl/>
                      <c:lvl/>
                      <c:lvl/>
                      <c:lvl/>
                      <c:lvl/>
                      <c:lvl/>
                      <c:lvl/>
                      <c:lvl/>
                      <c:lvl/>
                      <c:lvl/>
                      <c:lvl/>
                      <c:lvl/>
                      <c:lvl/>
                      <c:lvl/>
                      <c:lvl>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lvl>
                    </c:multiLvlStrCache>
                  </c:multiLvlStrRef>
                </c:cat>
                <c:val>
                  <c:numRef>
                    <c:extLst>
                      <c:ext xmlns:c15="http://schemas.microsoft.com/office/drawing/2012/chart" uri="{02D57815-91ED-43cb-92C2-25804820EDAC}">
                        <c15:formulaRef>
                          <c15:sqref>'[2]21'!$S$15:$S$62</c15:sqref>
                        </c15:formulaRef>
                      </c:ext>
                    </c:extLst>
                    <c:numCache>
                      <c:formatCode>General</c:formatCode>
                      <c:ptCount val="48"/>
                      <c:pt idx="0">
                        <c:v>219.08609999999999</c:v>
                      </c:pt>
                      <c:pt idx="1">
                        <c:v>225.05699999999999</c:v>
                      </c:pt>
                      <c:pt idx="2">
                        <c:v>235.89648</c:v>
                      </c:pt>
                      <c:pt idx="3">
                        <c:v>266.66958</c:v>
                      </c:pt>
                      <c:pt idx="4">
                        <c:v>260.14751999999999</c:v>
                      </c:pt>
                      <c:pt idx="5">
                        <c:v>264.64866000000001</c:v>
                      </c:pt>
                      <c:pt idx="6">
                        <c:v>246.55223999999998</c:v>
                      </c:pt>
                      <c:pt idx="7">
                        <c:v>235.34531999999999</c:v>
                      </c:pt>
                      <c:pt idx="8">
                        <c:v>244.62317999999999</c:v>
                      </c:pt>
                      <c:pt idx="9">
                        <c:v>242.05109999999999</c:v>
                      </c:pt>
                      <c:pt idx="10">
                        <c:v>240.12204</c:v>
                      </c:pt>
                      <c:pt idx="11">
                        <c:v>231.76277999999999</c:v>
                      </c:pt>
                      <c:pt idx="12">
                        <c:v>236.99879999999999</c:v>
                      </c:pt>
                      <c:pt idx="13">
                        <c:v>222.66863999999998</c:v>
                      </c:pt>
                      <c:pt idx="14">
                        <c:v>233.3244</c:v>
                      </c:pt>
                      <c:pt idx="15">
                        <c:v>246.27665999999999</c:v>
                      </c:pt>
                      <c:pt idx="16">
                        <c:v>241.68366</c:v>
                      </c:pt>
                      <c:pt idx="17">
                        <c:v>265.38353999999998</c:v>
                      </c:pt>
                      <c:pt idx="18">
                        <c:v>265.47539999999998</c:v>
                      </c:pt>
                      <c:pt idx="19">
                        <c:v>278.42766</c:v>
                      </c:pt>
                      <c:pt idx="20">
                        <c:v>267.12887999999998</c:v>
                      </c:pt>
                      <c:pt idx="21">
                        <c:v>265.10795999999999</c:v>
                      </c:pt>
                      <c:pt idx="22">
                        <c:v>266.94515999999999</c:v>
                      </c:pt>
                      <c:pt idx="23">
                        <c:v>255.3708</c:v>
                      </c:pt>
                      <c:pt idx="24">
                        <c:v>260.51495999999997</c:v>
                      </c:pt>
                      <c:pt idx="25">
                        <c:v>267.68004000000002</c:v>
                      </c:pt>
                      <c:pt idx="26">
                        <c:v>279.98928000000001</c:v>
                      </c:pt>
                      <c:pt idx="27">
                        <c:v>272.91606000000002</c:v>
                      </c:pt>
                      <c:pt idx="28">
                        <c:v>277.78463999999997</c:v>
                      </c:pt>
                      <c:pt idx="29">
                        <c:v>286.78692000000001</c:v>
                      </c:pt>
                      <c:pt idx="30">
                        <c:v>297.71825999999999</c:v>
                      </c:pt>
                      <c:pt idx="31">
                        <c:v>288.44040000000001</c:v>
                      </c:pt>
                      <c:pt idx="32">
                        <c:v>308.09843999999998</c:v>
                      </c:pt>
                      <c:pt idx="33">
                        <c:v>318.38675999999998</c:v>
                      </c:pt>
                      <c:pt idx="34">
                        <c:v>314.98793999999998</c:v>
                      </c:pt>
                      <c:pt idx="35">
                        <c:v>302.21940000000001</c:v>
                      </c:pt>
                      <c:pt idx="36">
                        <c:v>298.54500000000002</c:v>
                      </c:pt>
                      <c:pt idx="37">
                        <c:v>298.82058000000001</c:v>
                      </c:pt>
                      <c:pt idx="38">
                        <c:v>311.22167999999999</c:v>
                      </c:pt>
                      <c:pt idx="39">
                        <c:v>290.82875999999999</c:v>
                      </c:pt>
                      <c:pt idx="40">
                        <c:v>285.96017999999998</c:v>
                      </c:pt>
                      <c:pt idx="41">
                        <c:v>283.93925999999999</c:v>
                      </c:pt>
                      <c:pt idx="42">
                        <c:v>300.56592000000001</c:v>
                      </c:pt>
                      <c:pt idx="43">
                        <c:v>287.0625</c:v>
                      </c:pt>
                      <c:pt idx="44">
                        <c:v>290.92061999999999</c:v>
                      </c:pt>
                      <c:pt idx="45">
                        <c:v>304.42403999999999</c:v>
                      </c:pt>
                      <c:pt idx="46">
                        <c:v>323.99021999999997</c:v>
                      </c:pt>
                      <c:pt idx="47">
                        <c:v>350.62961999999999</c:v>
                      </c:pt>
                    </c:numCache>
                  </c:numRef>
                </c:val>
                <c:smooth val="0"/>
                <c:extLst>
                  <c:ext xmlns:c16="http://schemas.microsoft.com/office/drawing/2014/chart" uri="{C3380CC4-5D6E-409C-BE32-E72D297353CC}">
                    <c16:uniqueId val="{00000001-6C7E-48D9-A893-EB4B713015D4}"/>
                  </c:ext>
                </c:extLst>
              </c15:ser>
            </c15:filteredLineSeries>
            <c15:filteredLineSeries>
              <c15:ser>
                <c:idx val="4"/>
                <c:order val="4"/>
                <c:tx>
                  <c:strRef>
                    <c:extLst>
                      <c:ext xmlns:c15="http://schemas.microsoft.com/office/drawing/2012/chart" uri="{02D57815-91ED-43cb-92C2-25804820EDAC}">
                        <c15:formulaRef>
                          <c15:sqref>'21'!$AV$1</c15:sqref>
                        </c15:formulaRef>
                      </c:ext>
                    </c:extLst>
                    <c:strCache>
                      <c:ptCount val="1"/>
                      <c:pt idx="0">
                        <c:v>sept-24</c:v>
                      </c:pt>
                    </c:strCache>
                  </c:strRef>
                </c:tx>
                <c:spPr>
                  <a:ln w="28575" cap="rnd">
                    <a:solidFill>
                      <a:schemeClr val="accent5"/>
                    </a:solidFill>
                    <a:round/>
                  </a:ln>
                  <a:effectLst/>
                </c:spPr>
                <c:marker>
                  <c:symbol val="none"/>
                </c:marker>
                <c:cat>
                  <c:numRef>
                    <c:extLst>
                      <c:ext xmlns:c15="http://schemas.microsoft.com/office/drawing/2012/chart" uri="{02D57815-91ED-43cb-92C2-25804820EDAC}">
                        <c15:formulaRef>
                          <c15:sqref>'21'!$L$125:$AL$180</c15:sqref>
                        </c15:formulaRef>
                      </c:ext>
                    </c:extLst>
                    <c:numCache>
                      <c:formatCode>dd/mm/yyyy;@</c:formatCode>
                      <c:ptCount val="56"/>
                      <c:pt idx="0">
                        <c:v>45131</c:v>
                      </c:pt>
                      <c:pt idx="1">
                        <c:v>45138</c:v>
                      </c:pt>
                      <c:pt idx="2">
                        <c:v>45145</c:v>
                      </c:pt>
                      <c:pt idx="3">
                        <c:v>45152</c:v>
                      </c:pt>
                      <c:pt idx="4">
                        <c:v>45159</c:v>
                      </c:pt>
                      <c:pt idx="5">
                        <c:v>45173</c:v>
                      </c:pt>
                      <c:pt idx="6">
                        <c:v>45180</c:v>
                      </c:pt>
                      <c:pt idx="7">
                        <c:v>45187</c:v>
                      </c:pt>
                      <c:pt idx="8">
                        <c:v>45194</c:v>
                      </c:pt>
                      <c:pt idx="9">
                        <c:v>45201</c:v>
                      </c:pt>
                      <c:pt idx="10">
                        <c:v>45208</c:v>
                      </c:pt>
                      <c:pt idx="11">
                        <c:v>45215</c:v>
                      </c:pt>
                      <c:pt idx="12">
                        <c:v>45222</c:v>
                      </c:pt>
                      <c:pt idx="13">
                        <c:v>45229</c:v>
                      </c:pt>
                      <c:pt idx="14">
                        <c:v>45236</c:v>
                      </c:pt>
                      <c:pt idx="15">
                        <c:v>45243</c:v>
                      </c:pt>
                      <c:pt idx="16">
                        <c:v>45257</c:v>
                      </c:pt>
                      <c:pt idx="17">
                        <c:v>45264</c:v>
                      </c:pt>
                      <c:pt idx="18">
                        <c:v>45271</c:v>
                      </c:pt>
                      <c:pt idx="19">
                        <c:v>45278</c:v>
                      </c:pt>
                      <c:pt idx="20">
                        <c:v>45286</c:v>
                      </c:pt>
                      <c:pt idx="21">
                        <c:v>45293</c:v>
                      </c:pt>
                      <c:pt idx="22">
                        <c:v>45299</c:v>
                      </c:pt>
                      <c:pt idx="23">
                        <c:v>45306</c:v>
                      </c:pt>
                      <c:pt idx="24">
                        <c:v>45317</c:v>
                      </c:pt>
                      <c:pt idx="25">
                        <c:v>45327</c:v>
                      </c:pt>
                      <c:pt idx="26">
                        <c:v>45334</c:v>
                      </c:pt>
                      <c:pt idx="27">
                        <c:v>45341</c:v>
                      </c:pt>
                      <c:pt idx="28">
                        <c:v>45348</c:v>
                      </c:pt>
                      <c:pt idx="29">
                        <c:v>45355</c:v>
                      </c:pt>
                      <c:pt idx="30">
                        <c:v>45358</c:v>
                      </c:pt>
                      <c:pt idx="31">
                        <c:v>45362</c:v>
                      </c:pt>
                      <c:pt idx="32">
                        <c:v>45371</c:v>
                      </c:pt>
                      <c:pt idx="33">
                        <c:v>45383</c:v>
                      </c:pt>
                      <c:pt idx="34">
                        <c:v>45390</c:v>
                      </c:pt>
                      <c:pt idx="35">
                        <c:v>45398</c:v>
                      </c:pt>
                      <c:pt idx="36">
                        <c:v>45404</c:v>
                      </c:pt>
                      <c:pt idx="37">
                        <c:v>45407</c:v>
                      </c:pt>
                      <c:pt idx="38">
                        <c:v>45411</c:v>
                      </c:pt>
                      <c:pt idx="39">
                        <c:v>45418</c:v>
                      </c:pt>
                      <c:pt idx="40">
                        <c:v>45425</c:v>
                      </c:pt>
                      <c:pt idx="41">
                        <c:v>45436</c:v>
                      </c:pt>
                      <c:pt idx="42">
                        <c:v>45443</c:v>
                      </c:pt>
                      <c:pt idx="43">
                        <c:v>45450</c:v>
                      </c:pt>
                      <c:pt idx="44">
                        <c:v>45457</c:v>
                      </c:pt>
                      <c:pt idx="45">
                        <c:v>45463</c:v>
                      </c:pt>
                      <c:pt idx="46">
                        <c:v>45467</c:v>
                      </c:pt>
                      <c:pt idx="47">
                        <c:v>45474</c:v>
                      </c:pt>
                      <c:pt idx="48">
                        <c:v>45481</c:v>
                      </c:pt>
                      <c:pt idx="49">
                        <c:v>45488</c:v>
                      </c:pt>
                      <c:pt idx="50">
                        <c:v>45495</c:v>
                      </c:pt>
                      <c:pt idx="51">
                        <c:v>45502</c:v>
                      </c:pt>
                      <c:pt idx="52">
                        <c:v>45509</c:v>
                      </c:pt>
                      <c:pt idx="53">
                        <c:v>45516</c:v>
                      </c:pt>
                      <c:pt idx="54">
                        <c:v>45523</c:v>
                      </c:pt>
                      <c:pt idx="55">
                        <c:v>45530</c:v>
                      </c:pt>
                    </c:numCache>
                  </c:numRef>
                </c:cat>
                <c:val>
                  <c:numRef>
                    <c:extLst>
                      <c:ext xmlns:c15="http://schemas.microsoft.com/office/drawing/2012/chart" uri="{02D57815-91ED-43cb-92C2-25804820EDAC}">
                        <c15:formulaRef>
                          <c15:sqref>'21'!$AV$125:$AV$162</c15:sqref>
                        </c15:formulaRef>
                      </c:ext>
                    </c:extLst>
                    <c:numCache>
                      <c:formatCode>0.00</c:formatCode>
                      <c:ptCount val="38"/>
                      <c:pt idx="0">
                        <c:v>313.7</c:v>
                      </c:pt>
                      <c:pt idx="1">
                        <c:v>294.22757999999999</c:v>
                      </c:pt>
                      <c:pt idx="2">
                        <c:v>285.68459999999999</c:v>
                      </c:pt>
                      <c:pt idx="3">
                        <c:v>277.41719999999998</c:v>
                      </c:pt>
                      <c:pt idx="4">
                        <c:v>273.37536</c:v>
                      </c:pt>
                      <c:pt idx="5">
                        <c:v>265.93469999999996</c:v>
                      </c:pt>
                      <c:pt idx="6">
                        <c:v>264.18935999999997</c:v>
                      </c:pt>
                      <c:pt idx="7">
                        <c:v>266.94515999999999</c:v>
                      </c:pt>
                      <c:pt idx="8">
                        <c:v>264.00563999999997</c:v>
                      </c:pt>
                      <c:pt idx="9">
                        <c:v>257.39171999999996</c:v>
                      </c:pt>
                      <c:pt idx="10">
                        <c:v>261.89285999999998</c:v>
                      </c:pt>
                      <c:pt idx="11">
                        <c:v>256.2894</c:v>
                      </c:pt>
                      <c:pt idx="12">
                        <c:v>256.56497999999999</c:v>
                      </c:pt>
                      <c:pt idx="13">
                        <c:v>250.22664</c:v>
                      </c:pt>
                      <c:pt idx="14">
                        <c:v>250.41036</c:v>
                      </c:pt>
                      <c:pt idx="15">
                        <c:v>248.02199999999999</c:v>
                      </c:pt>
                      <c:pt idx="16">
                        <c:v>228.91512</c:v>
                      </c:pt>
                      <c:pt idx="17" formatCode="0.0">
                        <c:v>248.57316</c:v>
                      </c:pt>
                      <c:pt idx="18" formatCode="0.0">
                        <c:v>238.74413999999999</c:v>
                      </c:pt>
                      <c:pt idx="19" formatCode="0.0">
                        <c:v>238.28484</c:v>
                      </c:pt>
                      <c:pt idx="20" formatCode="0.0">
                        <c:v>243.33714000000001</c:v>
                      </c:pt>
                      <c:pt idx="21" formatCode="0.0">
                        <c:v>237.27437999999998</c:v>
                      </c:pt>
                      <c:pt idx="22" formatCode="0.0">
                        <c:v>233.14068</c:v>
                      </c:pt>
                      <c:pt idx="23" formatCode="0.0">
                        <c:v>232.77323999999999</c:v>
                      </c:pt>
                      <c:pt idx="24" formatCode="0.0">
                        <c:v>232.77323999999999</c:v>
                      </c:pt>
                      <c:pt idx="25" formatCode="0.0">
                        <c:v>227.07792000000001</c:v>
                      </c:pt>
                      <c:pt idx="26" formatCode="0.0">
                        <c:v>220.64771999999999</c:v>
                      </c:pt>
                      <c:pt idx="27" formatCode="0.0">
                        <c:v>207.69546</c:v>
                      </c:pt>
                      <c:pt idx="28" formatCode="0.0">
                        <c:v>211.64544000000001</c:v>
                      </c:pt>
                      <c:pt idx="29" formatCode="0.0">
                        <c:v>211.27799999999999</c:v>
                      </c:pt>
                      <c:pt idx="30" formatCode="0.0">
                        <c:v>208.61405999999999</c:v>
                      </c:pt>
                      <c:pt idx="31" formatCode="0.0">
                        <c:v>218.6268</c:v>
                      </c:pt>
                      <c:pt idx="32" formatCode="0.0">
                        <c:v>214.58496</c:v>
                      </c:pt>
                      <c:pt idx="33" formatCode="0.0">
                        <c:v>214.40124</c:v>
                      </c:pt>
                      <c:pt idx="34" formatCode="0.0">
                        <c:v>219.26981999999998</c:v>
                      </c:pt>
                      <c:pt idx="35" formatCode="0.0">
                        <c:v>218.16749999999999</c:v>
                      </c:pt>
                      <c:pt idx="36" formatCode="0.0">
                        <c:v>225.70001999999999</c:v>
                      </c:pt>
                      <c:pt idx="37" formatCode="0.0">
                        <c:v>239.75459999999998</c:v>
                      </c:pt>
                    </c:numCache>
                  </c:numRef>
                </c:val>
                <c:smooth val="0"/>
                <c:extLst xmlns:c15="http://schemas.microsoft.com/office/drawing/2012/chart">
                  <c:ext xmlns:c16="http://schemas.microsoft.com/office/drawing/2014/chart" uri="{C3380CC4-5D6E-409C-BE32-E72D297353CC}">
                    <c16:uniqueId val="{00000005-6C7E-48D9-A893-EB4B713015D4}"/>
                  </c:ext>
                </c:extLst>
              </c15:ser>
            </c15:filteredLineSeries>
          </c:ext>
        </c:extLst>
      </c:lineChart>
      <c:dateAx>
        <c:axId val="24269004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s-CL"/>
          </a:p>
        </c:txPr>
        <c:crossAx val="979681280"/>
        <c:crosses val="autoZero"/>
        <c:auto val="0"/>
        <c:lblOffset val="100"/>
        <c:baseTimeUnit val="days"/>
        <c:majorUnit val="30"/>
        <c:majorTimeUnit val="days"/>
        <c:minorUnit val="1"/>
        <c:minorTimeUnit val="days"/>
      </c:dateAx>
      <c:valAx>
        <c:axId val="979681280"/>
        <c:scaling>
          <c:orientation val="minMax"/>
          <c:max val="340"/>
          <c:min val="1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s-CL"/>
                  <a:t>USD/ton</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s-CL"/>
          </a:p>
        </c:txPr>
        <c:crossAx val="2426900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0">
          <a:solidFill>
            <a:sysClr val="windowText" lastClr="000000"/>
          </a:solidFill>
        </a:defRPr>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2024/25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'28'!$E$5</c:f>
              <c:strCache>
                <c:ptCount val="1"/>
                <c:pt idx="0">
                  <c:v>Producción</c:v>
                </c:pt>
              </c:strCache>
            </c:strRef>
          </c:tx>
          <c:spPr>
            <a:pattFill prst="dkUpDiag">
              <a:fgClr>
                <a:srgbClr val="C00000"/>
              </a:fgClr>
              <a:bgClr>
                <a:schemeClr val="bg1"/>
              </a:bgClr>
            </a:pattFill>
          </c:spPr>
          <c:invertIfNegative val="0"/>
          <c:cat>
            <c:numRef>
              <c:f>'28'!$C$6:$C$17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'28'!$E$6:$E$17</c:f>
              <c:numCache>
                <c:formatCode>0.0</c:formatCode>
                <c:ptCount val="12"/>
                <c:pt idx="0">
                  <c:v>1219.93</c:v>
                </c:pt>
                <c:pt idx="1">
                  <c:v>1220.54</c:v>
                </c:pt>
                <c:pt idx="2">
                  <c:v>1224.79</c:v>
                </c:pt>
                <c:pt idx="3" formatCode="#,##0.0">
                  <c:v>1219.82</c:v>
                </c:pt>
              </c:numCache>
            </c:numRef>
          </c:val>
          <c:extLst>
            <c:ext xmlns:c16="http://schemas.microsoft.com/office/drawing/2014/chart" uri="{C3380CC4-5D6E-409C-BE32-E72D297353CC}">
              <c16:uniqueId val="{00000000-11F8-4D7A-84EF-8CD7F6E79246}"/>
            </c:ext>
          </c:extLst>
        </c:ser>
        <c:ser>
          <c:idx val="0"/>
          <c:order val="1"/>
          <c:tx>
            <c:strRef>
              <c:f>'28'!$F$5</c:f>
              <c:strCache>
                <c:ptCount val="1"/>
                <c:pt idx="0">
                  <c:v>Demanda</c:v>
                </c:pt>
              </c:strCache>
            </c:strRef>
          </c:tx>
          <c:spPr>
            <a:ln>
              <a:prstDash val="sysDash"/>
            </a:ln>
          </c:spPr>
          <c:invertIfNegative val="0"/>
          <c:cat>
            <c:numRef>
              <c:f>'28'!$C$6:$C$17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'28'!$F$6:$F$17</c:f>
              <c:numCache>
                <c:formatCode>0.0</c:formatCode>
                <c:ptCount val="12"/>
                <c:pt idx="0">
                  <c:v>1220.75</c:v>
                </c:pt>
                <c:pt idx="1">
                  <c:v>1222.1600000000001</c:v>
                </c:pt>
                <c:pt idx="2">
                  <c:v>1222.28</c:v>
                </c:pt>
                <c:pt idx="3" formatCode="#,##0.0">
                  <c:v>1218.17</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383279104"/>
        <c:axId val="979684160"/>
      </c:barChart>
      <c:dateAx>
        <c:axId val="38327910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684160"/>
        <c:crosses val="autoZero"/>
        <c:auto val="0"/>
        <c:lblOffset val="100"/>
        <c:baseTimeUnit val="months"/>
        <c:majorUnit val="1"/>
        <c:majorTimeUnit val="months"/>
        <c:minorUnit val="1"/>
        <c:minorTimeUnit val="months"/>
      </c:dateAx>
      <c:valAx>
        <c:axId val="979684160"/>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83279104"/>
        <c:crosses val="autoZero"/>
        <c:crossBetween val="between"/>
      </c:valAx>
    </c:plotArea>
    <c:legend>
      <c:legendPos val="r"/>
      <c:layout>
        <c:manualLayout>
          <c:xMode val="edge"/>
          <c:yMode val="edge"/>
          <c:x val="0.31394548882002304"/>
          <c:y val="0.82062381737166579"/>
          <c:w val="0.31700650741781322"/>
          <c:h val="0.1173882334475632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Agosto 2024 (millones de toneladas)</a:t>
            </a:r>
          </a:p>
        </c:rich>
      </c:tx>
      <c:layout>
        <c:manualLayout>
          <c:xMode val="edge"/>
          <c:yMode val="edge"/>
          <c:x val="0.23998504503483828"/>
          <c:y val="9.1497444398397562E-3"/>
        </c:manualLayout>
      </c:layout>
      <c:overlay val="0"/>
      <c:spPr>
        <a:solidFill>
          <a:sysClr val="window" lastClr="FFFFFF"/>
        </a:solidFill>
      </c:spPr>
    </c:title>
    <c:autoTitleDeleted val="0"/>
    <c:plotArea>
      <c:layout>
        <c:manualLayout>
          <c:layoutTarget val="inner"/>
          <c:xMode val="edge"/>
          <c:yMode val="edge"/>
          <c:x val="9.4408864404072201E-2"/>
          <c:y val="0.17109915715981047"/>
          <c:w val="0.78475704085160569"/>
          <c:h val="0.59006594722441741"/>
        </c:manualLayout>
      </c:layout>
      <c:lineChart>
        <c:grouping val="standard"/>
        <c:varyColors val="0"/>
        <c:ser>
          <c:idx val="1"/>
          <c:order val="0"/>
          <c:tx>
            <c:strRef>
              <c:f>'29'!$D$5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5.158068879385877E-2"/>
                  <c:y val="-5.266578715858304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3.5068909719144191E-2"/>
                  <c:y val="8.427002787105369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dLbl>
              <c:idx val="9"/>
              <c:layout>
                <c:manualLayout>
                  <c:x val="-2.867859552843172E-2"/>
                  <c:y val="-5.2624322660141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D-46DF-B1C8-09F746BF0DCF}"/>
                </c:ext>
              </c:extLst>
            </c:dLbl>
            <c:dLbl>
              <c:idx val="10"/>
              <c:layout>
                <c:manualLayout>
                  <c:x val="-2.0169240574095994E-2"/>
                  <c:y val="4.8271586936195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E-4B6C-BCAC-8A9F61EDE110}"/>
                </c:ext>
              </c:extLst>
            </c:dLbl>
            <c:dLbl>
              <c:idx val="11"/>
              <c:layout>
                <c:manualLayout>
                  <c:x val="-2.4203088688915339E-2"/>
                  <c:y val="-5.7048239106412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47-4C16-AFDC-E05C92B0CD0B}"/>
                </c:ext>
              </c:extLst>
            </c:dLbl>
            <c:dLbl>
              <c:idx val="12"/>
              <c:layout>
                <c:manualLayout>
                  <c:x val="-2.6208479165290892E-2"/>
                  <c:y val="4.7708212881763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BE-4C78-BCA6-983EAEBC1B8F}"/>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'29'!$B$6:$B$18</c:f>
              <c:strCache>
                <c:ptCount val="13"/>
                <c:pt idx="0">
                  <c:v>2012/13</c:v>
                </c:pt>
                <c:pt idx="1">
                  <c:v>2013/14</c:v>
                </c:pt>
                <c:pt idx="2">
                  <c:v>2014/15</c:v>
                </c:pt>
                <c:pt idx="3">
                  <c:v>2015/16</c:v>
                </c:pt>
                <c:pt idx="4">
                  <c:v>2016/17 </c:v>
                </c:pt>
                <c:pt idx="5">
                  <c:v>2017/18 </c:v>
                </c:pt>
                <c:pt idx="6">
                  <c:v>2018/19 </c:v>
                </c:pt>
                <c:pt idx="7">
                  <c:v>2019/20 </c:v>
                </c:pt>
                <c:pt idx="8">
                  <c:v>2020/21 </c:v>
                </c:pt>
                <c:pt idx="9">
                  <c:v>2021/22 </c:v>
                </c:pt>
                <c:pt idx="10">
                  <c:v>2022/23 </c:v>
                </c:pt>
                <c:pt idx="11">
                  <c:v>2023/24 estimado</c:v>
                </c:pt>
                <c:pt idx="12">
                  <c:v>2024/25 proyectado</c:v>
                </c:pt>
              </c:strCache>
            </c:strRef>
          </c:cat>
          <c:val>
            <c:numRef>
              <c:f>'29'!$D$6:$D$18</c:f>
              <c:numCache>
                <c:formatCode>#,##0</c:formatCode>
                <c:ptCount val="13"/>
                <c:pt idx="0">
                  <c:v>867.96600000000001</c:v>
                </c:pt>
                <c:pt idx="1">
                  <c:v>990.47</c:v>
                </c:pt>
                <c:pt idx="2">
                  <c:v>1015.57</c:v>
                </c:pt>
                <c:pt idx="3">
                  <c:v>972.21</c:v>
                </c:pt>
                <c:pt idx="4">
                  <c:v>1123.4100000000001</c:v>
                </c:pt>
                <c:pt idx="5">
                  <c:v>1080.0899999999999</c:v>
                </c:pt>
                <c:pt idx="6">
                  <c:v>1124.92</c:v>
                </c:pt>
                <c:pt idx="7">
                  <c:v>1120.1300000000001</c:v>
                </c:pt>
                <c:pt idx="8">
                  <c:v>1129.42</c:v>
                </c:pt>
                <c:pt idx="9">
                  <c:v>1216.1300000000001</c:v>
                </c:pt>
                <c:pt idx="10">
                  <c:v>1159.74</c:v>
                </c:pt>
                <c:pt idx="11">
                  <c:v>1223.81</c:v>
                </c:pt>
                <c:pt idx="12">
                  <c:v>1219.82</c:v>
                </c:pt>
              </c:numCache>
            </c:numRef>
          </c:val>
          <c:smooth val="0"/>
          <c:extLst>
            <c:ext xmlns:c16="http://schemas.microsoft.com/office/drawing/2014/chart" uri="{C3380CC4-5D6E-409C-BE32-E72D297353CC}">
              <c16:uniqueId val="{00000009-8D2C-4061-B259-2C9D0C047E9A}"/>
            </c:ext>
          </c:extLst>
        </c:ser>
        <c:ser>
          <c:idx val="0"/>
          <c:order val="1"/>
          <c:tx>
            <c:strRef>
              <c:f>'29'!$E$5</c:f>
              <c:strCache>
                <c:ptCount val="1"/>
                <c:pt idx="0">
                  <c:v>Demanda</c:v>
                </c:pt>
              </c:strCache>
            </c:strRef>
          </c:tx>
          <c:spPr>
            <a:ln>
              <a:prstDash val="sysDash"/>
            </a:ln>
          </c:spPr>
          <c:dLbls>
            <c:dLbl>
              <c:idx val="0"/>
              <c:layout>
                <c:manualLayout>
                  <c:x val="-4.2313796221110159E-2"/>
                  <c:y val="8.05136898496981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5.6912038447972213E-2"/>
                  <c:y val="5.37169121940870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6.3336656228952321E-2"/>
                  <c:y val="7.653620783665199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6.3226281251007502E-2"/>
                  <c:y val="6.683869826353591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4.0683422805884474E-2"/>
                  <c:y val="7.120629209942357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5.1007691786053029E-2"/>
                  <c:y val="8.889988465958682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6.0534084666660493E-2"/>
                  <c:y val="8.216708672507164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dLbl>
              <c:idx val="9"/>
              <c:layout>
                <c:manualLayout>
                  <c:x val="-3.1089216809330959E-2"/>
                  <c:y val="5.70174862700679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F46-AEE9-A8265ECC6588}"/>
                </c:ext>
              </c:extLst>
            </c:dLbl>
            <c:dLbl>
              <c:idx val="10"/>
              <c:layout>
                <c:manualLayout>
                  <c:x val="-2.2186164631505592E-2"/>
                  <c:y val="-5.7048239106412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DE-4B6C-BCAC-8A9F61EDE110}"/>
                </c:ext>
              </c:extLst>
            </c:dLbl>
            <c:dLbl>
              <c:idx val="11"/>
              <c:layout>
                <c:manualLayout>
                  <c:x val="-2.622001274632494E-2"/>
                  <c:y val="5.26599130213037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47-4C16-AFDC-E05C92B0CD0B}"/>
                </c:ext>
              </c:extLst>
            </c:dLbl>
            <c:dLbl>
              <c:idx val="12"/>
              <c:layout>
                <c:manualLayout>
                  <c:x val="-3.0240552883028102E-2"/>
                  <c:y val="-4.7708212881763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BE-4C78-BCA6-983EAEBC1B8F}"/>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'29'!$B$6:$B$18</c:f>
              <c:strCache>
                <c:ptCount val="13"/>
                <c:pt idx="0">
                  <c:v>2012/13</c:v>
                </c:pt>
                <c:pt idx="1">
                  <c:v>2013/14</c:v>
                </c:pt>
                <c:pt idx="2">
                  <c:v>2014/15</c:v>
                </c:pt>
                <c:pt idx="3">
                  <c:v>2015/16</c:v>
                </c:pt>
                <c:pt idx="4">
                  <c:v>2016/17 </c:v>
                </c:pt>
                <c:pt idx="5">
                  <c:v>2017/18 </c:v>
                </c:pt>
                <c:pt idx="6">
                  <c:v>2018/19 </c:v>
                </c:pt>
                <c:pt idx="7">
                  <c:v>2019/20 </c:v>
                </c:pt>
                <c:pt idx="8">
                  <c:v>2020/21 </c:v>
                </c:pt>
                <c:pt idx="9">
                  <c:v>2021/22 </c:v>
                </c:pt>
                <c:pt idx="10">
                  <c:v>2022/23 </c:v>
                </c:pt>
                <c:pt idx="11">
                  <c:v>2023/24 estimado</c:v>
                </c:pt>
                <c:pt idx="12">
                  <c:v>2024/25 proyectado</c:v>
                </c:pt>
              </c:strCache>
            </c:strRef>
          </c:cat>
          <c:val>
            <c:numRef>
              <c:f>'29'!$E$6:$E$18</c:f>
              <c:numCache>
                <c:formatCode>#,##0</c:formatCode>
                <c:ptCount val="13"/>
                <c:pt idx="0">
                  <c:v>864.69399999999996</c:v>
                </c:pt>
                <c:pt idx="1">
                  <c:v>948.85</c:v>
                </c:pt>
                <c:pt idx="2">
                  <c:v>980.58</c:v>
                </c:pt>
                <c:pt idx="3">
                  <c:v>968.01</c:v>
                </c:pt>
                <c:pt idx="4">
                  <c:v>1084.1400000000001</c:v>
                </c:pt>
                <c:pt idx="5">
                  <c:v>1090.45</c:v>
                </c:pt>
                <c:pt idx="6">
                  <c:v>1144.82</c:v>
                </c:pt>
                <c:pt idx="7">
                  <c:v>1136.17</c:v>
                </c:pt>
                <c:pt idx="8">
                  <c:v>1144.01</c:v>
                </c:pt>
                <c:pt idx="9">
                  <c:v>1198.29</c:v>
                </c:pt>
                <c:pt idx="10">
                  <c:v>1170.6600000000001</c:v>
                </c:pt>
                <c:pt idx="11">
                  <c:v>1218.1099999999999</c:v>
                </c:pt>
                <c:pt idx="12">
                  <c:v>1218.17</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44561408"/>
        <c:axId val="979686464"/>
      </c:lineChart>
      <c:lineChart>
        <c:grouping val="standard"/>
        <c:varyColors val="0"/>
        <c:ser>
          <c:idx val="2"/>
          <c:order val="2"/>
          <c:tx>
            <c:strRef>
              <c:f>'29'!$G$5</c:f>
              <c:strCache>
                <c:ptCount val="1"/>
                <c:pt idx="0">
                  <c:v>Relación stock final/consumo</c:v>
                </c:pt>
              </c:strCache>
            </c:strRef>
          </c:tx>
          <c:cat>
            <c:strRef>
              <c:f>'29'!$B$6:$B$18</c:f>
              <c:strCache>
                <c:ptCount val="13"/>
                <c:pt idx="0">
                  <c:v>2012/13</c:v>
                </c:pt>
                <c:pt idx="1">
                  <c:v>2013/14</c:v>
                </c:pt>
                <c:pt idx="2">
                  <c:v>2014/15</c:v>
                </c:pt>
                <c:pt idx="3">
                  <c:v>2015/16</c:v>
                </c:pt>
                <c:pt idx="4">
                  <c:v>2016/17 </c:v>
                </c:pt>
                <c:pt idx="5">
                  <c:v>2017/18 </c:v>
                </c:pt>
                <c:pt idx="6">
                  <c:v>2018/19 </c:v>
                </c:pt>
                <c:pt idx="7">
                  <c:v>2019/20 </c:v>
                </c:pt>
                <c:pt idx="8">
                  <c:v>2020/21 </c:v>
                </c:pt>
                <c:pt idx="9">
                  <c:v>2021/22 </c:v>
                </c:pt>
                <c:pt idx="10">
                  <c:v>2022/23 </c:v>
                </c:pt>
                <c:pt idx="11">
                  <c:v>2023/24 estimado</c:v>
                </c:pt>
                <c:pt idx="12">
                  <c:v>2024/25 proyectado</c:v>
                </c:pt>
              </c:strCache>
            </c:strRef>
          </c:cat>
          <c:val>
            <c:numRef>
              <c:f>'29'!$G$6:$G$18</c:f>
              <c:numCache>
                <c:formatCode>0.0%</c:formatCode>
                <c:ptCount val="13"/>
                <c:pt idx="0">
                  <c:v>0.1593627341001557</c:v>
                </c:pt>
                <c:pt idx="1">
                  <c:v>0.18446540549085735</c:v>
                </c:pt>
                <c:pt idx="2">
                  <c:v>0.21392441208264495</c:v>
                </c:pt>
                <c:pt idx="3">
                  <c:v>0.22099978306009235</c:v>
                </c:pt>
                <c:pt idx="4">
                  <c:v>0.32326083347169182</c:v>
                </c:pt>
                <c:pt idx="5">
                  <c:v>0.31326516575725616</c:v>
                </c:pt>
                <c:pt idx="6">
                  <c:v>0.28045456927726631</c:v>
                </c:pt>
                <c:pt idx="7">
                  <c:v>0.26965154862388552</c:v>
                </c:pt>
                <c:pt idx="8">
                  <c:v>0.255968042237393</c:v>
                </c:pt>
                <c:pt idx="9">
                  <c:v>0.25936125645711811</c:v>
                </c:pt>
                <c:pt idx="10">
                  <c:v>0.25867459381887137</c:v>
                </c:pt>
                <c:pt idx="11">
                  <c:v>0.25327761860587306</c:v>
                </c:pt>
                <c:pt idx="12">
                  <c:v>0.25461963436958718</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244561920"/>
        <c:axId val="979687040"/>
      </c:lineChart>
      <c:catAx>
        <c:axId val="244561408"/>
        <c:scaling>
          <c:orientation val="minMax"/>
        </c:scaling>
        <c:delete val="0"/>
        <c:axPos val="b"/>
        <c:numFmt formatCode="General" sourceLinked="1"/>
        <c:majorTickMark val="none"/>
        <c:minorTickMark val="none"/>
        <c:tickLblPos val="nextTo"/>
        <c:txPr>
          <a:bodyPr rot="1260000" vert="horz"/>
          <a:lstStyle/>
          <a:p>
            <a:pPr>
              <a:defRPr sz="850" b="0" i="0" u="none" strike="noStrike" baseline="0">
                <a:solidFill>
                  <a:srgbClr val="000000"/>
                </a:solidFill>
                <a:latin typeface="Arial"/>
                <a:ea typeface="Arial"/>
                <a:cs typeface="Arial"/>
              </a:defRPr>
            </a:pPr>
            <a:endParaRPr lang="es-CL"/>
          </a:p>
        </c:txPr>
        <c:crossAx val="979686464"/>
        <c:crosses val="autoZero"/>
        <c:auto val="1"/>
        <c:lblAlgn val="ctr"/>
        <c:lblOffset val="100"/>
        <c:noMultiLvlLbl val="0"/>
      </c:catAx>
      <c:valAx>
        <c:axId val="979686464"/>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8.5506949136183747E-3"/>
              <c:y val="0.27147748954397849"/>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408"/>
        <c:crosses val="autoZero"/>
        <c:crossBetween val="between"/>
      </c:valAx>
      <c:catAx>
        <c:axId val="244561920"/>
        <c:scaling>
          <c:orientation val="minMax"/>
        </c:scaling>
        <c:delete val="1"/>
        <c:axPos val="b"/>
        <c:numFmt formatCode="General" sourceLinked="1"/>
        <c:majorTickMark val="out"/>
        <c:minorTickMark val="none"/>
        <c:tickLblPos val="nextTo"/>
        <c:crossAx val="979687040"/>
        <c:crosses val="autoZero"/>
        <c:auto val="1"/>
        <c:lblAlgn val="ctr"/>
        <c:lblOffset val="100"/>
        <c:noMultiLvlLbl val="0"/>
      </c:catAx>
      <c:valAx>
        <c:axId val="979687040"/>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920"/>
        <c:crosses val="max"/>
        <c:crossBetween val="between"/>
      </c:valAx>
    </c:plotArea>
    <c:legend>
      <c:legendPos val="r"/>
      <c:layout>
        <c:manualLayout>
          <c:xMode val="edge"/>
          <c:yMode val="edge"/>
          <c:x val="7.6740875016522214E-2"/>
          <c:y val="0.91669360408896239"/>
          <c:w val="0.81297577371173935"/>
          <c:h val="7.237083851360681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3728588269537084"/>
          <c:y val="1.1060972664813705E-2"/>
        </c:manualLayout>
      </c:layout>
      <c:overlay val="0"/>
      <c:spPr>
        <a:noFill/>
        <a:ln w="25400">
          <a:noFill/>
        </a:ln>
      </c:spPr>
    </c:title>
    <c:autoTitleDeleted val="0"/>
    <c:plotArea>
      <c:layout>
        <c:manualLayout>
          <c:layoutTarget val="inner"/>
          <c:xMode val="edge"/>
          <c:yMode val="edge"/>
          <c:x val="0.1695959880014998"/>
          <c:y val="0.2408820488348048"/>
          <c:w val="0.64760264341957263"/>
          <c:h val="0.45701505607503373"/>
        </c:manualLayout>
      </c:layout>
      <c:barChart>
        <c:barDir val="col"/>
        <c:grouping val="clustered"/>
        <c:varyColors val="0"/>
        <c:ser>
          <c:idx val="1"/>
          <c:order val="0"/>
          <c:tx>
            <c:strRef>
              <c:f>'31'!$D$5</c:f>
              <c:strCache>
                <c:ptCount val="1"/>
                <c:pt idx="0">
                  <c:v> Producción 
(miles de toneladas) </c:v>
                </c:pt>
              </c:strCache>
            </c:strRef>
          </c:tx>
          <c:spPr>
            <a:solidFill>
              <a:srgbClr val="C0504D"/>
            </a:solidFill>
            <a:ln w="25400">
              <a:noFill/>
            </a:ln>
          </c:spPr>
          <c:invertIfNegative val="0"/>
          <c:cat>
            <c:strRef>
              <c:f>'31'!$B$6:$B$19</c:f>
              <c:strCache>
                <c:ptCount val="14"/>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strCache>
            </c:strRef>
          </c:cat>
          <c:val>
            <c:numRef>
              <c:f>'31'!$D$6:$D$19</c:f>
              <c:numCache>
                <c:formatCode>_-* #,##0_-;\-* #,##0_-;_-* \-_-;_-@_-</c:formatCode>
                <c:ptCount val="14"/>
                <c:pt idx="0">
                  <c:v>1379.6980000000001</c:v>
                </c:pt>
                <c:pt idx="1">
                  <c:v>1413.644</c:v>
                </c:pt>
                <c:pt idx="2">
                  <c:v>1411.057</c:v>
                </c:pt>
                <c:pt idx="3">
                  <c:v>1115.732</c:v>
                </c:pt>
                <c:pt idx="4">
                  <c:v>1517.8920000000001</c:v>
                </c:pt>
                <c:pt idx="5">
                  <c:v>1149.0391</c:v>
                </c:pt>
                <c:pt idx="6">
                  <c:v>1039.675</c:v>
                </c:pt>
                <c:pt idx="7">
                  <c:v>1087.9098671827173</c:v>
                </c:pt>
                <c:pt idx="8">
                  <c:v>951.06949999999995</c:v>
                </c:pt>
                <c:pt idx="9">
                  <c:v>565.88379999999995</c:v>
                </c:pt>
                <c:pt idx="10">
                  <c:v>771.68575999999996</c:v>
                </c:pt>
                <c:pt idx="11">
                  <c:v>590.22189327079298</c:v>
                </c:pt>
                <c:pt idx="12">
                  <c:v>523.56241260281297</c:v>
                </c:pt>
                <c:pt idx="13">
                  <c:v>500.82891433272601</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943778304"/>
        <c:axId val="380903424"/>
      </c:barChart>
      <c:lineChart>
        <c:grouping val="standard"/>
        <c:varyColors val="0"/>
        <c:ser>
          <c:idx val="0"/>
          <c:order val="1"/>
          <c:tx>
            <c:strRef>
              <c:f>'31'!$C$5</c:f>
              <c:strCache>
                <c:ptCount val="1"/>
                <c:pt idx="0">
                  <c:v> Superficie 
(miles de hectáreas) </c:v>
                </c:pt>
              </c:strCache>
            </c:strRef>
          </c:tx>
          <c:spPr>
            <a:ln w="25400">
              <a:solidFill>
                <a:srgbClr val="4F81BD"/>
              </a:solidFill>
              <a:prstDash val="solid"/>
            </a:ln>
          </c:spPr>
          <c:marker>
            <c:symbol val="none"/>
          </c:marker>
          <c:cat>
            <c:strRef>
              <c:f>'31'!$B$6:$B$19</c:f>
              <c:strCache>
                <c:ptCount val="14"/>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strCache>
            </c:strRef>
          </c:cat>
          <c:val>
            <c:numRef>
              <c:f>'31'!$C$6:$C$19</c:f>
              <c:numCache>
                <c:formatCode>_-* #,##0_-;\-* #,##0_-;_-* \-_-;_-@_-</c:formatCode>
                <c:ptCount val="14"/>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pt idx="9">
                  <c:v>54.679000000000002</c:v>
                </c:pt>
                <c:pt idx="10">
                  <c:v>59.728000000000002</c:v>
                </c:pt>
                <c:pt idx="11">
                  <c:v>48.314</c:v>
                </c:pt>
                <c:pt idx="12">
                  <c:v>41.793999999999997</c:v>
                </c:pt>
                <c:pt idx="13">
                  <c:v>38.427</c:v>
                </c:pt>
              </c:numCache>
            </c:numRef>
          </c:val>
          <c:smooth val="0"/>
          <c:extLst>
            <c:ext xmlns:c16="http://schemas.microsoft.com/office/drawing/2014/chart" uri="{C3380CC4-5D6E-409C-BE32-E72D297353CC}">
              <c16:uniqueId val="{00000001-1D83-40D3-A96A-9137F38F9E1B}"/>
            </c:ext>
          </c:extLst>
        </c:ser>
        <c:ser>
          <c:idx val="2"/>
          <c:order val="2"/>
          <c:tx>
            <c:strRef>
              <c:f>'31'!$E$5</c:f>
              <c:strCache>
                <c:ptCount val="1"/>
                <c:pt idx="0">
                  <c:v> Rendimiento 
(qqm/ha) </c:v>
                </c:pt>
              </c:strCache>
            </c:strRef>
          </c:tx>
          <c:marker>
            <c:symbol val="none"/>
          </c:marker>
          <c:cat>
            <c:strRef>
              <c:f>'31'!$B$6:$B$19</c:f>
              <c:strCache>
                <c:ptCount val="14"/>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strCache>
            </c:strRef>
          </c:cat>
          <c:val>
            <c:numRef>
              <c:f>'31'!$E$6:$E$19</c:f>
              <c:numCache>
                <c:formatCode>0.0</c:formatCode>
                <c:ptCount val="14"/>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pt idx="8">
                  <c:v>128.77174810782998</c:v>
                </c:pt>
                <c:pt idx="9">
                  <c:v>103.49198046782128</c:v>
                </c:pt>
                <c:pt idx="10">
                  <c:v>129.19999999999999</c:v>
                </c:pt>
                <c:pt idx="11">
                  <c:v>122.16373996580556</c:v>
                </c:pt>
                <c:pt idx="12">
                  <c:v>125.27214734239701</c:v>
                </c:pt>
                <c:pt idx="13">
                  <c:v>130.33255636212206</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944332800"/>
        <c:axId val="380904000"/>
      </c:lineChart>
      <c:catAx>
        <c:axId val="94377830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380903424"/>
        <c:crosses val="autoZero"/>
        <c:auto val="1"/>
        <c:lblAlgn val="ctr"/>
        <c:lblOffset val="100"/>
        <c:tickLblSkip val="1"/>
        <c:noMultiLvlLbl val="0"/>
      </c:catAx>
      <c:valAx>
        <c:axId val="38090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3778304"/>
        <c:crosses val="autoZero"/>
        <c:crossBetween val="between"/>
      </c:valAx>
      <c:catAx>
        <c:axId val="944332800"/>
        <c:scaling>
          <c:orientation val="minMax"/>
        </c:scaling>
        <c:delete val="1"/>
        <c:axPos val="b"/>
        <c:numFmt formatCode="General" sourceLinked="1"/>
        <c:majorTickMark val="out"/>
        <c:minorTickMark val="none"/>
        <c:tickLblPos val="nextTo"/>
        <c:crossAx val="380904000"/>
        <c:crosses val="autoZero"/>
        <c:auto val="1"/>
        <c:lblAlgn val="ctr"/>
        <c:lblOffset val="100"/>
        <c:noMultiLvlLbl val="0"/>
      </c:catAx>
      <c:valAx>
        <c:axId val="380904000"/>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4332800"/>
        <c:crosses val="max"/>
        <c:crossBetween val="between"/>
      </c:valAx>
      <c:spPr>
        <a:noFill/>
        <a:ln w="25400">
          <a:noFill/>
        </a:ln>
      </c:spPr>
    </c:plotArea>
    <c:legend>
      <c:legendPos val="r"/>
      <c:layout>
        <c:manualLayout>
          <c:xMode val="edge"/>
          <c:yMode val="edge"/>
          <c:x val="8.2794991731699713E-2"/>
          <c:y val="0.85418933938768171"/>
          <c:w val="0.83281947711081572"/>
          <c:h val="0.1414187367993142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2010 - 2023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'35'!$C$6</c:f>
              <c:strCache>
                <c:ptCount val="1"/>
                <c:pt idx="0">
                  <c:v>Producción</c:v>
                </c:pt>
              </c:strCache>
            </c:strRef>
          </c:tx>
          <c:invertIfNegative val="0"/>
          <c:cat>
            <c:numRef>
              <c:f>'35'!$B$9:$B$20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'35'!$C$9:$C$20</c:f>
              <c:numCache>
                <c:formatCode>#,##0_);\(#,##0\)</c:formatCode>
                <c:ptCount val="12"/>
                <c:pt idx="0">
                  <c:v>1413644</c:v>
                </c:pt>
                <c:pt idx="1">
                  <c:v>1411057.0441826645</c:v>
                </c:pt>
                <c:pt idx="2">
                  <c:v>1115732</c:v>
                </c:pt>
                <c:pt idx="3">
                  <c:v>1517892</c:v>
                </c:pt>
                <c:pt idx="4">
                  <c:v>1149039.1000000001</c:v>
                </c:pt>
                <c:pt idx="5">
                  <c:v>1039676</c:v>
                </c:pt>
                <c:pt idx="6">
                  <c:v>1087909.8671827174</c:v>
                </c:pt>
                <c:pt idx="7">
                  <c:v>951070</c:v>
                </c:pt>
                <c:pt idx="8">
                  <c:v>565884</c:v>
                </c:pt>
                <c:pt idx="9">
                  <c:v>771960</c:v>
                </c:pt>
                <c:pt idx="10">
                  <c:v>590221.89327079302</c:v>
                </c:pt>
                <c:pt idx="11">
                  <c:v>523562.41260281269</c:v>
                </c:pt>
              </c:numCache>
            </c:numRef>
          </c:val>
          <c:extLst>
            <c:ext xmlns:c16="http://schemas.microsoft.com/office/drawing/2014/chart" uri="{C3380CC4-5D6E-409C-BE32-E72D297353CC}">
              <c16:uniqueId val="{00000000-84AC-4A66-8628-B9D3FB741781}"/>
            </c:ext>
          </c:extLst>
        </c:ser>
        <c:ser>
          <c:idx val="2"/>
          <c:order val="1"/>
          <c:tx>
            <c:strRef>
              <c:f>'35'!$E$6</c:f>
              <c:strCache>
                <c:ptCount val="1"/>
                <c:pt idx="0">
                  <c:v>Importación</c:v>
                </c:pt>
              </c:strCache>
            </c:strRef>
          </c:tx>
          <c:invertIfNegative val="0"/>
          <c:cat>
            <c:numRef>
              <c:f>'35'!$B$9:$B$20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'35'!$E$9:$E$20</c:f>
              <c:numCache>
                <c:formatCode>#,##0_);\(#,##0\)</c:formatCode>
                <c:ptCount val="12"/>
                <c:pt idx="0">
                  <c:v>873303.59099999967</c:v>
                </c:pt>
                <c:pt idx="1">
                  <c:v>1092901.9909999999</c:v>
                </c:pt>
                <c:pt idx="2">
                  <c:v>1410364.561</c:v>
                </c:pt>
                <c:pt idx="3">
                  <c:v>1528818.3489999999</c:v>
                </c:pt>
                <c:pt idx="4">
                  <c:v>1462676.1939999999</c:v>
                </c:pt>
                <c:pt idx="5">
                  <c:v>1590526.189</c:v>
                </c:pt>
                <c:pt idx="6">
                  <c:v>1918486.1880699999</c:v>
                </c:pt>
                <c:pt idx="7">
                  <c:v>2366707.7000000002</c:v>
                </c:pt>
                <c:pt idx="8">
                  <c:v>2788006.5392800001</c:v>
                </c:pt>
                <c:pt idx="9">
                  <c:v>2341186.7386500002</c:v>
                </c:pt>
                <c:pt idx="10">
                  <c:v>2424229.4229299999</c:v>
                </c:pt>
                <c:pt idx="11">
                  <c:v>2338272.3082399997</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943902208"/>
        <c:axId val="380906304"/>
      </c:barChart>
      <c:lineChart>
        <c:grouping val="standard"/>
        <c:varyColors val="0"/>
        <c:ser>
          <c:idx val="5"/>
          <c:order val="2"/>
          <c:tx>
            <c:strRef>
              <c:f>'35'!$G$6</c:f>
              <c:strCache>
                <c:ptCount val="1"/>
                <c:pt idx="0">
                  <c:v>Disponibilidad aparente</c:v>
                </c:pt>
              </c:strCache>
            </c:strRef>
          </c:tx>
          <c:marker>
            <c:symbol val="none"/>
          </c:marker>
          <c:cat>
            <c:numRef>
              <c:f>'35'!$B$9:$B$19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'35'!$G$9:$G$20</c:f>
              <c:numCache>
                <c:formatCode>#,##0_);\(#,##0\)</c:formatCode>
                <c:ptCount val="12"/>
                <c:pt idx="0">
                  <c:v>2286947.5909999995</c:v>
                </c:pt>
                <c:pt idx="1">
                  <c:v>2503959.0351826642</c:v>
                </c:pt>
                <c:pt idx="2">
                  <c:v>2526096.5609999998</c:v>
                </c:pt>
                <c:pt idx="3">
                  <c:v>3046710.3489999999</c:v>
                </c:pt>
                <c:pt idx="4">
                  <c:v>2611715.2939999998</c:v>
                </c:pt>
                <c:pt idx="5">
                  <c:v>2630202.1890000002</c:v>
                </c:pt>
                <c:pt idx="6">
                  <c:v>3006396.0552527173</c:v>
                </c:pt>
                <c:pt idx="7">
                  <c:v>3317777.7</c:v>
                </c:pt>
                <c:pt idx="8">
                  <c:v>3353890.5392800001</c:v>
                </c:pt>
                <c:pt idx="9" formatCode="#,##0_);\(#,##0\)">
                  <c:v>3113146.7386500002</c:v>
                </c:pt>
                <c:pt idx="10" formatCode="#,##0_);\(#,##0\)">
                  <c:v>3014451.3162007928</c:v>
                </c:pt>
                <c:pt idx="11" formatCode="#,##0_);\(#,##0\)">
                  <c:v>2861834.7208428122</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943902208"/>
        <c:axId val="380906304"/>
      </c:lineChart>
      <c:catAx>
        <c:axId val="94390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0906304"/>
        <c:crosses val="autoZero"/>
        <c:auto val="1"/>
        <c:lblAlgn val="ctr"/>
        <c:lblOffset val="100"/>
        <c:tickLblSkip val="1"/>
        <c:tickMarkSkip val="1"/>
        <c:noMultiLvlLbl val="0"/>
      </c:catAx>
      <c:valAx>
        <c:axId val="380906304"/>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3902208"/>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2018 - 2024</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20481451912079721"/>
          <c:w val="0.81121751025991751"/>
          <c:h val="0.5111974327221751"/>
        </c:manualLayout>
      </c:layout>
      <c:barChart>
        <c:barDir val="col"/>
        <c:grouping val="clustered"/>
        <c:varyColors val="0"/>
        <c:ser>
          <c:idx val="1"/>
          <c:order val="0"/>
          <c:tx>
            <c:strRef>
              <c:f>'36'!$C$6</c:f>
              <c:strCache>
                <c:ptCount val="1"/>
                <c:pt idx="0">
                  <c:v>2018</c:v>
                </c:pt>
              </c:strCache>
            </c:strRef>
          </c:tx>
          <c:spPr>
            <a:pattFill prst="ltUpDiag">
              <a:fgClr>
                <a:srgbClr val="C00000"/>
              </a:fgClr>
              <a:bgClr>
                <a:schemeClr val="bg1"/>
              </a:bgClr>
            </a:pattFill>
            <a:ln>
              <a:solidFill>
                <a:srgbClr val="C0000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'36'!$C$7:$C$18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0-FB1B-4964-BD3E-576F1C886E72}"/>
            </c:ext>
          </c:extLst>
        </c:ser>
        <c:ser>
          <c:idx val="2"/>
          <c:order val="1"/>
          <c:tx>
            <c:strRef>
              <c:f>'36'!$D$6</c:f>
              <c:strCache>
                <c:ptCount val="1"/>
                <c:pt idx="0">
                  <c:v>2019</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'36'!$D$7:$D$18</c:f>
              <c:numCache>
                <c:formatCode>#,##0</c:formatCode>
                <c:ptCount val="12"/>
                <c:pt idx="0">
                  <c:v>210065</c:v>
                </c:pt>
                <c:pt idx="1">
                  <c:v>298256.8</c:v>
                </c:pt>
                <c:pt idx="2">
                  <c:v>120993</c:v>
                </c:pt>
                <c:pt idx="3">
                  <c:v>35949</c:v>
                </c:pt>
                <c:pt idx="4">
                  <c:v>156074</c:v>
                </c:pt>
                <c:pt idx="5">
                  <c:v>132890.9</c:v>
                </c:pt>
                <c:pt idx="6">
                  <c:v>260760</c:v>
                </c:pt>
                <c:pt idx="7">
                  <c:v>211372</c:v>
                </c:pt>
                <c:pt idx="8">
                  <c:v>225844</c:v>
                </c:pt>
                <c:pt idx="9">
                  <c:v>231780</c:v>
                </c:pt>
                <c:pt idx="10">
                  <c:v>214971</c:v>
                </c:pt>
                <c:pt idx="11">
                  <c:v>267752</c:v>
                </c:pt>
              </c:numCache>
            </c:numRef>
          </c:val>
          <c:extLst>
            <c:ext xmlns:c16="http://schemas.microsoft.com/office/drawing/2014/chart" uri="{C3380CC4-5D6E-409C-BE32-E72D297353CC}">
              <c16:uniqueId val="{00000001-FB1B-4964-BD3E-576F1C886E72}"/>
            </c:ext>
          </c:extLst>
        </c:ser>
        <c:ser>
          <c:idx val="3"/>
          <c:order val="2"/>
          <c:tx>
            <c:strRef>
              <c:f>'36'!$E$6</c:f>
              <c:strCache>
                <c:ptCount val="1"/>
                <c:pt idx="0">
                  <c:v>2020</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'36'!$E$7:$E$18</c:f>
              <c:numCache>
                <c:formatCode>#,##0</c:formatCode>
                <c:ptCount val="12"/>
                <c:pt idx="0">
                  <c:v>189863.11424</c:v>
                </c:pt>
                <c:pt idx="1">
                  <c:v>210122.08674999996</c:v>
                </c:pt>
                <c:pt idx="2">
                  <c:v>236367.36278</c:v>
                </c:pt>
                <c:pt idx="3">
                  <c:v>163687.78844</c:v>
                </c:pt>
                <c:pt idx="4">
                  <c:v>154544.45334000001</c:v>
                </c:pt>
                <c:pt idx="5">
                  <c:v>176351.1024</c:v>
                </c:pt>
                <c:pt idx="6">
                  <c:v>314078.46445999999</c:v>
                </c:pt>
                <c:pt idx="7">
                  <c:v>320739.91644</c:v>
                </c:pt>
                <c:pt idx="8">
                  <c:v>269826.26050999999</c:v>
                </c:pt>
                <c:pt idx="9">
                  <c:v>349715.25824</c:v>
                </c:pt>
                <c:pt idx="10">
                  <c:v>211944.91768000001</c:v>
                </c:pt>
                <c:pt idx="11">
                  <c:v>190765.81400000001</c:v>
                </c:pt>
              </c:numCache>
            </c:numRef>
          </c:val>
          <c:extLst>
            <c:ext xmlns:c16="http://schemas.microsoft.com/office/drawing/2014/chart" uri="{C3380CC4-5D6E-409C-BE32-E72D297353CC}">
              <c16:uniqueId val="{00000002-FB1B-4964-BD3E-576F1C886E72}"/>
            </c:ext>
          </c:extLst>
        </c:ser>
        <c:ser>
          <c:idx val="0"/>
          <c:order val="3"/>
          <c:tx>
            <c:strRef>
              <c:f>'36'!$F$6</c:f>
              <c:strCache>
                <c:ptCount val="1"/>
                <c:pt idx="0">
                  <c:v>2021</c:v>
                </c:pt>
              </c:strCache>
            </c:strRef>
          </c:tx>
          <c:spPr>
            <a:pattFill prst="pct60">
              <a:fgClr>
                <a:srgbClr val="0070C0"/>
              </a:fgClr>
              <a:bgClr>
                <a:schemeClr val="bg1"/>
              </a:bgClr>
            </a:pattFill>
            <a:ln>
              <a:solidFill>
                <a:srgbClr val="0070C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'36'!$F$7:$F$18</c:f>
              <c:numCache>
                <c:formatCode>#,##0</c:formatCode>
                <c:ptCount val="12"/>
                <c:pt idx="0">
                  <c:v>169319.18</c:v>
                </c:pt>
                <c:pt idx="1">
                  <c:v>228790.80032999997</c:v>
                </c:pt>
                <c:pt idx="2">
                  <c:v>169998.05799999999</c:v>
                </c:pt>
                <c:pt idx="3">
                  <c:v>124958.82113000001</c:v>
                </c:pt>
                <c:pt idx="4">
                  <c:v>137570.77900000001</c:v>
                </c:pt>
                <c:pt idx="5">
                  <c:v>157439.008</c:v>
                </c:pt>
                <c:pt idx="6">
                  <c:v>169547.18582999997</c:v>
                </c:pt>
                <c:pt idx="7">
                  <c:v>176857.652</c:v>
                </c:pt>
                <c:pt idx="8">
                  <c:v>245239.02699000001</c:v>
                </c:pt>
                <c:pt idx="9">
                  <c:v>285503.50107</c:v>
                </c:pt>
                <c:pt idx="10">
                  <c:v>251377.48130000001</c:v>
                </c:pt>
                <c:pt idx="11">
                  <c:v>224585.245</c:v>
                </c:pt>
              </c:numCache>
            </c:numRef>
          </c:val>
          <c:extLst>
            <c:ext xmlns:c16="http://schemas.microsoft.com/office/drawing/2014/chart" uri="{C3380CC4-5D6E-409C-BE32-E72D297353CC}">
              <c16:uniqueId val="{00000003-FB1B-4964-BD3E-576F1C886E72}"/>
            </c:ext>
          </c:extLst>
        </c:ser>
        <c:ser>
          <c:idx val="4"/>
          <c:order val="4"/>
          <c:tx>
            <c:strRef>
              <c:f>'36'!$G$6</c:f>
              <c:strCache>
                <c:ptCount val="1"/>
                <c:pt idx="0">
                  <c:v>2022</c:v>
                </c:pt>
              </c:strCache>
            </c:strRef>
          </c:tx>
          <c:invertIfNegative val="0"/>
          <c:val>
            <c:numRef>
              <c:f>'36'!$G$7:$G$18</c:f>
              <c:numCache>
                <c:formatCode>#,##0</c:formatCode>
                <c:ptCount val="12"/>
                <c:pt idx="0">
                  <c:v>166933.17013000001</c:v>
                </c:pt>
                <c:pt idx="1">
                  <c:v>152294.36619</c:v>
                </c:pt>
                <c:pt idx="2">
                  <c:v>134324.87856000001</c:v>
                </c:pt>
                <c:pt idx="3">
                  <c:v>109000.40353999998</c:v>
                </c:pt>
                <c:pt idx="4">
                  <c:v>256508.59538999994</c:v>
                </c:pt>
                <c:pt idx="5">
                  <c:v>261464.76532999999</c:v>
                </c:pt>
                <c:pt idx="6">
                  <c:v>166119.04785</c:v>
                </c:pt>
                <c:pt idx="7">
                  <c:v>245864.79235999999</c:v>
                </c:pt>
                <c:pt idx="8">
                  <c:v>212644.24451000002</c:v>
                </c:pt>
                <c:pt idx="9">
                  <c:v>204561.26246999996</c:v>
                </c:pt>
                <c:pt idx="10">
                  <c:v>251197.68708999999</c:v>
                </c:pt>
                <c:pt idx="11">
                  <c:v>263316.20950999996</c:v>
                </c:pt>
              </c:numCache>
            </c:numRef>
          </c:val>
          <c:extLst>
            <c:ext xmlns:c16="http://schemas.microsoft.com/office/drawing/2014/chart" uri="{C3380CC4-5D6E-409C-BE32-E72D297353CC}">
              <c16:uniqueId val="{00000004-FB1B-4964-BD3E-576F1C886E72}"/>
            </c:ext>
          </c:extLst>
        </c:ser>
        <c:ser>
          <c:idx val="6"/>
          <c:order val="5"/>
          <c:tx>
            <c:strRef>
              <c:f>'36'!$H$6</c:f>
              <c:strCache>
                <c:ptCount val="1"/>
                <c:pt idx="0">
                  <c:v>2023</c:v>
                </c:pt>
              </c:strCache>
            </c:strRef>
          </c:tx>
          <c:spPr>
            <a:solidFill>
              <a:schemeClr val="tx1"/>
            </a:solidFill>
            <a:ln>
              <a:solidFill>
                <a:schemeClr val="tx1"/>
              </a:solidFill>
            </a:ln>
          </c:spPr>
          <c:invertIfNegative val="0"/>
          <c:val>
            <c:numRef>
              <c:f>'36'!$H$7:$H$18</c:f>
              <c:numCache>
                <c:formatCode>#,##0</c:formatCode>
                <c:ptCount val="12"/>
                <c:pt idx="0">
                  <c:v>93485.99136</c:v>
                </c:pt>
                <c:pt idx="1">
                  <c:v>220660.49992000003</c:v>
                </c:pt>
                <c:pt idx="2">
                  <c:v>280541.33685000002</c:v>
                </c:pt>
                <c:pt idx="3">
                  <c:v>132170.80716</c:v>
                </c:pt>
                <c:pt idx="4">
                  <c:v>152922.49033999999</c:v>
                </c:pt>
                <c:pt idx="5">
                  <c:v>95084.19114000001</c:v>
                </c:pt>
                <c:pt idx="6">
                  <c:v>209258.77609</c:v>
                </c:pt>
                <c:pt idx="7">
                  <c:v>225297.64019999999</c:v>
                </c:pt>
                <c:pt idx="8">
                  <c:v>210694.35898999998</c:v>
                </c:pt>
                <c:pt idx="9">
                  <c:v>240687.17243999999</c:v>
                </c:pt>
                <c:pt idx="10">
                  <c:v>179170.22582999998</c:v>
                </c:pt>
                <c:pt idx="11">
                  <c:v>298298.81791999988</c:v>
                </c:pt>
              </c:numCache>
            </c:numRef>
          </c:val>
          <c:extLst>
            <c:ext xmlns:c16="http://schemas.microsoft.com/office/drawing/2014/chart" uri="{C3380CC4-5D6E-409C-BE32-E72D297353CC}">
              <c16:uniqueId val="{00000000-531A-450E-A387-161D63932C13}"/>
            </c:ext>
          </c:extLst>
        </c:ser>
        <c:ser>
          <c:idx val="5"/>
          <c:order val="6"/>
          <c:tx>
            <c:strRef>
              <c:f>'36'!$I$6</c:f>
              <c:strCache>
                <c:ptCount val="1"/>
                <c:pt idx="0">
                  <c:v>2024</c:v>
                </c:pt>
              </c:strCache>
            </c:strRef>
          </c:tx>
          <c:spPr>
            <a:solidFill>
              <a:srgbClr val="FF3300"/>
            </a:solidFill>
            <a:ln>
              <a:solidFill>
                <a:srgbClr val="FF3300"/>
              </a:solidFill>
            </a:ln>
          </c:spPr>
          <c:invertIfNegative val="0"/>
          <c:val>
            <c:numRef>
              <c:f>'36'!$I$7:$I$18</c:f>
              <c:numCache>
                <c:formatCode>#,##0</c:formatCode>
                <c:ptCount val="12"/>
                <c:pt idx="0">
                  <c:v>222409.18711000003</c:v>
                </c:pt>
                <c:pt idx="1">
                  <c:v>197207.28566999998</c:v>
                </c:pt>
                <c:pt idx="2">
                  <c:v>198992.61025999999</c:v>
                </c:pt>
                <c:pt idx="3">
                  <c:v>134060.05551999999</c:v>
                </c:pt>
                <c:pt idx="4">
                  <c:v>140056.35678</c:v>
                </c:pt>
                <c:pt idx="5">
                  <c:v>190331.70991999996</c:v>
                </c:pt>
                <c:pt idx="6">
                  <c:v>272799.30929999996</c:v>
                </c:pt>
              </c:numCache>
            </c:numRef>
          </c:val>
          <c:extLst>
            <c:ext xmlns:c16="http://schemas.microsoft.com/office/drawing/2014/chart" uri="{C3380CC4-5D6E-409C-BE32-E72D297353CC}">
              <c16:uniqueId val="{00000001-49B4-4B5B-90B0-7CD88F5A09A5}"/>
            </c:ext>
          </c:extLst>
        </c:ser>
        <c:dLbls>
          <c:showLegendKey val="0"/>
          <c:showVal val="0"/>
          <c:showCatName val="0"/>
          <c:showSerName val="0"/>
          <c:showPercent val="0"/>
          <c:showBubbleSize val="0"/>
        </c:dLbls>
        <c:gapWidth val="150"/>
        <c:axId val="384009728"/>
        <c:axId val="380908608"/>
      </c:barChart>
      <c:catAx>
        <c:axId val="3840097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380908608"/>
        <c:crosses val="autoZero"/>
        <c:auto val="1"/>
        <c:lblAlgn val="ctr"/>
        <c:lblOffset val="100"/>
        <c:tickLblSkip val="1"/>
        <c:tickMarkSkip val="1"/>
        <c:noMultiLvlLbl val="0"/>
      </c:catAx>
      <c:valAx>
        <c:axId val="3809086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4009728"/>
        <c:crosses val="autoZero"/>
        <c:crossBetween val="between"/>
      </c:valAx>
      <c:spPr>
        <a:noFill/>
        <a:ln w="25400">
          <a:noFill/>
        </a:ln>
      </c:spPr>
    </c:plotArea>
    <c:legend>
      <c:legendPos val="r"/>
      <c:layout>
        <c:manualLayout>
          <c:xMode val="edge"/>
          <c:yMode val="edge"/>
          <c:x val="0.10160359378477236"/>
          <c:y val="0.8396922700832371"/>
          <c:w val="0.87518302738420628"/>
          <c:h val="9.3720517872866255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j-lt"/>
                <a:ea typeface="+mn-ea"/>
                <a:cs typeface="+mn-cs"/>
              </a:defRPr>
            </a:pPr>
            <a:r>
              <a:rPr lang="es-CL" sz="1100" b="1"/>
              <a:t>Gráfico N° 6. Chile. Participación por país de origen en las </a:t>
            </a:r>
          </a:p>
          <a:p>
            <a:pPr>
              <a:defRPr sz="1100" b="1"/>
            </a:pPr>
            <a:r>
              <a:rPr lang="es-CL" sz="1100" b="1"/>
              <a:t>importaciones de maíz grano 2024</a:t>
            </a:r>
            <a:r>
              <a:rPr lang="es-CL" sz="1100" b="1" baseline="0"/>
              <a:t> </a:t>
            </a:r>
            <a:r>
              <a:rPr lang="es-CL" sz="1100" b="1"/>
              <a:t>(%)</a:t>
            </a:r>
          </a:p>
        </c:rich>
      </c:tx>
      <c:layout>
        <c:manualLayout>
          <c:xMode val="edge"/>
          <c:yMode val="edge"/>
          <c:x val="0.30186116920360107"/>
          <c:y val="1.478495171316262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j-lt"/>
              <a:ea typeface="+mn-ea"/>
              <a:cs typeface="+mn-cs"/>
            </a:defRPr>
          </a:pPr>
          <a:endParaRPr lang="es-CL"/>
        </a:p>
      </c:txPr>
    </c:title>
    <c:autoTitleDeleted val="0"/>
    <c:plotArea>
      <c:layout>
        <c:manualLayout>
          <c:layoutTarget val="inner"/>
          <c:xMode val="edge"/>
          <c:yMode val="edge"/>
          <c:x val="0.355675188548701"/>
          <c:y val="0.27006664287880477"/>
          <c:w val="0.28864962290259794"/>
          <c:h val="0.6827498613183170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4D-4846-BC24-39C4DCC3BF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4D-4846-BC24-39C4DCC3BFB0}"/>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5-404D-4846-BC24-39C4DCC3BFB0}"/>
              </c:ext>
            </c:extLst>
          </c:dPt>
          <c:dPt>
            <c:idx val="3"/>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7-404D-4846-BC24-39C4DCC3BFB0}"/>
              </c:ext>
            </c:extLst>
          </c:dPt>
          <c:dLbls>
            <c:dLbl>
              <c:idx val="0"/>
              <c:layout>
                <c:manualLayout>
                  <c:x val="0.12414860095124156"/>
                  <c:y val="-8.766312196479202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04D-4846-BC24-39C4DCC3BFB0}"/>
                </c:ext>
              </c:extLst>
            </c:dLbl>
            <c:dLbl>
              <c:idx val="1"/>
              <c:layout>
                <c:manualLayout>
                  <c:x val="-8.6371439774375391E-2"/>
                  <c:y val="9.357506535356116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04D-4846-BC24-39C4DCC3BFB0}"/>
                </c:ext>
              </c:extLst>
            </c:dLbl>
            <c:dLbl>
              <c:idx val="2"/>
              <c:layout>
                <c:manualLayout>
                  <c:x val="-0.10477024699664442"/>
                  <c:y val="8.661509266143985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04D-4846-BC24-39C4DCC3BFB0}"/>
                </c:ext>
              </c:extLst>
            </c:dLbl>
            <c:dLbl>
              <c:idx val="3"/>
              <c:layout>
                <c:manualLayout>
                  <c:x val="-2.3611684297849732E-2"/>
                  <c:y val="-0.1554241855034130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04D-4846-BC24-39C4DCC3BFB0}"/>
                </c:ext>
              </c:extLst>
            </c:dLbl>
            <c:spPr>
              <a:noFill/>
              <a:ln>
                <a:solidFill>
                  <a:schemeClr val="bg1">
                    <a:lumMod val="85000"/>
                  </a:schemeClr>
                </a:solidFill>
              </a:ln>
              <a:effectLst/>
            </c:spPr>
            <c:txPr>
              <a:bodyPr rot="0" spcFirstLastPara="1" vertOverflow="ellipsis" vert="horz" wrap="square" anchor="ctr" anchorCtr="1"/>
              <a:lstStyle/>
              <a:p>
                <a:pPr>
                  <a:defRPr sz="1000" b="0" i="0" u="none" strike="noStrike" kern="1200" baseline="0">
                    <a:solidFill>
                      <a:sysClr val="windowText" lastClr="000000"/>
                    </a:solidFill>
                    <a:latin typeface="+mj-lt"/>
                    <a:ea typeface="+mn-ea"/>
                    <a:cs typeface="+mn-cs"/>
                  </a:defRPr>
                </a:pPr>
                <a:endParaRPr lang="es-CL"/>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'[3]37'!$M$10:$P$10</c:f>
              <c:strCache>
                <c:ptCount val="4"/>
                <c:pt idx="0">
                  <c:v>Argentina</c:v>
                </c:pt>
                <c:pt idx="1">
                  <c:v>Estados Unidos</c:v>
                </c:pt>
                <c:pt idx="2">
                  <c:v>Paraguay</c:v>
                </c:pt>
                <c:pt idx="3">
                  <c:v>Otros</c:v>
                </c:pt>
              </c:strCache>
            </c:strRef>
          </c:cat>
          <c:val>
            <c:numRef>
              <c:f>'37'!$T$11:$W$11</c:f>
              <c:numCache>
                <c:formatCode>0.00%</c:formatCode>
                <c:ptCount val="4"/>
                <c:pt idx="0" formatCode="0.0%">
                  <c:v>0.72681850834326678</c:v>
                </c:pt>
                <c:pt idx="1">
                  <c:v>2.0703929728957881E-4</c:v>
                </c:pt>
                <c:pt idx="2">
                  <c:v>0.19670113845825973</c:v>
                </c:pt>
                <c:pt idx="3">
                  <c:v>7.6273313901183887E-2</c:v>
                </c:pt>
              </c:numCache>
            </c:numRef>
          </c:val>
          <c:extLst>
            <c:ext xmlns:c16="http://schemas.microsoft.com/office/drawing/2014/chart" uri="{C3380CC4-5D6E-409C-BE32-E72D297353CC}">
              <c16:uniqueId val="{00000008-404D-4846-BC24-39C4DCC3BF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mj-l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Agosto 2024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8.4084670519311913E-2"/>
          <c:y val="0.22456595099525606"/>
          <c:w val="0.78803834702250874"/>
          <c:h val="0.47375610740965074"/>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3.1573900902705662E-2"/>
                  <c:y val="-8.9164206332743232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3.0359384820536975E-2"/>
                  <c:y val="-6.129797651150697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4.0514403071921348E-2"/>
                  <c:y val="0.10217409218650995"/>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1270960036579233E-2"/>
                  <c:y val="-6.058076194102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12425927824E-2"/>
                  <c:y val="9.817741115092472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dLbl>
              <c:idx val="9"/>
              <c:layout>
                <c:manualLayout>
                  <c:x val="-1.5191543958539604E-2"/>
                  <c:y val="6.1232904349605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B8-4D4F-95E8-8AB8EAA85750}"/>
                </c:ext>
              </c:extLst>
            </c:dLbl>
            <c:dLbl>
              <c:idx val="10"/>
              <c:layout>
                <c:manualLayout>
                  <c:x val="-9.7106234220236936E-3"/>
                  <c:y val="5.7740887766149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C6-41C3-B451-399FB8289B3C}"/>
                </c:ext>
              </c:extLst>
            </c:dLbl>
            <c:dLbl>
              <c:idx val="11"/>
              <c:layout>
                <c:manualLayout>
                  <c:x val="-1.9421246844047529E-2"/>
                  <c:y val="5.413208228076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5E-4FA5-AEAA-D3FCB36DF22C}"/>
                </c:ext>
              </c:extLst>
            </c:dLbl>
            <c:dLbl>
              <c:idx val="12"/>
              <c:layout>
                <c:manualLayout>
                  <c:x val="-2.7189745581666487E-2"/>
                  <c:y val="3.2479249368459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4F-4A3C-BA13-15575017415D}"/>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'5'!$A$6:$A$18</c:f>
              <c:strCache>
                <c:ptCount val="13"/>
                <c:pt idx="0">
                  <c:v>2012/13</c:v>
                </c:pt>
                <c:pt idx="1">
                  <c:v>2013/14</c:v>
                </c:pt>
                <c:pt idx="2">
                  <c:v>2014/15 </c:v>
                </c:pt>
                <c:pt idx="3">
                  <c:v>2015/16 </c:v>
                </c:pt>
                <c:pt idx="4">
                  <c:v>2016/17 </c:v>
                </c:pt>
                <c:pt idx="5">
                  <c:v>2017/18 </c:v>
                </c:pt>
                <c:pt idx="6">
                  <c:v>2018/19</c:v>
                </c:pt>
                <c:pt idx="7">
                  <c:v>2019/20 </c:v>
                </c:pt>
                <c:pt idx="8">
                  <c:v>2020/21</c:v>
                </c:pt>
                <c:pt idx="9">
                  <c:v>2021/22 </c:v>
                </c:pt>
                <c:pt idx="10">
                  <c:v>2022/23 </c:v>
                </c:pt>
                <c:pt idx="11">
                  <c:v>2023/24 estimado</c:v>
                </c:pt>
                <c:pt idx="12">
                  <c:v>2024/25 proyectado</c:v>
                </c:pt>
              </c:strCache>
            </c:strRef>
          </c:cat>
          <c:val>
            <c:numRef>
              <c:f>'5'!$C$6:$C$18</c:f>
              <c:numCache>
                <c:formatCode>#,##0</c:formatCode>
                <c:ptCount val="13"/>
                <c:pt idx="0">
                  <c:v>658.649</c:v>
                </c:pt>
                <c:pt idx="1">
                  <c:v>715.36</c:v>
                </c:pt>
                <c:pt idx="2">
                  <c:v>728.26</c:v>
                </c:pt>
                <c:pt idx="3">
                  <c:v>735.21</c:v>
                </c:pt>
                <c:pt idx="4">
                  <c:v>756.4</c:v>
                </c:pt>
                <c:pt idx="5">
                  <c:v>762.88</c:v>
                </c:pt>
                <c:pt idx="6">
                  <c:v>731</c:v>
                </c:pt>
                <c:pt idx="7">
                  <c:v>762.37</c:v>
                </c:pt>
                <c:pt idx="8">
                  <c:v>774.41</c:v>
                </c:pt>
                <c:pt idx="9">
                  <c:v>780.35</c:v>
                </c:pt>
                <c:pt idx="10">
                  <c:v>789.01</c:v>
                </c:pt>
                <c:pt idx="11">
                  <c:v>789.67</c:v>
                </c:pt>
                <c:pt idx="12">
                  <c:v>798.28</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2.8895756839872583E-2"/>
                  <c:y val="6.242295768604522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9040269267176753E-2"/>
                  <c:y val="6.585729021331727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3.1011296437042282E-2"/>
                  <c:y val="6.835475410395064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945689324276E-2"/>
                  <c:y val="7.876800495571392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5275407043336905E-2"/>
                  <c:y val="8.544685252488512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dLbl>
              <c:idx val="9"/>
              <c:layout>
                <c:manualLayout>
                  <c:x val="-1.8451713733879983E-2"/>
                  <c:y val="-5.755391185989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93-49F6-9ED3-CB5D09FAA67F}"/>
                </c:ext>
              </c:extLst>
            </c:dLbl>
            <c:dLbl>
              <c:idx val="10"/>
              <c:layout>
                <c:manualLayout>
                  <c:x val="-1.1652748106428575E-2"/>
                  <c:y val="-5.774088776614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C6-41C3-B451-399FB8289B3C}"/>
                </c:ext>
              </c:extLst>
            </c:dLbl>
            <c:dLbl>
              <c:idx val="11"/>
              <c:layout>
                <c:manualLayout>
                  <c:x val="-2.1363371528452271E-2"/>
                  <c:y val="-6.4958498736918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5E-4FA5-AEAA-D3FCB36DF22C}"/>
                </c:ext>
              </c:extLst>
            </c:dLbl>
            <c:dLbl>
              <c:idx val="12"/>
              <c:layout>
                <c:manualLayout>
                  <c:x val="-3.30161196348807E-2"/>
                  <c:y val="-7.2176109707686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4F-4A3C-BA13-15575017415D}"/>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'5'!$A$6:$A$18</c:f>
              <c:strCache>
                <c:ptCount val="13"/>
                <c:pt idx="0">
                  <c:v>2012/13</c:v>
                </c:pt>
                <c:pt idx="1">
                  <c:v>2013/14</c:v>
                </c:pt>
                <c:pt idx="2">
                  <c:v>2014/15 </c:v>
                </c:pt>
                <c:pt idx="3">
                  <c:v>2015/16 </c:v>
                </c:pt>
                <c:pt idx="4">
                  <c:v>2016/17 </c:v>
                </c:pt>
                <c:pt idx="5">
                  <c:v>2017/18 </c:v>
                </c:pt>
                <c:pt idx="6">
                  <c:v>2018/19</c:v>
                </c:pt>
                <c:pt idx="7">
                  <c:v>2019/20 </c:v>
                </c:pt>
                <c:pt idx="8">
                  <c:v>2020/21</c:v>
                </c:pt>
                <c:pt idx="9">
                  <c:v>2021/22 </c:v>
                </c:pt>
                <c:pt idx="10">
                  <c:v>2022/23 </c:v>
                </c:pt>
                <c:pt idx="11">
                  <c:v>2023/24 estimado</c:v>
                </c:pt>
                <c:pt idx="12">
                  <c:v>2024/25 proyectado</c:v>
                </c:pt>
              </c:strCache>
            </c:strRef>
          </c:cat>
          <c:val>
            <c:numRef>
              <c:f>'5'!$D$6:$D$18</c:f>
              <c:numCache>
                <c:formatCode>#,##0</c:formatCode>
                <c:ptCount val="13"/>
                <c:pt idx="0">
                  <c:v>679.38300000000004</c:v>
                </c:pt>
                <c:pt idx="1">
                  <c:v>698.33</c:v>
                </c:pt>
                <c:pt idx="2">
                  <c:v>705.74</c:v>
                </c:pt>
                <c:pt idx="3">
                  <c:v>711.16</c:v>
                </c:pt>
                <c:pt idx="4">
                  <c:v>739.09</c:v>
                </c:pt>
                <c:pt idx="5">
                  <c:v>741.98</c:v>
                </c:pt>
                <c:pt idx="6">
                  <c:v>734.81</c:v>
                </c:pt>
                <c:pt idx="7">
                  <c:v>746.75</c:v>
                </c:pt>
                <c:pt idx="8">
                  <c:v>787.74</c:v>
                </c:pt>
                <c:pt idx="9">
                  <c:v>791.34</c:v>
                </c:pt>
                <c:pt idx="10">
                  <c:v>790.59</c:v>
                </c:pt>
                <c:pt idx="11">
                  <c:v>798.75</c:v>
                </c:pt>
                <c:pt idx="12">
                  <c:v>804.02</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90447104"/>
        <c:axId val="979641472"/>
      </c:lineChart>
      <c:lineChart>
        <c:grouping val="standard"/>
        <c:varyColors val="0"/>
        <c:ser>
          <c:idx val="2"/>
          <c:order val="2"/>
          <c:tx>
            <c:strRef>
              <c:f>'5'!$G$5</c:f>
              <c:strCache>
                <c:ptCount val="1"/>
                <c:pt idx="0">
                  <c:v>Relación existencias finales/consumo</c:v>
                </c:pt>
              </c:strCache>
            </c:strRef>
          </c:tx>
          <c:marker>
            <c:spPr>
              <a:solidFill>
                <a:srgbClr val="00B050"/>
              </a:solidFill>
            </c:spPr>
          </c:marker>
          <c:cat>
            <c:strRef>
              <c:f>'5'!$A$6:$A$18</c:f>
              <c:strCache>
                <c:ptCount val="13"/>
                <c:pt idx="0">
                  <c:v>2012/13</c:v>
                </c:pt>
                <c:pt idx="1">
                  <c:v>2013/14</c:v>
                </c:pt>
                <c:pt idx="2">
                  <c:v>2014/15 </c:v>
                </c:pt>
                <c:pt idx="3">
                  <c:v>2015/16 </c:v>
                </c:pt>
                <c:pt idx="4">
                  <c:v>2016/17 </c:v>
                </c:pt>
                <c:pt idx="5">
                  <c:v>2017/18 </c:v>
                </c:pt>
                <c:pt idx="6">
                  <c:v>2018/19</c:v>
                </c:pt>
                <c:pt idx="7">
                  <c:v>2019/20 </c:v>
                </c:pt>
                <c:pt idx="8">
                  <c:v>2020/21</c:v>
                </c:pt>
                <c:pt idx="9">
                  <c:v>2021/22 </c:v>
                </c:pt>
                <c:pt idx="10">
                  <c:v>2022/23 </c:v>
                </c:pt>
                <c:pt idx="11">
                  <c:v>2023/24 estimado</c:v>
                </c:pt>
                <c:pt idx="12">
                  <c:v>2024/25 proyectado</c:v>
                </c:pt>
              </c:strCache>
            </c:strRef>
          </c:cat>
          <c:val>
            <c:numRef>
              <c:f>'5'!$G$6:$G$18</c:f>
              <c:numCache>
                <c:formatCode>0.0%</c:formatCode>
                <c:ptCount val="13"/>
                <c:pt idx="0">
                  <c:v>0.26039803763120356</c:v>
                </c:pt>
                <c:pt idx="1">
                  <c:v>0.27793450088067245</c:v>
                </c:pt>
                <c:pt idx="2">
                  <c:v>0.30776206534984551</c:v>
                </c:pt>
                <c:pt idx="3">
                  <c:v>0.34132965858597225</c:v>
                </c:pt>
                <c:pt idx="4">
                  <c:v>0.35459822213803455</c:v>
                </c:pt>
                <c:pt idx="5">
                  <c:v>0.38234184209816974</c:v>
                </c:pt>
                <c:pt idx="6">
                  <c:v>0.38563710346892399</c:v>
                </c:pt>
                <c:pt idx="7">
                  <c:v>0.39749581519919652</c:v>
                </c:pt>
                <c:pt idx="8">
                  <c:v>0.36348287506029908</c:v>
                </c:pt>
                <c:pt idx="9">
                  <c:v>0.34459271615234915</c:v>
                </c:pt>
                <c:pt idx="10">
                  <c:v>0.34333851933366216</c:v>
                </c:pt>
                <c:pt idx="11">
                  <c:v>0.32846322378716747</c:v>
                </c:pt>
                <c:pt idx="12">
                  <c:v>0.31917116489639563</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990447616"/>
        <c:axId val="979642048"/>
      </c:lineChart>
      <c:catAx>
        <c:axId val="990447104"/>
        <c:scaling>
          <c:orientation val="minMax"/>
        </c:scaling>
        <c:delete val="0"/>
        <c:axPos val="b"/>
        <c:numFmt formatCode="General" sourceLinked="1"/>
        <c:majorTickMark val="out"/>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79641472"/>
        <c:crosses val="autoZero"/>
        <c:auto val="1"/>
        <c:lblAlgn val="ctr"/>
        <c:lblOffset val="100"/>
        <c:noMultiLvlLbl val="0"/>
      </c:catAx>
      <c:valAx>
        <c:axId val="979641472"/>
        <c:scaling>
          <c:orientation val="minMax"/>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3.291977801667781E-3"/>
              <c:y val="0.2935442163919333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104"/>
        <c:crosses val="autoZero"/>
        <c:crossBetween val="between"/>
      </c:valAx>
      <c:catAx>
        <c:axId val="990447616"/>
        <c:scaling>
          <c:orientation val="minMax"/>
        </c:scaling>
        <c:delete val="1"/>
        <c:axPos val="t"/>
        <c:numFmt formatCode="General" sourceLinked="1"/>
        <c:majorTickMark val="out"/>
        <c:minorTickMark val="none"/>
        <c:tickLblPos val="nextTo"/>
        <c:crossAx val="979642048"/>
        <c:crosses val="max"/>
        <c:auto val="1"/>
        <c:lblAlgn val="ctr"/>
        <c:lblOffset val="100"/>
        <c:noMultiLvlLbl val="0"/>
      </c:catAx>
      <c:valAx>
        <c:axId val="979642048"/>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616"/>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2017 - 2024</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7181372946938335"/>
        </c:manualLayout>
      </c:layout>
      <c:barChart>
        <c:barDir val="col"/>
        <c:grouping val="clustered"/>
        <c:varyColors val="0"/>
        <c:ser>
          <c:idx val="2"/>
          <c:order val="0"/>
          <c:tx>
            <c:strRef>
              <c:f>'38'!$B$8</c:f>
              <c:strCache>
                <c:ptCount val="1"/>
                <c:pt idx="0">
                  <c:v>2017</c:v>
                </c:pt>
              </c:strCache>
            </c:strRef>
          </c:tx>
          <c:invertIfNegative val="0"/>
          <c:cat>
            <c:strRef>
              <c:f>'38'!$D$7:$F$7</c:f>
              <c:strCache>
                <c:ptCount val="3"/>
                <c:pt idx="0">
                  <c:v>Maíz partido</c:v>
                </c:pt>
                <c:pt idx="1">
                  <c:v>Sorgo</c:v>
                </c:pt>
                <c:pt idx="2">
                  <c:v>Preparaciones que contienen maíz</c:v>
                </c:pt>
              </c:strCache>
            </c:strRef>
          </c:cat>
          <c:val>
            <c:numRef>
              <c:f>'38'!$D$8:$F$8</c:f>
              <c:numCache>
                <c:formatCode>#,##0</c:formatCode>
                <c:ptCount val="3"/>
                <c:pt idx="0">
                  <c:v>6718.7069999999994</c:v>
                </c:pt>
                <c:pt idx="1">
                  <c:v>53655.113000000005</c:v>
                </c:pt>
                <c:pt idx="2">
                  <c:v>104092</c:v>
                </c:pt>
              </c:numCache>
            </c:numRef>
          </c:val>
          <c:extLst>
            <c:ext xmlns:c16="http://schemas.microsoft.com/office/drawing/2014/chart" uri="{C3380CC4-5D6E-409C-BE32-E72D297353CC}">
              <c16:uniqueId val="{00000002-F3A3-416E-AE85-D0BC37D0BBCB}"/>
            </c:ext>
          </c:extLst>
        </c:ser>
        <c:ser>
          <c:idx val="0"/>
          <c:order val="1"/>
          <c:tx>
            <c:strRef>
              <c:f>'38'!$B$9</c:f>
              <c:strCache>
                <c:ptCount val="1"/>
                <c:pt idx="0">
                  <c:v>2018</c:v>
                </c:pt>
              </c:strCache>
            </c:strRef>
          </c:tx>
          <c:spPr>
            <a:solidFill>
              <a:srgbClr val="FFCC00"/>
            </a:solidFill>
            <a:ln w="25400">
              <a:solidFill>
                <a:srgbClr val="FFC000"/>
              </a:solidFill>
              <a:prstDash val="solid"/>
            </a:ln>
          </c:spPr>
          <c:invertIfNegative val="0"/>
          <c:cat>
            <c:strRef>
              <c:f>'38'!$D$7:$F$7</c:f>
              <c:strCache>
                <c:ptCount val="3"/>
                <c:pt idx="0">
                  <c:v>Maíz partido</c:v>
                </c:pt>
                <c:pt idx="1">
                  <c:v>Sorgo</c:v>
                </c:pt>
                <c:pt idx="2">
                  <c:v>Preparaciones que contienen maíz</c:v>
                </c:pt>
              </c:strCache>
            </c:strRef>
          </c:cat>
          <c:val>
            <c:numRef>
              <c:f>'38'!$D$9:$F$9</c:f>
              <c:numCache>
                <c:formatCode>#,##0</c:formatCode>
                <c:ptCount val="3"/>
                <c:pt idx="0">
                  <c:v>5892.6107100000008</c:v>
                </c:pt>
                <c:pt idx="1">
                  <c:v>49561.083280000006</c:v>
                </c:pt>
                <c:pt idx="2">
                  <c:v>107022.41454</c:v>
                </c:pt>
              </c:numCache>
            </c:numRef>
          </c:val>
          <c:extLst>
            <c:ext xmlns:c16="http://schemas.microsoft.com/office/drawing/2014/chart" uri="{C3380CC4-5D6E-409C-BE32-E72D297353CC}">
              <c16:uniqueId val="{00000003-F3A3-416E-AE85-D0BC37D0BBCB}"/>
            </c:ext>
          </c:extLst>
        </c:ser>
        <c:ser>
          <c:idx val="1"/>
          <c:order val="2"/>
          <c:tx>
            <c:strRef>
              <c:f>'38'!$B$10</c:f>
              <c:strCache>
                <c:ptCount val="1"/>
                <c:pt idx="0">
                  <c:v>2019 </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'38'!$D$7:$F$7</c:f>
              <c:strCache>
                <c:ptCount val="3"/>
                <c:pt idx="0">
                  <c:v>Maíz partido</c:v>
                </c:pt>
                <c:pt idx="1">
                  <c:v>Sorgo</c:v>
                </c:pt>
                <c:pt idx="2">
                  <c:v>Preparaciones que contienen maíz</c:v>
                </c:pt>
              </c:strCache>
            </c:strRef>
          </c:cat>
          <c:val>
            <c:numRef>
              <c:f>'38'!$D$10:$F$10</c:f>
              <c:numCache>
                <c:formatCode>#,##0</c:formatCode>
                <c:ptCount val="3"/>
                <c:pt idx="0">
                  <c:v>9269.3809999999994</c:v>
                </c:pt>
                <c:pt idx="1">
                  <c:v>30978.243129999999</c:v>
                </c:pt>
                <c:pt idx="2">
                  <c:v>41359.577440000001</c:v>
                </c:pt>
              </c:numCache>
            </c:numRef>
          </c:val>
          <c:extLst>
            <c:ext xmlns:c16="http://schemas.microsoft.com/office/drawing/2014/chart" uri="{C3380CC4-5D6E-409C-BE32-E72D297353CC}">
              <c16:uniqueId val="{00000004-F3A3-416E-AE85-D0BC37D0BBCB}"/>
            </c:ext>
          </c:extLst>
        </c:ser>
        <c:ser>
          <c:idx val="5"/>
          <c:order val="3"/>
          <c:tx>
            <c:strRef>
              <c:f>'38'!$B$11</c:f>
              <c:strCache>
                <c:ptCount val="1"/>
                <c:pt idx="0">
                  <c:v>2020</c:v>
                </c:pt>
              </c:strCache>
            </c:strRef>
          </c:tx>
          <c:invertIfNegative val="0"/>
          <c:cat>
            <c:strRef>
              <c:f>'38'!$D$7:$F$7</c:f>
              <c:strCache>
                <c:ptCount val="3"/>
                <c:pt idx="0">
                  <c:v>Maíz partido</c:v>
                </c:pt>
                <c:pt idx="1">
                  <c:v>Sorgo</c:v>
                </c:pt>
                <c:pt idx="2">
                  <c:v>Preparaciones que contienen maíz</c:v>
                </c:pt>
              </c:strCache>
            </c:strRef>
          </c:cat>
          <c:val>
            <c:numRef>
              <c:f>'38'!$D$11:$F$11</c:f>
              <c:numCache>
                <c:formatCode>#,##0</c:formatCode>
                <c:ptCount val="3"/>
                <c:pt idx="0">
                  <c:v>38067.715980000001</c:v>
                </c:pt>
                <c:pt idx="1">
                  <c:v>14745.50964</c:v>
                </c:pt>
                <c:pt idx="2">
                  <c:v>42658.128199999999</c:v>
                </c:pt>
              </c:numCache>
            </c:numRef>
          </c:val>
          <c:extLst>
            <c:ext xmlns:c16="http://schemas.microsoft.com/office/drawing/2014/chart" uri="{C3380CC4-5D6E-409C-BE32-E72D297353CC}">
              <c16:uniqueId val="{00000005-F3A3-416E-AE85-D0BC37D0BBCB}"/>
            </c:ext>
          </c:extLst>
        </c:ser>
        <c:ser>
          <c:idx val="3"/>
          <c:order val="4"/>
          <c:tx>
            <c:strRef>
              <c:f>'38'!$B$12</c:f>
              <c:strCache>
                <c:ptCount val="1"/>
                <c:pt idx="0">
                  <c:v>2021</c:v>
                </c:pt>
              </c:strCache>
            </c:strRef>
          </c:tx>
          <c:invertIfNegative val="0"/>
          <c:cat>
            <c:strRef>
              <c:f>'38'!$D$7:$F$7</c:f>
              <c:strCache>
                <c:ptCount val="3"/>
                <c:pt idx="0">
                  <c:v>Maíz partido</c:v>
                </c:pt>
                <c:pt idx="1">
                  <c:v>Sorgo</c:v>
                </c:pt>
                <c:pt idx="2">
                  <c:v>Preparaciones que contienen maíz</c:v>
                </c:pt>
              </c:strCache>
            </c:strRef>
          </c:cat>
          <c:val>
            <c:numRef>
              <c:f>'38'!$D$12:$F$12</c:f>
              <c:numCache>
                <c:formatCode>#,##0</c:formatCode>
                <c:ptCount val="3"/>
                <c:pt idx="0">
                  <c:v>150229.49423000001</c:v>
                </c:pt>
                <c:pt idx="1">
                  <c:v>24343.472229999999</c:v>
                </c:pt>
                <c:pt idx="2">
                  <c:v>56254.025810000006</c:v>
                </c:pt>
              </c:numCache>
            </c:numRef>
          </c:val>
          <c:extLst>
            <c:ext xmlns:c16="http://schemas.microsoft.com/office/drawing/2014/chart" uri="{C3380CC4-5D6E-409C-BE32-E72D297353CC}">
              <c16:uniqueId val="{00000003-DE12-43EE-BE02-6530F71D274D}"/>
            </c:ext>
          </c:extLst>
        </c:ser>
        <c:ser>
          <c:idx val="4"/>
          <c:order val="5"/>
          <c:tx>
            <c:strRef>
              <c:f>'38'!$B$13</c:f>
              <c:strCache>
                <c:ptCount val="1"/>
                <c:pt idx="0">
                  <c:v>2022</c:v>
                </c:pt>
              </c:strCache>
            </c:strRef>
          </c:tx>
          <c:invertIfNegative val="0"/>
          <c:cat>
            <c:strRef>
              <c:f>'38'!$D$7:$F$7</c:f>
              <c:strCache>
                <c:ptCount val="3"/>
                <c:pt idx="0">
                  <c:v>Maíz partido</c:v>
                </c:pt>
                <c:pt idx="1">
                  <c:v>Sorgo</c:v>
                </c:pt>
                <c:pt idx="2">
                  <c:v>Preparaciones que contienen maíz</c:v>
                </c:pt>
              </c:strCache>
            </c:strRef>
          </c:cat>
          <c:val>
            <c:numRef>
              <c:f>'38'!$D$13:$F$13</c:f>
              <c:numCache>
                <c:formatCode>#,##0</c:formatCode>
                <c:ptCount val="3"/>
                <c:pt idx="0">
                  <c:v>162981.81414000003</c:v>
                </c:pt>
                <c:pt idx="1">
                  <c:v>3911.4281300000002</c:v>
                </c:pt>
                <c:pt idx="2">
                  <c:v>43082.701150000001</c:v>
                </c:pt>
              </c:numCache>
            </c:numRef>
          </c:val>
          <c:extLst>
            <c:ext xmlns:c16="http://schemas.microsoft.com/office/drawing/2014/chart" uri="{C3380CC4-5D6E-409C-BE32-E72D297353CC}">
              <c16:uniqueId val="{00000001-00B1-494E-A1D5-088669502365}"/>
            </c:ext>
          </c:extLst>
        </c:ser>
        <c:ser>
          <c:idx val="6"/>
          <c:order val="6"/>
          <c:tx>
            <c:strRef>
              <c:f>'38'!$B$14</c:f>
              <c:strCache>
                <c:ptCount val="1"/>
                <c:pt idx="0">
                  <c:v>2023</c:v>
                </c:pt>
              </c:strCache>
            </c:strRef>
          </c:tx>
          <c:spPr>
            <a:solidFill>
              <a:srgbClr val="FF0000"/>
            </a:solidFill>
            <a:ln>
              <a:solidFill>
                <a:srgbClr val="FF0000"/>
              </a:solidFill>
            </a:ln>
          </c:spPr>
          <c:invertIfNegative val="0"/>
          <c:cat>
            <c:strRef>
              <c:f>'38'!$D$7:$F$7</c:f>
              <c:strCache>
                <c:ptCount val="3"/>
                <c:pt idx="0">
                  <c:v>Maíz partido</c:v>
                </c:pt>
                <c:pt idx="1">
                  <c:v>Sorgo</c:v>
                </c:pt>
                <c:pt idx="2">
                  <c:v>Preparaciones que contienen maíz</c:v>
                </c:pt>
              </c:strCache>
            </c:strRef>
          </c:cat>
          <c:val>
            <c:numRef>
              <c:f>'38'!$D$14:$F$14</c:f>
              <c:numCache>
                <c:formatCode>#,##0</c:formatCode>
                <c:ptCount val="3"/>
                <c:pt idx="0">
                  <c:v>68908.853419999999</c:v>
                </c:pt>
                <c:pt idx="1">
                  <c:v>722.4989300000002</c:v>
                </c:pt>
                <c:pt idx="2">
                  <c:v>13437.83087</c:v>
                </c:pt>
              </c:numCache>
            </c:numRef>
          </c:val>
          <c:extLst>
            <c:ext xmlns:c16="http://schemas.microsoft.com/office/drawing/2014/chart" uri="{C3380CC4-5D6E-409C-BE32-E72D297353CC}">
              <c16:uniqueId val="{00000000-B961-4319-ACEB-BE4638D071DF}"/>
            </c:ext>
          </c:extLst>
        </c:ser>
        <c:ser>
          <c:idx val="7"/>
          <c:order val="7"/>
          <c:tx>
            <c:strRef>
              <c:f>'38'!$B$15</c:f>
              <c:strCache>
                <c:ptCount val="1"/>
                <c:pt idx="0">
                  <c:v>2024*</c:v>
                </c:pt>
              </c:strCache>
            </c:strRef>
          </c:tx>
          <c:spPr>
            <a:solidFill>
              <a:schemeClr val="tx1"/>
            </a:solidFill>
            <a:ln>
              <a:solidFill>
                <a:sysClr val="windowText" lastClr="000000"/>
              </a:solidFill>
            </a:ln>
          </c:spPr>
          <c:invertIfNegative val="0"/>
          <c:val>
            <c:numRef>
              <c:f>'38'!$D$15:$F$15</c:f>
              <c:numCache>
                <c:formatCode>#,##0</c:formatCode>
                <c:ptCount val="3"/>
                <c:pt idx="0">
                  <c:v>39172.910199999998</c:v>
                </c:pt>
                <c:pt idx="1">
                  <c:v>5747.21</c:v>
                </c:pt>
                <c:pt idx="2">
                  <c:v>7935.9789799999999</c:v>
                </c:pt>
              </c:numCache>
            </c:numRef>
          </c:val>
          <c:extLst>
            <c:ext xmlns:c16="http://schemas.microsoft.com/office/drawing/2014/chart" uri="{C3380CC4-5D6E-409C-BE32-E72D297353CC}">
              <c16:uniqueId val="{00000000-C448-498B-B94A-F45F752FC1BF}"/>
            </c:ext>
          </c:extLst>
        </c:ser>
        <c:dLbls>
          <c:showLegendKey val="0"/>
          <c:showVal val="0"/>
          <c:showCatName val="0"/>
          <c:showSerName val="0"/>
          <c:showPercent val="0"/>
          <c:showBubbleSize val="0"/>
        </c:dLbls>
        <c:gapWidth val="150"/>
        <c:axId val="945866240"/>
        <c:axId val="984097920"/>
      </c:barChart>
      <c:catAx>
        <c:axId val="94586624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84097920"/>
        <c:crosses val="autoZero"/>
        <c:auto val="1"/>
        <c:lblAlgn val="ctr"/>
        <c:lblOffset val="100"/>
        <c:tickLblSkip val="1"/>
        <c:tickMarkSkip val="1"/>
        <c:noMultiLvlLbl val="0"/>
      </c:catAx>
      <c:valAx>
        <c:axId val="98409792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586624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8.5355545516193218E-2"/>
          <c:h val="0.54631738301001054"/>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productos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2017 - 2024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84815322870208"/>
          <c:y val="3.1802330459174223E-2"/>
        </c:manualLayout>
      </c:layout>
      <c:overlay val="0"/>
      <c:spPr>
        <a:noFill/>
        <a:ln w="25400">
          <a:noFill/>
        </a:ln>
      </c:spPr>
    </c:title>
    <c:autoTitleDeleted val="0"/>
    <c:plotArea>
      <c:layout>
        <c:manualLayout>
          <c:layoutTarget val="inner"/>
          <c:xMode val="edge"/>
          <c:yMode val="edge"/>
          <c:x val="0.12942973549217876"/>
          <c:y val="0.18283556660680569"/>
          <c:w val="0.84070594018557043"/>
          <c:h val="0.5851636966431828"/>
        </c:manualLayout>
      </c:layout>
      <c:lineChart>
        <c:grouping val="standard"/>
        <c:varyColors val="0"/>
        <c:ser>
          <c:idx val="1"/>
          <c:order val="0"/>
          <c:tx>
            <c:strRef>
              <c:f>'39'!$E$7</c:f>
              <c:strCache>
                <c:ptCount val="1"/>
                <c:pt idx="0">
                  <c:v>Maíz partido</c:v>
                </c:pt>
              </c:strCache>
            </c:strRef>
          </c:tx>
          <c:cat>
            <c:strRef>
              <c:f>'39'!$C$8:$C$15</c:f>
              <c:strCache>
                <c:ptCount val="8"/>
                <c:pt idx="0">
                  <c:v>2017</c:v>
                </c:pt>
                <c:pt idx="1">
                  <c:v>2018</c:v>
                </c:pt>
                <c:pt idx="2">
                  <c:v>2019</c:v>
                </c:pt>
                <c:pt idx="3">
                  <c:v>2020</c:v>
                </c:pt>
                <c:pt idx="4">
                  <c:v>2021</c:v>
                </c:pt>
                <c:pt idx="5">
                  <c:v>2022</c:v>
                </c:pt>
                <c:pt idx="6">
                  <c:v>2023</c:v>
                </c:pt>
                <c:pt idx="7">
                  <c:v>2024*</c:v>
                </c:pt>
              </c:strCache>
            </c:strRef>
          </c:cat>
          <c:val>
            <c:numRef>
              <c:f>'39'!$E$8:$E$15</c:f>
              <c:numCache>
                <c:formatCode>#,##0</c:formatCode>
                <c:ptCount val="8"/>
                <c:pt idx="0">
                  <c:v>287</c:v>
                </c:pt>
                <c:pt idx="1">
                  <c:v>342.94811407654373</c:v>
                </c:pt>
                <c:pt idx="2">
                  <c:v>345.8535247035349</c:v>
                </c:pt>
                <c:pt idx="3" formatCode="0">
                  <c:v>257.31901991061619</c:v>
                </c:pt>
                <c:pt idx="4" formatCode="0">
                  <c:v>264.49502859820183</c:v>
                </c:pt>
                <c:pt idx="5" formatCode="0">
                  <c:v>303.66467405574264</c:v>
                </c:pt>
                <c:pt idx="6" formatCode="0">
                  <c:v>355.98486539434037</c:v>
                </c:pt>
                <c:pt idx="7" formatCode="0">
                  <c:v>312.33653769672048</c:v>
                </c:pt>
              </c:numCache>
            </c:numRef>
          </c:val>
          <c:smooth val="0"/>
          <c:extLst>
            <c:ext xmlns:c16="http://schemas.microsoft.com/office/drawing/2014/chart" uri="{C3380CC4-5D6E-409C-BE32-E72D297353CC}">
              <c16:uniqueId val="{00000001-3991-432A-9A38-D3DA5DA21343}"/>
            </c:ext>
          </c:extLst>
        </c:ser>
        <c:ser>
          <c:idx val="5"/>
          <c:order val="1"/>
          <c:tx>
            <c:strRef>
              <c:f>'39'!$F$7</c:f>
              <c:strCache>
                <c:ptCount val="1"/>
                <c:pt idx="0">
                  <c:v>Sorgo</c:v>
                </c:pt>
              </c:strCache>
            </c:strRef>
          </c:tx>
          <c:cat>
            <c:strRef>
              <c:f>'39'!$C$8:$C$15</c:f>
              <c:strCache>
                <c:ptCount val="8"/>
                <c:pt idx="0">
                  <c:v>2017</c:v>
                </c:pt>
                <c:pt idx="1">
                  <c:v>2018</c:v>
                </c:pt>
                <c:pt idx="2">
                  <c:v>2019</c:v>
                </c:pt>
                <c:pt idx="3">
                  <c:v>2020</c:v>
                </c:pt>
                <c:pt idx="4">
                  <c:v>2021</c:v>
                </c:pt>
                <c:pt idx="5">
                  <c:v>2022</c:v>
                </c:pt>
                <c:pt idx="6">
                  <c:v>2023</c:v>
                </c:pt>
                <c:pt idx="7">
                  <c:v>2024*</c:v>
                </c:pt>
              </c:strCache>
            </c:strRef>
          </c:cat>
          <c:val>
            <c:numRef>
              <c:f>'39'!$F$8:$F$15</c:f>
              <c:numCache>
                <c:formatCode>#,##0</c:formatCode>
                <c:ptCount val="8"/>
                <c:pt idx="0">
                  <c:v>178</c:v>
                </c:pt>
                <c:pt idx="1">
                  <c:v>169.25566820801745</c:v>
                </c:pt>
                <c:pt idx="2">
                  <c:v>207.776432</c:v>
                </c:pt>
                <c:pt idx="3" formatCode="0">
                  <c:v>200.62101157614845</c:v>
                </c:pt>
                <c:pt idx="4" formatCode="0">
                  <c:v>268.66382933764186</c:v>
                </c:pt>
                <c:pt idx="5" formatCode="0">
                  <c:v>366.10312433062313</c:v>
                </c:pt>
                <c:pt idx="6" formatCode="0">
                  <c:v>317.83579588277337</c:v>
                </c:pt>
                <c:pt idx="7" formatCode="0">
                  <c:v>242.21553480643539</c:v>
                </c:pt>
              </c:numCache>
            </c:numRef>
          </c:val>
          <c:smooth val="0"/>
          <c:extLst>
            <c:ext xmlns:c16="http://schemas.microsoft.com/office/drawing/2014/chart" uri="{C3380CC4-5D6E-409C-BE32-E72D297353CC}">
              <c16:uniqueId val="{00000002-3991-432A-9A38-D3DA5DA21343}"/>
            </c:ext>
          </c:extLst>
        </c:ser>
        <c:ser>
          <c:idx val="2"/>
          <c:order val="2"/>
          <c:tx>
            <c:strRef>
              <c:f>'39'!$G$7</c:f>
              <c:strCache>
                <c:ptCount val="1"/>
                <c:pt idx="0">
                  <c:v>Preparaciones que contienen maíz</c:v>
                </c:pt>
              </c:strCache>
            </c:strRef>
          </c:tx>
          <c:cat>
            <c:strRef>
              <c:f>'39'!$C$8:$C$15</c:f>
              <c:strCache>
                <c:ptCount val="8"/>
                <c:pt idx="0">
                  <c:v>2017</c:v>
                </c:pt>
                <c:pt idx="1">
                  <c:v>2018</c:v>
                </c:pt>
                <c:pt idx="2">
                  <c:v>2019</c:v>
                </c:pt>
                <c:pt idx="3">
                  <c:v>2020</c:v>
                </c:pt>
                <c:pt idx="4">
                  <c:v>2021</c:v>
                </c:pt>
                <c:pt idx="5">
                  <c:v>2022</c:v>
                </c:pt>
                <c:pt idx="6">
                  <c:v>2023</c:v>
                </c:pt>
                <c:pt idx="7">
                  <c:v>2024*</c:v>
                </c:pt>
              </c:strCache>
            </c:strRef>
          </c:cat>
          <c:val>
            <c:numRef>
              <c:f>'39'!$G$8:$G$15</c:f>
              <c:numCache>
                <c:formatCode>#,##0</c:formatCode>
                <c:ptCount val="8"/>
                <c:pt idx="0">
                  <c:v>351</c:v>
                </c:pt>
                <c:pt idx="1">
                  <c:v>399.55360741689088</c:v>
                </c:pt>
                <c:pt idx="2">
                  <c:v>393.02788645411334</c:v>
                </c:pt>
                <c:pt idx="3" formatCode="0">
                  <c:v>382.46888508762504</c:v>
                </c:pt>
                <c:pt idx="4" formatCode="0">
                  <c:v>470.49695920919117</c:v>
                </c:pt>
                <c:pt idx="5" formatCode="0">
                  <c:v>549.10492152931909</c:v>
                </c:pt>
                <c:pt idx="6" formatCode="0">
                  <c:v>642.85437459062803</c:v>
                </c:pt>
                <c:pt idx="7" formatCode="0">
                  <c:v>612.46290822459491</c:v>
                </c:pt>
              </c:numCache>
            </c:numRef>
          </c:val>
          <c:smooth val="0"/>
          <c:extLst>
            <c:ext xmlns:c16="http://schemas.microsoft.com/office/drawing/2014/chart" uri="{C3380CC4-5D6E-409C-BE32-E72D297353CC}">
              <c16:uniqueId val="{00000003-3991-432A-9A38-D3DA5DA21343}"/>
            </c:ext>
          </c:extLst>
        </c:ser>
        <c:dLbls>
          <c:showLegendKey val="0"/>
          <c:showVal val="0"/>
          <c:showCatName val="0"/>
          <c:showSerName val="0"/>
          <c:showPercent val="0"/>
          <c:showBubbleSize val="0"/>
        </c:dLbls>
        <c:marker val="1"/>
        <c:smooth val="0"/>
        <c:axId val="946216448"/>
        <c:axId val="984100224"/>
        <c:extLst>
          <c:ext xmlns:c15="http://schemas.microsoft.com/office/drawing/2012/chart" uri="{02D57815-91ED-43cb-92C2-25804820EDAC}">
            <c15:filteredLineSeries>
              <c15:ser>
                <c:idx val="3"/>
                <c:order val="3"/>
                <c:tx>
                  <c:strRef>
                    <c:extLst>
                      <c:ext uri="{02D57815-91ED-43cb-92C2-25804820EDAC}">
                        <c15:formulaRef>
                          <c15:sqref>'37'!#REF!</c15:sqref>
                        </c15:formulaRef>
                      </c:ext>
                    </c:extLst>
                    <c:strCache>
                      <c:ptCount val="1"/>
                      <c:pt idx="0">
                        <c:v>#¡REF!</c:v>
                      </c:pt>
                    </c:strCache>
                  </c:strRef>
                </c:tx>
                <c:cat>
                  <c:strRef>
                    <c:extLst>
                      <c:ext uri="{02D57815-91ED-43cb-92C2-25804820EDAC}">
                        <c15:formulaRef>
                          <c15:sqref>'39'!$C$8:$C$15</c15:sqref>
                        </c15:formulaRef>
                      </c:ext>
                    </c:extLst>
                    <c:strCache>
                      <c:ptCount val="8"/>
                      <c:pt idx="0">
                        <c:v>2017</c:v>
                      </c:pt>
                      <c:pt idx="1">
                        <c:v>2018</c:v>
                      </c:pt>
                      <c:pt idx="2">
                        <c:v>2019</c:v>
                      </c:pt>
                      <c:pt idx="3">
                        <c:v>2020</c:v>
                      </c:pt>
                      <c:pt idx="4">
                        <c:v>2021</c:v>
                      </c:pt>
                      <c:pt idx="5">
                        <c:v>2022</c:v>
                      </c:pt>
                      <c:pt idx="6">
                        <c:v>2023</c:v>
                      </c:pt>
                      <c:pt idx="7">
                        <c:v>2024*</c:v>
                      </c:pt>
                    </c:strCache>
                  </c:strRef>
                </c:cat>
                <c:val>
                  <c:numRef>
                    <c:extLst>
                      <c:ext uri="{02D57815-91ED-43cb-92C2-25804820EDAC}">
                        <c15:formulaRef>
                          <c15:sqref>'37'!#REF!</c15:sqref>
                        </c15:formulaRef>
                      </c:ext>
                    </c:extLst>
                    <c:numCache>
                      <c:formatCode>General</c:formatCode>
                      <c:ptCount val="1"/>
                      <c:pt idx="0">
                        <c:v>1</c:v>
                      </c:pt>
                    </c:numCache>
                  </c:numRef>
                </c:val>
                <c:smooth val="0"/>
                <c:extLst>
                  <c:ext xmlns:c16="http://schemas.microsoft.com/office/drawing/2014/chart" uri="{C3380CC4-5D6E-409C-BE32-E72D297353CC}">
                    <c16:uniqueId val="{00000004-3991-432A-9A38-D3DA5DA21343}"/>
                  </c:ext>
                </c:extLst>
              </c15:ser>
            </c15:filteredLineSeries>
          </c:ext>
        </c:extLst>
      </c:lineChart>
      <c:catAx>
        <c:axId val="94621644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84100224"/>
        <c:crosses val="autoZero"/>
        <c:auto val="1"/>
        <c:lblAlgn val="ctr"/>
        <c:lblOffset val="100"/>
        <c:noMultiLvlLbl val="0"/>
      </c:catAx>
      <c:valAx>
        <c:axId val="984100224"/>
        <c:scaling>
          <c:orientation val="minMax"/>
          <c:max val="7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216448"/>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5203972310478748"/>
          <c:w val="0.95348687664041998"/>
          <c:h val="9.7278015686635674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2018 - 2024</a:t>
            </a:r>
          </a:p>
        </c:rich>
      </c:tx>
      <c:layout>
        <c:manualLayout>
          <c:xMode val="edge"/>
          <c:yMode val="edge"/>
          <c:x val="0.29565032313557066"/>
          <c:y val="1.4862565236859037E-2"/>
        </c:manualLayout>
      </c:layout>
      <c:overlay val="0"/>
      <c:spPr>
        <a:noFill/>
        <a:ln w="25400">
          <a:noFill/>
        </a:ln>
      </c:spPr>
    </c:title>
    <c:autoTitleDeleted val="0"/>
    <c:plotArea>
      <c:layout>
        <c:manualLayout>
          <c:layoutTarget val="inner"/>
          <c:xMode val="edge"/>
          <c:yMode val="edge"/>
          <c:x val="0.15912970283315397"/>
          <c:y val="0.14402173913043675"/>
          <c:w val="0.80002960235070264"/>
          <c:h val="0.63224637681160001"/>
        </c:manualLayout>
      </c:layout>
      <c:lineChart>
        <c:grouping val="standard"/>
        <c:varyColors val="0"/>
        <c:ser>
          <c:idx val="3"/>
          <c:order val="0"/>
          <c:tx>
            <c:strRef>
              <c:f>'40'!$C$6</c:f>
              <c:strCache>
                <c:ptCount val="1"/>
                <c:pt idx="0">
                  <c:v>2018</c:v>
                </c:pt>
              </c:strCache>
            </c:strRef>
          </c:tx>
          <c:val>
            <c:numRef>
              <c:f>'40'!$C$7:$C$18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0-D41B-4B8E-A67C-354E7B9DC70B}"/>
            </c:ext>
          </c:extLst>
        </c:ser>
        <c:ser>
          <c:idx val="5"/>
          <c:order val="1"/>
          <c:tx>
            <c:strRef>
              <c:f>'40'!$D$6</c:f>
              <c:strCache>
                <c:ptCount val="1"/>
                <c:pt idx="0">
                  <c:v>2019</c:v>
                </c:pt>
              </c:strCache>
            </c:strRef>
          </c:tx>
          <c:spPr>
            <a:ln>
              <a:solidFill>
                <a:schemeClr val="bg1">
                  <a:lumMod val="50000"/>
                </a:schemeClr>
              </a:solidFill>
            </a:ln>
          </c:spPr>
          <c:marker>
            <c:spPr>
              <a:solidFill>
                <a:schemeClr val="bg1">
                  <a:lumMod val="50000"/>
                </a:schemeClr>
              </a:solidFill>
              <a:ln>
                <a:solidFill>
                  <a:schemeClr val="bg1">
                    <a:lumMod val="50000"/>
                  </a:schemeClr>
                </a:solidFill>
              </a:ln>
            </c:spPr>
          </c:marker>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'40'!$D$7:$D$18</c:f>
              <c:numCache>
                <c:formatCode>#,##0_ ;\-#,##0\ </c:formatCode>
                <c:ptCount val="12"/>
                <c:pt idx="0">
                  <c:v>16500</c:v>
                </c:pt>
                <c:pt idx="2">
                  <c:v>13061.904761904761</c:v>
                </c:pt>
                <c:pt idx="3">
                  <c:v>12764.516129032258</c:v>
                </c:pt>
                <c:pt idx="4">
                  <c:v>12740</c:v>
                </c:pt>
                <c:pt idx="5">
                  <c:v>13095.283018867925</c:v>
                </c:pt>
                <c:pt idx="6">
                  <c:v>14412.765957446809</c:v>
                </c:pt>
                <c:pt idx="7">
                  <c:v>14592.307692307691</c:v>
                </c:pt>
                <c:pt idx="8">
                  <c:v>15066.666666666666</c:v>
                </c:pt>
                <c:pt idx="9">
                  <c:v>14657.142857142855</c:v>
                </c:pt>
                <c:pt idx="10">
                  <c:v>15112.5</c:v>
                </c:pt>
                <c:pt idx="11">
                  <c:v>15688.888888888889</c:v>
                </c:pt>
              </c:numCache>
            </c:numRef>
          </c:val>
          <c:smooth val="0"/>
          <c:extLst>
            <c:ext xmlns:c16="http://schemas.microsoft.com/office/drawing/2014/chart" uri="{C3380CC4-5D6E-409C-BE32-E72D297353CC}">
              <c16:uniqueId val="{00000000-8C46-4ACD-8E92-028C8AB7B211}"/>
            </c:ext>
          </c:extLst>
        </c:ser>
        <c:ser>
          <c:idx val="0"/>
          <c:order val="2"/>
          <c:tx>
            <c:strRef>
              <c:f>'40'!$E$6</c:f>
              <c:strCache>
                <c:ptCount val="1"/>
                <c:pt idx="0">
                  <c:v>2020</c:v>
                </c:pt>
              </c:strCache>
            </c:strRef>
          </c:tx>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'40'!$E$7:$E$18</c:f>
              <c:numCache>
                <c:formatCode>#,##0_ ;\-#,##0\ </c:formatCode>
                <c:ptCount val="12"/>
                <c:pt idx="0">
                  <c:v>14667</c:v>
                </c:pt>
                <c:pt idx="1">
                  <c:v>14667</c:v>
                </c:pt>
                <c:pt idx="2">
                  <c:v>15658.064516129034</c:v>
                </c:pt>
                <c:pt idx="3">
                  <c:v>16630</c:v>
                </c:pt>
                <c:pt idx="4">
                  <c:v>16008</c:v>
                </c:pt>
                <c:pt idx="5">
                  <c:v>15900</c:v>
                </c:pt>
                <c:pt idx="6">
                  <c:v>15500</c:v>
                </c:pt>
                <c:pt idx="7">
                  <c:v>15500</c:v>
                </c:pt>
                <c:pt idx="8">
                  <c:v>16475</c:v>
                </c:pt>
                <c:pt idx="9">
                  <c:v>18000</c:v>
                </c:pt>
                <c:pt idx="10">
                  <c:v>19000</c:v>
                </c:pt>
              </c:numCache>
            </c:numRef>
          </c:val>
          <c:smooth val="0"/>
          <c:extLst>
            <c:ext xmlns:c16="http://schemas.microsoft.com/office/drawing/2014/chart" uri="{C3380CC4-5D6E-409C-BE32-E72D297353CC}">
              <c16:uniqueId val="{00000001-8C46-4ACD-8E92-028C8AB7B211}"/>
            </c:ext>
          </c:extLst>
        </c:ser>
        <c:ser>
          <c:idx val="1"/>
          <c:order val="3"/>
          <c:tx>
            <c:strRef>
              <c:f>'40'!$F$6</c:f>
              <c:strCache>
                <c:ptCount val="1"/>
                <c:pt idx="0">
                  <c:v>2021</c:v>
                </c:pt>
              </c:strCache>
            </c:strRef>
          </c:tx>
          <c:val>
            <c:numRef>
              <c:f>'40'!$F$7:$F$18</c:f>
              <c:numCache>
                <c:formatCode>#,##0_ ;\-#,##0\ </c:formatCode>
                <c:ptCount val="12"/>
                <c:pt idx="2">
                  <c:v>20766.666666666668</c:v>
                </c:pt>
                <c:pt idx="3">
                  <c:v>20484.313725490196</c:v>
                </c:pt>
                <c:pt idx="4">
                  <c:v>20700</c:v>
                </c:pt>
                <c:pt idx="5">
                  <c:v>21105</c:v>
                </c:pt>
                <c:pt idx="6">
                  <c:v>22454.545454545456</c:v>
                </c:pt>
                <c:pt idx="7">
                  <c:v>23875</c:v>
                </c:pt>
                <c:pt idx="8">
                  <c:v>23722.222222222223</c:v>
                </c:pt>
                <c:pt idx="9">
                  <c:v>24605.263157894737</c:v>
                </c:pt>
                <c:pt idx="10">
                  <c:v>27000</c:v>
                </c:pt>
              </c:numCache>
            </c:numRef>
          </c:val>
          <c:smooth val="0"/>
          <c:extLst>
            <c:ext xmlns:c16="http://schemas.microsoft.com/office/drawing/2014/chart" uri="{C3380CC4-5D6E-409C-BE32-E72D297353CC}">
              <c16:uniqueId val="{00000002-8C46-4ACD-8E92-028C8AB7B211}"/>
            </c:ext>
          </c:extLst>
        </c:ser>
        <c:ser>
          <c:idx val="2"/>
          <c:order val="4"/>
          <c:tx>
            <c:strRef>
              <c:f>'40'!$G$6</c:f>
              <c:strCache>
                <c:ptCount val="1"/>
                <c:pt idx="0">
                  <c:v>2022</c:v>
                </c:pt>
              </c:strCache>
            </c:strRef>
          </c:tx>
          <c:val>
            <c:numRef>
              <c:f>'40'!$G$7:$G$18</c:f>
              <c:numCache>
                <c:formatCode>#,##0_ ;\-#,##0\ </c:formatCode>
                <c:ptCount val="12"/>
                <c:pt idx="2">
                  <c:v>30508.333333333332</c:v>
                </c:pt>
                <c:pt idx="3">
                  <c:v>30635.616438356163</c:v>
                </c:pt>
                <c:pt idx="4" formatCode="#,##0">
                  <c:v>30819.512195121952</c:v>
                </c:pt>
                <c:pt idx="5" formatCode="#,##0">
                  <c:v>30119.23076923077</c:v>
                </c:pt>
                <c:pt idx="6" formatCode="#,##0">
                  <c:v>30428.571428571428</c:v>
                </c:pt>
                <c:pt idx="7" formatCode="#,##0">
                  <c:v>31000</c:v>
                </c:pt>
                <c:pt idx="8" formatCode="#,##0">
                  <c:v>32000</c:v>
                </c:pt>
                <c:pt idx="9" formatCode="#,##0">
                  <c:v>32400</c:v>
                </c:pt>
                <c:pt idx="10" formatCode="#,##0">
                  <c:v>32500</c:v>
                </c:pt>
              </c:numCache>
            </c:numRef>
          </c:val>
          <c:smooth val="0"/>
          <c:extLst>
            <c:ext xmlns:c16="http://schemas.microsoft.com/office/drawing/2014/chart" uri="{C3380CC4-5D6E-409C-BE32-E72D297353CC}">
              <c16:uniqueId val="{00000000-BED7-4F68-AA74-4EC02DD3B059}"/>
            </c:ext>
          </c:extLst>
        </c:ser>
        <c:ser>
          <c:idx val="6"/>
          <c:order val="5"/>
          <c:tx>
            <c:strRef>
              <c:f>'40'!$H$6</c:f>
              <c:strCache>
                <c:ptCount val="1"/>
                <c:pt idx="0">
                  <c:v>2023</c:v>
                </c:pt>
              </c:strCache>
            </c:strRef>
          </c:tx>
          <c:spPr>
            <a:ln>
              <a:solidFill>
                <a:srgbClr val="FF0000"/>
              </a:solidFill>
            </a:ln>
          </c:spPr>
          <c:marker>
            <c:spPr>
              <a:solidFill>
                <a:srgbClr val="FF0000"/>
              </a:solidFill>
              <a:ln>
                <a:solidFill>
                  <a:srgbClr val="FF0000"/>
                </a:solidFill>
              </a:ln>
            </c:spPr>
          </c:marker>
          <c:val>
            <c:numRef>
              <c:f>'40'!$H$7:$H$18</c:f>
              <c:numCache>
                <c:formatCode>#,##0_ ;\-#,##0\ </c:formatCode>
                <c:ptCount val="12"/>
                <c:pt idx="2" formatCode="#,##0">
                  <c:v>27500</c:v>
                </c:pt>
                <c:pt idx="3" formatCode="#,##0">
                  <c:v>23800</c:v>
                </c:pt>
                <c:pt idx="4" formatCode="#,##0">
                  <c:v>20622.580645161292</c:v>
                </c:pt>
                <c:pt idx="5">
                  <c:v>19850</c:v>
                </c:pt>
                <c:pt idx="6">
                  <c:v>19000</c:v>
                </c:pt>
                <c:pt idx="7">
                  <c:v>19000</c:v>
                </c:pt>
              </c:numCache>
            </c:numRef>
          </c:val>
          <c:smooth val="0"/>
          <c:extLst>
            <c:ext xmlns:c16="http://schemas.microsoft.com/office/drawing/2014/chart" uri="{C3380CC4-5D6E-409C-BE32-E72D297353CC}">
              <c16:uniqueId val="{00000000-79B7-4897-80F9-34DBD8C8A554}"/>
            </c:ext>
          </c:extLst>
        </c:ser>
        <c:ser>
          <c:idx val="4"/>
          <c:order val="6"/>
          <c:tx>
            <c:strRef>
              <c:f>'40'!$I$6</c:f>
              <c:strCache>
                <c:ptCount val="1"/>
                <c:pt idx="0">
                  <c:v>2024</c:v>
                </c:pt>
              </c:strCache>
            </c:strRef>
          </c:tx>
          <c:spPr>
            <a:ln>
              <a:solidFill>
                <a:schemeClr val="tx1"/>
              </a:solidFill>
            </a:ln>
          </c:spPr>
          <c:marker>
            <c:spPr>
              <a:solidFill>
                <a:schemeClr val="tx1">
                  <a:lumMod val="95000"/>
                  <a:lumOff val="5000"/>
                </a:schemeClr>
              </a:solidFill>
              <a:ln>
                <a:solidFill>
                  <a:schemeClr val="tx1"/>
                </a:solidFill>
              </a:ln>
            </c:spPr>
          </c:marker>
          <c:val>
            <c:numRef>
              <c:f>'40'!$I$7:$I$18</c:f>
              <c:numCache>
                <c:formatCode>#,##0_ ;\-#,##0\ </c:formatCode>
                <c:ptCount val="12"/>
                <c:pt idx="3" formatCode="#,##0">
                  <c:v>21909.090909090908</c:v>
                </c:pt>
                <c:pt idx="4" formatCode="#,##0">
                  <c:v>21934.920634920636</c:v>
                </c:pt>
                <c:pt idx="5">
                  <c:v>21438.888888888891</c:v>
                </c:pt>
                <c:pt idx="6">
                  <c:v>21616.666666666668</c:v>
                </c:pt>
              </c:numCache>
            </c:numRef>
          </c:val>
          <c:smooth val="0"/>
          <c:extLst>
            <c:ext xmlns:c16="http://schemas.microsoft.com/office/drawing/2014/chart" uri="{C3380CC4-5D6E-409C-BE32-E72D297353CC}">
              <c16:uniqueId val="{00000000-FC9B-45B7-BE04-DF7F1C4CD811}"/>
            </c:ext>
          </c:extLst>
        </c:ser>
        <c:dLbls>
          <c:showLegendKey val="0"/>
          <c:showVal val="0"/>
          <c:showCatName val="0"/>
          <c:showSerName val="0"/>
          <c:showPercent val="0"/>
          <c:showBubbleSize val="0"/>
        </c:dLbls>
        <c:marker val="1"/>
        <c:smooth val="0"/>
        <c:axId val="946020352"/>
        <c:axId val="984102528"/>
      </c:lineChart>
      <c:catAx>
        <c:axId val="9460203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984102528"/>
        <c:crosses val="autoZero"/>
        <c:auto val="1"/>
        <c:lblAlgn val="ctr"/>
        <c:lblOffset val="100"/>
        <c:tickLblSkip val="1"/>
        <c:tickMarkSkip val="1"/>
        <c:noMultiLvlLbl val="0"/>
      </c:catAx>
      <c:valAx>
        <c:axId val="984102528"/>
        <c:scaling>
          <c:orientation val="minMax"/>
          <c:max val="34000"/>
          <c:min val="1000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020352"/>
        <c:crosses val="autoZero"/>
        <c:crossBetween val="between"/>
        <c:majorUnit val="2000"/>
        <c:minorUnit val="1000"/>
      </c:valAx>
      <c:spPr>
        <a:solidFill>
          <a:srgbClr val="FFFFFF"/>
        </a:solidFill>
        <a:ln w="12700">
          <a:solidFill>
            <a:srgbClr val="808080"/>
          </a:solidFill>
          <a:prstDash val="solid"/>
        </a:ln>
      </c:spPr>
    </c:plotArea>
    <c:legend>
      <c:legendPos val="r"/>
      <c:layout>
        <c:manualLayout>
          <c:xMode val="edge"/>
          <c:yMode val="edge"/>
          <c:x val="1.4173738817493828E-2"/>
          <c:y val="0.87313499164877117"/>
          <c:w val="0.98131734703835538"/>
          <c:h val="0.12686504625608327"/>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48329591468297844"/>
        </c:manualLayout>
      </c:layout>
      <c:lineChart>
        <c:grouping val="standard"/>
        <c:varyColors val="0"/>
        <c:ser>
          <c:idx val="0"/>
          <c:order val="2"/>
          <c:tx>
            <c:strRef>
              <c:f>'42'!$E$5</c:f>
              <c:strCache>
                <c:ptCount val="1"/>
                <c:pt idx="0">
                  <c:v> Precio maíz nacional </c:v>
                </c:pt>
              </c:strCache>
            </c:strRef>
          </c:tx>
          <c:spPr>
            <a:ln w="6350">
              <a:solidFill>
                <a:srgbClr val="FF0000"/>
              </a:solidFill>
              <a:prstDash val="solid"/>
            </a:ln>
          </c:spPr>
          <c:marker>
            <c:symbol val="square"/>
            <c:size val="6"/>
            <c:spPr>
              <a:solidFill>
                <a:srgbClr val="FF3300"/>
              </a:solidFill>
              <a:ln w="6350">
                <a:solidFill>
                  <a:srgbClr val="FF3300"/>
                </a:solidFill>
              </a:ln>
            </c:spPr>
          </c:marker>
          <c:cat>
            <c:numRef>
              <c:f>'42'!$B$6:$B$48</c:f>
              <c:numCache>
                <c:formatCode>mmm/yyyy;@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'42'!$E$6:$E$48</c:f>
              <c:numCache>
                <c:formatCode>#,##0</c:formatCode>
                <c:ptCount val="43"/>
                <c:pt idx="2">
                  <c:v>207666.66666666669</c:v>
                </c:pt>
                <c:pt idx="3">
                  <c:v>204843.13725490196</c:v>
                </c:pt>
                <c:pt idx="4">
                  <c:v>207000</c:v>
                </c:pt>
                <c:pt idx="5">
                  <c:v>211050</c:v>
                </c:pt>
                <c:pt idx="6">
                  <c:v>224545.45454545456</c:v>
                </c:pt>
                <c:pt idx="7">
                  <c:v>238750</c:v>
                </c:pt>
                <c:pt idx="8">
                  <c:v>237222.22222222222</c:v>
                </c:pt>
                <c:pt idx="9">
                  <c:v>246052.63157894736</c:v>
                </c:pt>
                <c:pt idx="10">
                  <c:v>270000</c:v>
                </c:pt>
                <c:pt idx="14">
                  <c:v>305083.33333333331</c:v>
                </c:pt>
                <c:pt idx="15">
                  <c:v>306181.81818181818</c:v>
                </c:pt>
                <c:pt idx="16">
                  <c:v>308195.12195121951</c:v>
                </c:pt>
                <c:pt idx="17">
                  <c:v>301192.30769230769</c:v>
                </c:pt>
                <c:pt idx="18">
                  <c:v>304285.71428571426</c:v>
                </c:pt>
                <c:pt idx="19">
                  <c:v>310000</c:v>
                </c:pt>
                <c:pt idx="20">
                  <c:v>320000</c:v>
                </c:pt>
                <c:pt idx="21">
                  <c:v>324000</c:v>
                </c:pt>
                <c:pt idx="22">
                  <c:v>325000</c:v>
                </c:pt>
                <c:pt idx="26">
                  <c:v>275000</c:v>
                </c:pt>
                <c:pt idx="27">
                  <c:v>243966.66666666666</c:v>
                </c:pt>
                <c:pt idx="28">
                  <c:v>206225.80645161294</c:v>
                </c:pt>
                <c:pt idx="29">
                  <c:v>198500</c:v>
                </c:pt>
                <c:pt idx="30">
                  <c:v>190000</c:v>
                </c:pt>
                <c:pt idx="31">
                  <c:v>190000</c:v>
                </c:pt>
                <c:pt idx="39">
                  <c:v>219090.90909090909</c:v>
                </c:pt>
                <c:pt idx="40">
                  <c:v>219349.20634920636</c:v>
                </c:pt>
                <c:pt idx="41">
                  <c:v>214388.88888888891</c:v>
                </c:pt>
                <c:pt idx="42">
                  <c:v>216166.66666666669</c:v>
                </c:pt>
              </c:numCache>
            </c:numRef>
          </c:val>
          <c:smooth val="0"/>
          <c:extLst>
            <c:ext xmlns:c16="http://schemas.microsoft.com/office/drawing/2014/chart" uri="{C3380CC4-5D6E-409C-BE32-E72D297353CC}">
              <c16:uniqueId val="{00000002-095D-41C2-A795-16EE4B9D28DE}"/>
            </c:ext>
          </c:extLst>
        </c:ser>
        <c:ser>
          <c:idx val="3"/>
          <c:order val="3"/>
          <c:tx>
            <c:strRef>
              <c:f>'42'!$F$5</c:f>
              <c:strCache>
                <c:ptCount val="1"/>
                <c:pt idx="0">
                  <c:v> Costo de importación desde Argentina (Odepa) </c:v>
                </c:pt>
              </c:strCache>
            </c:strRef>
          </c:tx>
          <c:spPr>
            <a:ln w="28575">
              <a:solidFill>
                <a:srgbClr val="00B0F0"/>
              </a:solidFill>
              <a:prstDash val="solid"/>
              <a:bevel/>
            </a:ln>
          </c:spPr>
          <c:marker>
            <c:symbol val="none"/>
          </c:marker>
          <c:cat>
            <c:numRef>
              <c:f>'42'!$B$6:$B$48</c:f>
              <c:numCache>
                <c:formatCode>mmm/yyyy;@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'42'!$F$6:$F$48</c:f>
              <c:numCache>
                <c:formatCode>#,##0</c:formatCode>
                <c:ptCount val="43"/>
                <c:pt idx="0">
                  <c:v>211783.83736774194</c:v>
                </c:pt>
                <c:pt idx="1">
                  <c:v>207290.11847500002</c:v>
                </c:pt>
                <c:pt idx="2">
                  <c:v>200314.10971612902</c:v>
                </c:pt>
                <c:pt idx="3">
                  <c:v>214592.74980000002</c:v>
                </c:pt>
                <c:pt idx="4">
                  <c:v>229326.1886774193</c:v>
                </c:pt>
                <c:pt idx="5">
                  <c:v>221365.48629333329</c:v>
                </c:pt>
                <c:pt idx="6">
                  <c:v>218950.94433548389</c:v>
                </c:pt>
                <c:pt idx="7">
                  <c:v>229297.24854838711</c:v>
                </c:pt>
                <c:pt idx="8">
                  <c:v>240269.99028666667</c:v>
                </c:pt>
                <c:pt idx="9">
                  <c:v>254696.19292580648</c:v>
                </c:pt>
                <c:pt idx="10">
                  <c:v>257811.95759666667</c:v>
                </c:pt>
                <c:pt idx="11">
                  <c:v>278468.04696774192</c:v>
                </c:pt>
                <c:pt idx="12">
                  <c:v>281692.06228064513</c:v>
                </c:pt>
                <c:pt idx="13">
                  <c:v>289365.90606785711</c:v>
                </c:pt>
                <c:pt idx="14">
                  <c:v>325961.54034516128</c:v>
                </c:pt>
                <c:pt idx="15">
                  <c:v>313187.45085741091</c:v>
                </c:pt>
                <c:pt idx="16">
                  <c:v>328317.9417258529</c:v>
                </c:pt>
                <c:pt idx="17">
                  <c:v>323023.16319260158</c:v>
                </c:pt>
                <c:pt idx="18">
                  <c:v>332483.92989805754</c:v>
                </c:pt>
                <c:pt idx="19">
                  <c:v>320957.85711085866</c:v>
                </c:pt>
                <c:pt idx="20">
                  <c:v>334183.81606946548</c:v>
                </c:pt>
                <c:pt idx="21">
                  <c:v>363467.73474069417</c:v>
                </c:pt>
                <c:pt idx="22">
                  <c:v>348818.8223116491</c:v>
                </c:pt>
                <c:pt idx="23">
                  <c:v>340194.49485339003</c:v>
                </c:pt>
                <c:pt idx="24">
                  <c:v>321712.75971876353</c:v>
                </c:pt>
                <c:pt idx="25">
                  <c:v>309528.51398433873</c:v>
                </c:pt>
                <c:pt idx="26">
                  <c:v>291259.37675459916</c:v>
                </c:pt>
                <c:pt idx="27">
                  <c:v>264243.68709942285</c:v>
                </c:pt>
                <c:pt idx="28">
                  <c:v>238629.79265108533</c:v>
                </c:pt>
                <c:pt idx="29">
                  <c:v>228309.99184937056</c:v>
                </c:pt>
                <c:pt idx="30">
                  <c:v>223840.26270040357</c:v>
                </c:pt>
                <c:pt idx="31">
                  <c:v>226384.06210566466</c:v>
                </c:pt>
                <c:pt idx="32">
                  <c:v>246377.82027859319</c:v>
                </c:pt>
                <c:pt idx="33">
                  <c:v>271104.8392206342</c:v>
                </c:pt>
                <c:pt idx="34">
                  <c:v>228825.92182497625</c:v>
                </c:pt>
                <c:pt idx="35">
                  <c:v>229490.196411932</c:v>
                </c:pt>
                <c:pt idx="36">
                  <c:v>230299.71873936121</c:v>
                </c:pt>
                <c:pt idx="37">
                  <c:v>226704.88552410074</c:v>
                </c:pt>
                <c:pt idx="38">
                  <c:v>229095.54608539771</c:v>
                </c:pt>
                <c:pt idx="39">
                  <c:v>230820.24665239264</c:v>
                </c:pt>
                <c:pt idx="40">
                  <c:v>228969.74387281548</c:v>
                </c:pt>
                <c:pt idx="41">
                  <c:v>227263.15653248091</c:v>
                </c:pt>
                <c:pt idx="42">
                  <c:v>221777.07260276593</c:v>
                </c:pt>
              </c:numCache>
            </c:numRef>
          </c:val>
          <c:smooth val="0"/>
          <c:extLst>
            <c:ext xmlns:c16="http://schemas.microsoft.com/office/drawing/2014/chart" uri="{C3380CC4-5D6E-409C-BE32-E72D297353CC}">
              <c16:uniqueId val="{00000003-095D-41C2-A795-16EE4B9D28DE}"/>
            </c:ext>
          </c:extLst>
        </c:ser>
        <c:ser>
          <c:idx val="4"/>
          <c:order val="4"/>
          <c:tx>
            <c:strRef>
              <c:f>'42'!$G$5</c:f>
              <c:strCache>
                <c:ptCount val="1"/>
                <c:pt idx="0">
                  <c:v> Costo de importación desde EE.UU. (Odepa) </c:v>
                </c:pt>
              </c:strCache>
            </c:strRef>
          </c:tx>
          <c:spPr>
            <a:ln w="38100">
              <a:solidFill>
                <a:srgbClr val="00B050"/>
              </a:solidFill>
              <a:prstDash val="sysDash"/>
            </a:ln>
          </c:spPr>
          <c:marker>
            <c:symbol val="none"/>
          </c:marker>
          <c:cat>
            <c:numRef>
              <c:f>'42'!$B$6:$B$48</c:f>
              <c:numCache>
                <c:formatCode>mmm/yyyy;@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'42'!$G$6:$G$48</c:f>
              <c:numCache>
                <c:formatCode>#,##0</c:formatCode>
                <c:ptCount val="43"/>
                <c:pt idx="0">
                  <c:v>204608.6494516129</c:v>
                </c:pt>
                <c:pt idx="1">
                  <c:v>210700.34007499999</c:v>
                </c:pt>
                <c:pt idx="2">
                  <c:v>219557.6423870968</c:v>
                </c:pt>
                <c:pt idx="3">
                  <c:v>223486.54144</c:v>
                </c:pt>
                <c:pt idx="4">
                  <c:v>253766.05066451611</c:v>
                </c:pt>
                <c:pt idx="5">
                  <c:v>261293.41720666667</c:v>
                </c:pt>
                <c:pt idx="6">
                  <c:v>253709.40120645161</c:v>
                </c:pt>
                <c:pt idx="7">
                  <c:v>260123.74867419357</c:v>
                </c:pt>
                <c:pt idx="8">
                  <c:v>273469.78865666664</c:v>
                </c:pt>
                <c:pt idx="9">
                  <c:v>270655.19530322577</c:v>
                </c:pt>
                <c:pt idx="10">
                  <c:v>268216.5852733333</c:v>
                </c:pt>
                <c:pt idx="11">
                  <c:v>309285.57103225804</c:v>
                </c:pt>
                <c:pt idx="12">
                  <c:v>340306.0012483871</c:v>
                </c:pt>
                <c:pt idx="13">
                  <c:v>307708.69703571423</c:v>
                </c:pt>
                <c:pt idx="14">
                  <c:v>351935.53192903224</c:v>
                </c:pt>
                <c:pt idx="15">
                  <c:v>353409.80923928082</c:v>
                </c:pt>
                <c:pt idx="16">
                  <c:v>368536.53333264327</c:v>
                </c:pt>
                <c:pt idx="17">
                  <c:v>358602.98037731141</c:v>
                </c:pt>
                <c:pt idx="18">
                  <c:v>374141.28018188762</c:v>
                </c:pt>
                <c:pt idx="19">
                  <c:v>347380.9919403739</c:v>
                </c:pt>
                <c:pt idx="20">
                  <c:v>368047.10745725944</c:v>
                </c:pt>
                <c:pt idx="21">
                  <c:v>413010.57159652014</c:v>
                </c:pt>
                <c:pt idx="22">
                  <c:v>381249.29532405041</c:v>
                </c:pt>
                <c:pt idx="23">
                  <c:v>345873.38964578963</c:v>
                </c:pt>
                <c:pt idx="24">
                  <c:v>318957.57381631457</c:v>
                </c:pt>
                <c:pt idx="25">
                  <c:v>303605.59436584817</c:v>
                </c:pt>
                <c:pt idx="26">
                  <c:v>286273.46229565929</c:v>
                </c:pt>
                <c:pt idx="27">
                  <c:v>286983.31785287743</c:v>
                </c:pt>
                <c:pt idx="28">
                  <c:v>264224.69385794905</c:v>
                </c:pt>
                <c:pt idx="29">
                  <c:v>270278.89188420906</c:v>
                </c:pt>
                <c:pt idx="30">
                  <c:v>252110.23800651822</c:v>
                </c:pt>
                <c:pt idx="31">
                  <c:v>239921.25573202517</c:v>
                </c:pt>
                <c:pt idx="32">
                  <c:v>249669.46663525698</c:v>
                </c:pt>
                <c:pt idx="33">
                  <c:v>259053.70537095939</c:v>
                </c:pt>
                <c:pt idx="34">
                  <c:v>237657.54091550939</c:v>
                </c:pt>
                <c:pt idx="35">
                  <c:v>225358.79969975789</c:v>
                </c:pt>
                <c:pt idx="36">
                  <c:v>234967.20297072741</c:v>
                </c:pt>
                <c:pt idx="37">
                  <c:v>235408.17860781512</c:v>
                </c:pt>
                <c:pt idx="38">
                  <c:v>233368.24883287004</c:v>
                </c:pt>
                <c:pt idx="39">
                  <c:v>236019.30090614976</c:v>
                </c:pt>
                <c:pt idx="40">
                  <c:v>227661.75192194071</c:v>
                </c:pt>
                <c:pt idx="41">
                  <c:v>228393.22214871517</c:v>
                </c:pt>
                <c:pt idx="42">
                  <c:v>221529.61401153906</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946800128"/>
        <c:axId val="943833088"/>
        <c:extLst>
          <c:ext xmlns:c15="http://schemas.microsoft.com/office/drawing/2012/chart" uri="{02D57815-91ED-43cb-92C2-25804820EDAC}">
            <c15:filteredLineSeries>
              <c15:ser>
                <c:idx val="2"/>
                <c:order val="0"/>
                <c:tx>
                  <c:strRef>
                    <c:extLst>
                      <c:ext uri="{02D57815-91ED-43cb-92C2-25804820EDAC}">
                        <c15:formulaRef>
                          <c15:sqref>'42'!$C$5</c15:sqref>
                        </c15:formulaRef>
                      </c:ext>
                    </c:extLst>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extLst>
                      <c:ext uri="{02D57815-91ED-43cb-92C2-25804820EDAC}">
                        <c15:formulaRef>
                          <c15:sqref>'42'!$B$6:$B$48</c15:sqref>
                        </c15:formulaRef>
                      </c:ext>
                    </c:extLst>
                    <c:numCache>
                      <c:formatCode>mmm/yyyy;@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extLst>
                      <c:ext uri="{02D57815-91ED-43cb-92C2-25804820EDAC}">
                        <c15:formulaRef>
                          <c15:sqref>'42'!$C$6:$C$48</c15:sqref>
                        </c15:formulaRef>
                      </c:ext>
                    </c:extLst>
                    <c:numCache>
                      <c:formatCode>#,##0</c:formatCode>
                      <c:ptCount val="43"/>
                      <c:pt idx="0">
                        <c:v>184869.58</c:v>
                      </c:pt>
                      <c:pt idx="1">
                        <c:v>179089.39290000001</c:v>
                      </c:pt>
                      <c:pt idx="2">
                        <c:v>171009.28909999999</c:v>
                      </c:pt>
                      <c:pt idx="3">
                        <c:v>181563.52499999999</c:v>
                      </c:pt>
                      <c:pt idx="4">
                        <c:v>192388.54860000001</c:v>
                      </c:pt>
                      <c:pt idx="5">
                        <c:v>180596.0478</c:v>
                      </c:pt>
                      <c:pt idx="6">
                        <c:v>177929.32400000002</c:v>
                      </c:pt>
                      <c:pt idx="7">
                        <c:v>185521.557</c:v>
                      </c:pt>
                      <c:pt idx="8">
                        <c:v>188502.19650000002</c:v>
                      </c:pt>
                      <c:pt idx="9">
                        <c:v>195199.30009999999</c:v>
                      </c:pt>
                      <c:pt idx="10">
                        <c:v>204373.93</c:v>
                      </c:pt>
                      <c:pt idx="11">
                        <c:v>220601.37600000002</c:v>
                      </c:pt>
                      <c:pt idx="12">
                        <c:v>223951.0815</c:v>
                      </c:pt>
                      <c:pt idx="13">
                        <c:v>231798.5747</c:v>
                      </c:pt>
                      <c:pt idx="14">
                        <c:v>268487.88050000003</c:v>
                      </c:pt>
                      <c:pt idx="15">
                        <c:v>257577.92</c:v>
                      </c:pt>
                      <c:pt idx="16">
                        <c:v>267303.033</c:v>
                      </c:pt>
                      <c:pt idx="17">
                        <c:v>256130.12200000003</c:v>
                      </c:pt>
                      <c:pt idx="18">
                        <c:v>284777.80600000004</c:v>
                      </c:pt>
                      <c:pt idx="19">
                        <c:v>253543.56600000002</c:v>
                      </c:pt>
                      <c:pt idx="20">
                        <c:v>271569.0086</c:v>
                      </c:pt>
                      <c:pt idx="21">
                        <c:v>294614.85689999996</c:v>
                      </c:pt>
                      <c:pt idx="22">
                        <c:v>275903.663</c:v>
                      </c:pt>
                      <c:pt idx="23">
                        <c:v>272487.87880000001</c:v>
                      </c:pt>
                      <c:pt idx="24">
                        <c:v>256884.31580000001</c:v>
                      </c:pt>
                      <c:pt idx="25">
                        <c:v>249336.51100000003</c:v>
                      </c:pt>
                      <c:pt idx="26">
                        <c:v>242183.95419999998</c:v>
                      </c:pt>
                      <c:pt idx="27">
                        <c:v>227698.03320000001</c:v>
                      </c:pt>
                      <c:pt idx="28">
                        <c:v>202575.03599999999</c:v>
                      </c:pt>
                      <c:pt idx="29">
                        <c:v>189913.1341</c:v>
                      </c:pt>
                      <c:pt idx="30">
                        <c:v>185243.71600000001</c:v>
                      </c:pt>
                      <c:pt idx="31">
                        <c:v>187971.38879999999</c:v>
                      </c:pt>
                      <c:pt idx="32">
                        <c:v>209487.82800000001</c:v>
                      </c:pt>
                      <c:pt idx="33">
                        <c:v>227252.182</c:v>
                      </c:pt>
                      <c:pt idx="34">
                        <c:v>188963.1893</c:v>
                      </c:pt>
                      <c:pt idx="35">
                        <c:v>189663.44279999999</c:v>
                      </c:pt>
                      <c:pt idx="36">
                        <c:v>189179.71650000001</c:v>
                      </c:pt>
                      <c:pt idx="37">
                        <c:v>183853.25520000001</c:v>
                      </c:pt>
                      <c:pt idx="38">
                        <c:v>183064.60089999999</c:v>
                      </c:pt>
                      <c:pt idx="39">
                        <c:v>186267.16</c:v>
                      </c:pt>
                      <c:pt idx="40">
                        <c:v>181888.20225600002</c:v>
                      </c:pt>
                      <c:pt idx="41">
                        <c:v>178177.79200000002</c:v>
                      </c:pt>
                      <c:pt idx="42">
                        <c:v>172117.82733599999</c:v>
                      </c:pt>
                    </c:numCache>
                  </c:numRef>
                </c:val>
                <c:smooth val="0"/>
                <c:extLst>
                  <c:ext xmlns:c16="http://schemas.microsoft.com/office/drawing/2014/chart" uri="{C3380CC4-5D6E-409C-BE32-E72D297353CC}">
                    <c16:uniqueId val="{00000000-095D-41C2-A795-16EE4B9D28DE}"/>
                  </c:ext>
                </c:extLst>
              </c15:ser>
            </c15:filteredLineSeries>
            <c15:filteredLineSeries>
              <c15:ser>
                <c:idx val="1"/>
                <c:order val="1"/>
                <c:tx>
                  <c:strRef>
                    <c:extLst>
                      <c:ext xmlns:c15="http://schemas.microsoft.com/office/drawing/2012/chart" uri="{02D57815-91ED-43cb-92C2-25804820EDAC}">
                        <c15:formulaRef>
                          <c15:sqref>'42'!$D$5</c15:sqref>
                        </c15:formulaRef>
                      </c:ext>
                    </c:extLst>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extLst>
                      <c:ext xmlns:c15="http://schemas.microsoft.com/office/drawing/2012/chart" uri="{02D57815-91ED-43cb-92C2-25804820EDAC}">
                        <c15:formulaRef>
                          <c15:sqref>'42'!$B$6:$B$48</c15:sqref>
                        </c15:formulaRef>
                      </c:ext>
                    </c:extLst>
                    <c:numCache>
                      <c:formatCode>mmm/yyyy;@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extLst>
                      <c:ext xmlns:c15="http://schemas.microsoft.com/office/drawing/2012/chart" uri="{02D57815-91ED-43cb-92C2-25804820EDAC}">
                        <c15:formulaRef>
                          <c15:sqref>'42'!$D$6:$D$48</c15:sqref>
                        </c15:formulaRef>
                      </c:ext>
                    </c:extLst>
                    <c:numCache>
                      <c:formatCode>#,##0</c:formatCode>
                      <c:ptCount val="43"/>
                      <c:pt idx="0">
                        <c:v>177879.99039999998</c:v>
                      </c:pt>
                      <c:pt idx="1">
                        <c:v>182803.71109999999</c:v>
                      </c:pt>
                      <c:pt idx="2">
                        <c:v>182130.01380000002</c:v>
                      </c:pt>
                      <c:pt idx="3">
                        <c:v>195253.34399999998</c:v>
                      </c:pt>
                      <c:pt idx="4">
                        <c:v>222666.7212</c:v>
                      </c:pt>
                      <c:pt idx="5">
                        <c:v>220533.9516</c:v>
                      </c:pt>
                      <c:pt idx="6">
                        <c:v>212749.74000000002</c:v>
                      </c:pt>
                      <c:pt idx="7">
                        <c:v>204455.82940000002</c:v>
                      </c:pt>
                      <c:pt idx="8">
                        <c:v>219102.948</c:v>
                      </c:pt>
                      <c:pt idx="9">
                        <c:v>212974.7886</c:v>
                      </c:pt>
                      <c:pt idx="10">
                        <c:v>217262.08320000002</c:v>
                      </c:pt>
                      <c:pt idx="11">
                        <c:v>232463.58239999998</c:v>
                      </c:pt>
                      <c:pt idx="12">
                        <c:v>233388.21550000002</c:v>
                      </c:pt>
                      <c:pt idx="13">
                        <c:v>243073.34260000003</c:v>
                      </c:pt>
                      <c:pt idx="14">
                        <c:v>287860.24609999999</c:v>
                      </c:pt>
                      <c:pt idx="15">
                        <c:v>290109.35920000001</c:v>
                      </c:pt>
                      <c:pt idx="16">
                        <c:v>298815.402</c:v>
                      </c:pt>
                      <c:pt idx="17">
                        <c:v>293286.65975200001</c:v>
                      </c:pt>
                      <c:pt idx="18">
                        <c:v>326090.23429599998</c:v>
                      </c:pt>
                      <c:pt idx="19">
                        <c:v>277554.05850000004</c:v>
                      </c:pt>
                      <c:pt idx="20">
                        <c:v>300055.84789999999</c:v>
                      </c:pt>
                      <c:pt idx="21">
                        <c:v>337333.58099999995</c:v>
                      </c:pt>
                      <c:pt idx="22">
                        <c:v>305827.00449999998</c:v>
                      </c:pt>
                      <c:pt idx="23">
                        <c:v>273065.81439999997</c:v>
                      </c:pt>
                      <c:pt idx="24">
                        <c:v>250901.61420000001</c:v>
                      </c:pt>
                      <c:pt idx="25">
                        <c:v>238208.76660000003</c:v>
                      </c:pt>
                      <c:pt idx="26">
                        <c:v>235150.47539999997</c:v>
                      </c:pt>
                      <c:pt idx="27">
                        <c:v>236672.86279999997</c:v>
                      </c:pt>
                      <c:pt idx="28">
                        <c:v>214498.73119999998</c:v>
                      </c:pt>
                      <c:pt idx="29">
                        <c:v>219388.34359999999</c:v>
                      </c:pt>
                      <c:pt idx="30">
                        <c:v>198355.72400000002</c:v>
                      </c:pt>
                      <c:pt idx="31">
                        <c:v>185318.84280000001</c:v>
                      </c:pt>
                      <c:pt idx="32">
                        <c:v>204694.37999999998</c:v>
                      </c:pt>
                      <c:pt idx="33">
                        <c:v>210976.21249999999</c:v>
                      </c:pt>
                      <c:pt idx="34">
                        <c:v>187934.72169999999</c:v>
                      </c:pt>
                      <c:pt idx="35">
                        <c:v>180085.80629999997</c:v>
                      </c:pt>
                      <c:pt idx="36">
                        <c:v>185792.91380000001</c:v>
                      </c:pt>
                      <c:pt idx="37">
                        <c:v>185693.42560000002</c:v>
                      </c:pt>
                      <c:pt idx="38">
                        <c:v>185019.81949999998</c:v>
                      </c:pt>
                      <c:pt idx="39">
                        <c:v>184961.36959999998</c:v>
                      </c:pt>
                      <c:pt idx="40">
                        <c:v>182388.997584</c:v>
                      </c:pt>
                      <c:pt idx="41">
                        <c:v>181187.55200000003</c:v>
                      </c:pt>
                      <c:pt idx="42">
                        <c:v>172544.60464799998</c:v>
                      </c:pt>
                    </c:numCache>
                  </c:numRef>
                </c:val>
                <c:smooth val="0"/>
                <c:extLst xmlns:c15="http://schemas.microsoft.com/office/drawing/2012/chart">
                  <c:ext xmlns:c16="http://schemas.microsoft.com/office/drawing/2014/chart" uri="{C3380CC4-5D6E-409C-BE32-E72D297353CC}">
                    <c16:uniqueId val="{00000001-095D-41C2-A795-16EE4B9D28DE}"/>
                  </c:ext>
                </c:extLst>
              </c15:ser>
            </c15:filteredLineSeries>
          </c:ext>
        </c:extLst>
      </c:lineChart>
      <c:dateAx>
        <c:axId val="94680012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3833088"/>
        <c:crosses val="autoZero"/>
        <c:auto val="0"/>
        <c:lblOffset val="100"/>
        <c:baseTimeUnit val="days"/>
        <c:majorUnit val="1"/>
        <c:majorTimeUnit val="months"/>
        <c:minorUnit val="1"/>
        <c:minorTimeUnit val="days"/>
      </c:dateAx>
      <c:valAx>
        <c:axId val="943833088"/>
        <c:scaling>
          <c:orientation val="minMax"/>
          <c:max val="450000"/>
          <c:min val="15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7.0001543318492258E-3"/>
              <c:y val="0.41808483102957444"/>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800128"/>
        <c:crosses val="autoZero"/>
        <c:crossBetween val="between"/>
      </c:valAx>
      <c:spPr>
        <a:solidFill>
          <a:srgbClr val="FFFFFF"/>
        </a:solidFill>
        <a:ln w="12700">
          <a:solidFill>
            <a:srgbClr val="808080"/>
          </a:solidFill>
          <a:prstDash val="solid"/>
        </a:ln>
      </c:spPr>
    </c:plotArea>
    <c:legend>
      <c:legendPos val="r"/>
      <c:layout>
        <c:manualLayout>
          <c:xMode val="edge"/>
          <c:yMode val="edge"/>
          <c:x val="0.80640605997300197"/>
          <c:y val="0.16420468495995302"/>
          <c:w val="0.18201327344542184"/>
          <c:h val="0.79887794615361163"/>
        </c:manualLayout>
      </c:layout>
      <c:overlay val="0"/>
      <c:txPr>
        <a:bodyPr/>
        <a:lstStyle/>
        <a:p>
          <a:pPr>
            <a:defRPr sz="7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60" b="1" i="0" u="none" strike="noStrike" kern="1200" spc="0" baseline="0">
                <a:solidFill>
                  <a:sysClr val="windowText" lastClr="000000"/>
                </a:solidFill>
                <a:latin typeface="+mj-lt"/>
                <a:ea typeface="+mn-ea"/>
                <a:cs typeface="+mn-cs"/>
              </a:defRPr>
            </a:pPr>
            <a:r>
              <a:rPr lang="es-CL" b="1"/>
              <a:t>Gráfico N° 11. Evolución de los precios del maíz en el mercado de futuros de Chicago desde el 24</a:t>
            </a:r>
            <a:r>
              <a:rPr lang="es-CL" b="1" baseline="0"/>
              <a:t> de julio</a:t>
            </a:r>
            <a:r>
              <a:rPr lang="es-CL" b="1"/>
              <a:t> de 2023 hasta el</a:t>
            </a:r>
            <a:r>
              <a:rPr lang="es-CL" b="1" baseline="0"/>
              <a:t> 26 de agosto</a:t>
            </a:r>
            <a:r>
              <a:rPr lang="es-CL" b="1"/>
              <a:t> de 2024</a:t>
            </a:r>
          </a:p>
          <a:p>
            <a:pPr algn="ctr">
              <a:defRPr b="1"/>
            </a:pPr>
            <a:r>
              <a:rPr lang="es-CL" b="1"/>
              <a:t>(precios diarios en USD/tonelada)</a:t>
            </a:r>
          </a:p>
        </c:rich>
      </c:tx>
      <c:layout>
        <c:manualLayout>
          <c:xMode val="edge"/>
          <c:yMode val="edge"/>
          <c:x val="0.10408723309571723"/>
          <c:y val="1.4247551202137132E-2"/>
        </c:manualLayout>
      </c:layout>
      <c:overlay val="0"/>
      <c:spPr>
        <a:noFill/>
        <a:ln>
          <a:noFill/>
        </a:ln>
        <a:effectLst/>
      </c:spPr>
      <c:txPr>
        <a:bodyPr rot="0" spcFirstLastPara="1" vertOverflow="ellipsis" vert="horz" wrap="square" anchor="ctr" anchorCtr="1"/>
        <a:lstStyle/>
        <a:p>
          <a:pPr algn="ctr">
            <a:defRPr sz="960" b="1" i="0" u="none" strike="noStrike" kern="1200" spc="0" baseline="0">
              <a:solidFill>
                <a:sysClr val="windowText" lastClr="000000"/>
              </a:solidFill>
              <a:latin typeface="+mj-lt"/>
              <a:ea typeface="+mn-ea"/>
              <a:cs typeface="+mn-cs"/>
            </a:defRPr>
          </a:pPr>
          <a:endParaRPr lang="es-CL"/>
        </a:p>
      </c:txPr>
    </c:title>
    <c:autoTitleDeleted val="0"/>
    <c:plotArea>
      <c:layout>
        <c:manualLayout>
          <c:layoutTarget val="inner"/>
          <c:xMode val="edge"/>
          <c:yMode val="edge"/>
          <c:x val="0.12534898087666105"/>
          <c:y val="0.20930296540283003"/>
          <c:w val="0.82689172519276044"/>
          <c:h val="0.49826555949761103"/>
        </c:manualLayout>
      </c:layout>
      <c:lineChart>
        <c:grouping val="standard"/>
        <c:varyColors val="0"/>
        <c:ser>
          <c:idx val="1"/>
          <c:order val="1"/>
          <c:tx>
            <c:strRef>
              <c:f>'43'!$AN$1</c:f>
              <c:strCache>
                <c:ptCount val="1"/>
                <c:pt idx="0">
                  <c:v>jul-24</c:v>
                </c:pt>
              </c:strCache>
            </c:strRef>
          </c:tx>
          <c:spPr>
            <a:ln w="28575" cap="rnd">
              <a:solidFill>
                <a:schemeClr val="accent2"/>
              </a:solidFill>
              <a:round/>
            </a:ln>
            <a:effectLst/>
          </c:spPr>
          <c:marker>
            <c:symbol val="none"/>
          </c:marker>
          <c:cat>
            <c:numRef>
              <c:f>'43'!$G$122:$G$178</c:f>
              <c:numCache>
                <c:formatCode>m/d/yyyy</c:formatCode>
                <c:ptCount val="57"/>
                <c:pt idx="0">
                  <c:v>45131</c:v>
                </c:pt>
                <c:pt idx="1">
                  <c:v>45138</c:v>
                </c:pt>
                <c:pt idx="2">
                  <c:v>45145</c:v>
                </c:pt>
                <c:pt idx="3">
                  <c:v>45152</c:v>
                </c:pt>
                <c:pt idx="4">
                  <c:v>45159</c:v>
                </c:pt>
                <c:pt idx="5">
                  <c:v>45166</c:v>
                </c:pt>
                <c:pt idx="6">
                  <c:v>45173</c:v>
                </c:pt>
                <c:pt idx="7">
                  <c:v>45180</c:v>
                </c:pt>
                <c:pt idx="8">
                  <c:v>45187</c:v>
                </c:pt>
                <c:pt idx="9">
                  <c:v>45194</c:v>
                </c:pt>
                <c:pt idx="10">
                  <c:v>45201</c:v>
                </c:pt>
                <c:pt idx="11">
                  <c:v>45208</c:v>
                </c:pt>
                <c:pt idx="12">
                  <c:v>45215</c:v>
                </c:pt>
                <c:pt idx="13">
                  <c:v>45222</c:v>
                </c:pt>
                <c:pt idx="14">
                  <c:v>45229</c:v>
                </c:pt>
                <c:pt idx="15">
                  <c:v>45236</c:v>
                </c:pt>
                <c:pt idx="16">
                  <c:v>45243</c:v>
                </c:pt>
                <c:pt idx="17">
                  <c:v>45257</c:v>
                </c:pt>
                <c:pt idx="18">
                  <c:v>45264</c:v>
                </c:pt>
                <c:pt idx="19">
                  <c:v>45271</c:v>
                </c:pt>
                <c:pt idx="20">
                  <c:v>45278</c:v>
                </c:pt>
                <c:pt idx="21">
                  <c:v>45286</c:v>
                </c:pt>
                <c:pt idx="22">
                  <c:v>45293</c:v>
                </c:pt>
                <c:pt idx="23">
                  <c:v>45299</c:v>
                </c:pt>
                <c:pt idx="24">
                  <c:v>45306</c:v>
                </c:pt>
                <c:pt idx="25">
                  <c:v>45317</c:v>
                </c:pt>
                <c:pt idx="26">
                  <c:v>45327</c:v>
                </c:pt>
                <c:pt idx="27">
                  <c:v>45334</c:v>
                </c:pt>
                <c:pt idx="28">
                  <c:v>45341</c:v>
                </c:pt>
                <c:pt idx="29">
                  <c:v>45348</c:v>
                </c:pt>
                <c:pt idx="30">
                  <c:v>45355</c:v>
                </c:pt>
                <c:pt idx="31">
                  <c:v>45358</c:v>
                </c:pt>
                <c:pt idx="32">
                  <c:v>45362</c:v>
                </c:pt>
                <c:pt idx="33">
                  <c:v>45371</c:v>
                </c:pt>
                <c:pt idx="34">
                  <c:v>45383</c:v>
                </c:pt>
                <c:pt idx="35">
                  <c:v>45390</c:v>
                </c:pt>
                <c:pt idx="36">
                  <c:v>45398</c:v>
                </c:pt>
                <c:pt idx="37">
                  <c:v>45404</c:v>
                </c:pt>
                <c:pt idx="38">
                  <c:v>45407</c:v>
                </c:pt>
                <c:pt idx="39">
                  <c:v>45411</c:v>
                </c:pt>
                <c:pt idx="40">
                  <c:v>45418</c:v>
                </c:pt>
                <c:pt idx="41">
                  <c:v>45425</c:v>
                </c:pt>
                <c:pt idx="42">
                  <c:v>45436</c:v>
                </c:pt>
                <c:pt idx="43">
                  <c:v>45443</c:v>
                </c:pt>
                <c:pt idx="44">
                  <c:v>45450</c:v>
                </c:pt>
                <c:pt idx="45">
                  <c:v>45457</c:v>
                </c:pt>
                <c:pt idx="46">
                  <c:v>45463</c:v>
                </c:pt>
                <c:pt idx="47">
                  <c:v>45467</c:v>
                </c:pt>
                <c:pt idx="48">
                  <c:v>45474</c:v>
                </c:pt>
                <c:pt idx="49">
                  <c:v>45481</c:v>
                </c:pt>
                <c:pt idx="50">
                  <c:v>45488</c:v>
                </c:pt>
                <c:pt idx="51">
                  <c:v>45495</c:v>
                </c:pt>
                <c:pt idx="52">
                  <c:v>45502</c:v>
                </c:pt>
                <c:pt idx="53">
                  <c:v>45509</c:v>
                </c:pt>
                <c:pt idx="54">
                  <c:v>45516</c:v>
                </c:pt>
                <c:pt idx="55">
                  <c:v>45523</c:v>
                </c:pt>
                <c:pt idx="56">
                  <c:v>45530</c:v>
                </c:pt>
              </c:numCache>
            </c:numRef>
          </c:cat>
          <c:val>
            <c:numRef>
              <c:f>'43'!$AN$122:$AN$178</c:f>
              <c:numCache>
                <c:formatCode>0.00</c:formatCode>
                <c:ptCount val="57"/>
                <c:pt idx="0">
                  <c:v>229.71227999999999</c:v>
                </c:pt>
                <c:pt idx="1">
                  <c:v>210.61879999999999</c:v>
                </c:pt>
                <c:pt idx="2">
                  <c:v>205.50095999999999</c:v>
                </c:pt>
                <c:pt idx="3">
                  <c:v>202.74519999999998</c:v>
                </c:pt>
                <c:pt idx="4">
                  <c:v>200.18627999999998</c:v>
                </c:pt>
                <c:pt idx="5">
                  <c:v>205.69779999999997</c:v>
                </c:pt>
                <c:pt idx="6">
                  <c:v>200.28469999999999</c:v>
                </c:pt>
                <c:pt idx="7">
                  <c:v>201.85942</c:v>
                </c:pt>
                <c:pt idx="8">
                  <c:v>196.44631999999999</c:v>
                </c:pt>
                <c:pt idx="9">
                  <c:v>200.18627999999998</c:v>
                </c:pt>
                <c:pt idx="10">
                  <c:v>203.63097999999999</c:v>
                </c:pt>
                <c:pt idx="11">
                  <c:v>203.53255999999999</c:v>
                </c:pt>
                <c:pt idx="12">
                  <c:v>204.02465999999998</c:v>
                </c:pt>
                <c:pt idx="13">
                  <c:v>203.63097999999999</c:v>
                </c:pt>
                <c:pt idx="14">
                  <c:v>199.79259999999999</c:v>
                </c:pt>
                <c:pt idx="15">
                  <c:v>200.87521999999998</c:v>
                </c:pt>
                <c:pt idx="16">
                  <c:v>201.07205999999999</c:v>
                </c:pt>
                <c:pt idx="17">
                  <c:v>195.26527999999999</c:v>
                </c:pt>
                <c:pt idx="18">
                  <c:v>199.10365999999999</c:v>
                </c:pt>
                <c:pt idx="19">
                  <c:v>198.21787999999998</c:v>
                </c:pt>
                <c:pt idx="20">
                  <c:v>196.64315999999999</c:v>
                </c:pt>
                <c:pt idx="21">
                  <c:v>197.43052</c:v>
                </c:pt>
                <c:pt idx="22">
                  <c:v>192.01741999999999</c:v>
                </c:pt>
                <c:pt idx="23">
                  <c:v>188.17903999999999</c:v>
                </c:pt>
                <c:pt idx="24">
                  <c:v>184.34065999999999</c:v>
                </c:pt>
                <c:pt idx="25">
                  <c:v>182.47067999999999</c:v>
                </c:pt>
                <c:pt idx="26">
                  <c:v>181.88015999999999</c:v>
                </c:pt>
                <c:pt idx="27">
                  <c:v>178.04177999999999</c:v>
                </c:pt>
                <c:pt idx="28">
                  <c:v>173.31761999999998</c:v>
                </c:pt>
                <c:pt idx="29">
                  <c:v>170.75869999999998</c:v>
                </c:pt>
                <c:pt idx="30">
                  <c:v>173.71129999999999</c:v>
                </c:pt>
                <c:pt idx="31">
                  <c:v>176.95916</c:v>
                </c:pt>
                <c:pt idx="32">
                  <c:v>178.63229999999999</c:v>
                </c:pt>
                <c:pt idx="33">
                  <c:v>178.04177999999999</c:v>
                </c:pt>
                <c:pt idx="34">
                  <c:v>176.86073999999999</c:v>
                </c:pt>
                <c:pt idx="35">
                  <c:v>176.17179999999999</c:v>
                </c:pt>
                <c:pt idx="36">
                  <c:v>174.30181999999999</c:v>
                </c:pt>
                <c:pt idx="37">
                  <c:v>177.05758</c:v>
                </c:pt>
                <c:pt idx="38">
                  <c:v>177.94335999999998</c:v>
                </c:pt>
                <c:pt idx="39">
                  <c:v>176.86073999999999</c:v>
                </c:pt>
                <c:pt idx="40">
                  <c:v>184.63592</c:v>
                </c:pt>
                <c:pt idx="41">
                  <c:v>186.01379999999997</c:v>
                </c:pt>
                <c:pt idx="42">
                  <c:v>182.96277999999998</c:v>
                </c:pt>
                <c:pt idx="43">
                  <c:v>175.6797</c:v>
                </c:pt>
                <c:pt idx="44">
                  <c:v>176.66389999999998</c:v>
                </c:pt>
                <c:pt idx="45">
                  <c:v>177.15599999999998</c:v>
                </c:pt>
                <c:pt idx="46">
                  <c:v>173.12078</c:v>
                </c:pt>
                <c:pt idx="47">
                  <c:v>170.66028</c:v>
                </c:pt>
                <c:pt idx="48">
                  <c:v>156.78305999999998</c:v>
                </c:pt>
                <c:pt idx="49">
                  <c:v>155.79885999999999</c:v>
                </c:pt>
              </c:numCache>
            </c:numRef>
          </c:val>
          <c:smooth val="0"/>
          <c:extLst>
            <c:ext xmlns:c16="http://schemas.microsoft.com/office/drawing/2014/chart" uri="{C3380CC4-5D6E-409C-BE32-E72D297353CC}">
              <c16:uniqueId val="{00000000-D3C9-4534-94A8-6C38793F8B67}"/>
            </c:ext>
          </c:extLst>
        </c:ser>
        <c:ser>
          <c:idx val="3"/>
          <c:order val="3"/>
          <c:tx>
            <c:strRef>
              <c:f>'43'!$AT$1</c:f>
              <c:strCache>
                <c:ptCount val="1"/>
                <c:pt idx="0">
                  <c:v>mar-25</c:v>
                </c:pt>
              </c:strCache>
            </c:strRef>
          </c:tx>
          <c:spPr>
            <a:ln w="28575" cap="rnd">
              <a:solidFill>
                <a:schemeClr val="accent4"/>
              </a:solidFill>
              <a:round/>
            </a:ln>
            <a:effectLst/>
          </c:spPr>
          <c:marker>
            <c:symbol val="none"/>
          </c:marker>
          <c:cat>
            <c:numRef>
              <c:f>'43'!$G$122:$G$178</c:f>
              <c:numCache>
                <c:formatCode>m/d/yyyy</c:formatCode>
                <c:ptCount val="57"/>
                <c:pt idx="0">
                  <c:v>45131</c:v>
                </c:pt>
                <c:pt idx="1">
                  <c:v>45138</c:v>
                </c:pt>
                <c:pt idx="2">
                  <c:v>45145</c:v>
                </c:pt>
                <c:pt idx="3">
                  <c:v>45152</c:v>
                </c:pt>
                <c:pt idx="4">
                  <c:v>45159</c:v>
                </c:pt>
                <c:pt idx="5">
                  <c:v>45166</c:v>
                </c:pt>
                <c:pt idx="6">
                  <c:v>45173</c:v>
                </c:pt>
                <c:pt idx="7">
                  <c:v>45180</c:v>
                </c:pt>
                <c:pt idx="8">
                  <c:v>45187</c:v>
                </c:pt>
                <c:pt idx="9">
                  <c:v>45194</c:v>
                </c:pt>
                <c:pt idx="10">
                  <c:v>45201</c:v>
                </c:pt>
                <c:pt idx="11">
                  <c:v>45208</c:v>
                </c:pt>
                <c:pt idx="12">
                  <c:v>45215</c:v>
                </c:pt>
                <c:pt idx="13">
                  <c:v>45222</c:v>
                </c:pt>
                <c:pt idx="14">
                  <c:v>45229</c:v>
                </c:pt>
                <c:pt idx="15">
                  <c:v>45236</c:v>
                </c:pt>
                <c:pt idx="16">
                  <c:v>45243</c:v>
                </c:pt>
                <c:pt idx="17">
                  <c:v>45257</c:v>
                </c:pt>
                <c:pt idx="18">
                  <c:v>45264</c:v>
                </c:pt>
                <c:pt idx="19">
                  <c:v>45271</c:v>
                </c:pt>
                <c:pt idx="20">
                  <c:v>45278</c:v>
                </c:pt>
                <c:pt idx="21">
                  <c:v>45286</c:v>
                </c:pt>
                <c:pt idx="22">
                  <c:v>45293</c:v>
                </c:pt>
                <c:pt idx="23">
                  <c:v>45299</c:v>
                </c:pt>
                <c:pt idx="24">
                  <c:v>45306</c:v>
                </c:pt>
                <c:pt idx="25">
                  <c:v>45317</c:v>
                </c:pt>
                <c:pt idx="26">
                  <c:v>45327</c:v>
                </c:pt>
                <c:pt idx="27">
                  <c:v>45334</c:v>
                </c:pt>
                <c:pt idx="28">
                  <c:v>45341</c:v>
                </c:pt>
                <c:pt idx="29">
                  <c:v>45348</c:v>
                </c:pt>
                <c:pt idx="30">
                  <c:v>45355</c:v>
                </c:pt>
                <c:pt idx="31">
                  <c:v>45358</c:v>
                </c:pt>
                <c:pt idx="32">
                  <c:v>45362</c:v>
                </c:pt>
                <c:pt idx="33">
                  <c:v>45371</c:v>
                </c:pt>
                <c:pt idx="34">
                  <c:v>45383</c:v>
                </c:pt>
                <c:pt idx="35">
                  <c:v>45390</c:v>
                </c:pt>
                <c:pt idx="36">
                  <c:v>45398</c:v>
                </c:pt>
                <c:pt idx="37">
                  <c:v>45404</c:v>
                </c:pt>
                <c:pt idx="38">
                  <c:v>45407</c:v>
                </c:pt>
                <c:pt idx="39">
                  <c:v>45411</c:v>
                </c:pt>
                <c:pt idx="40">
                  <c:v>45418</c:v>
                </c:pt>
                <c:pt idx="41">
                  <c:v>45425</c:v>
                </c:pt>
                <c:pt idx="42">
                  <c:v>45436</c:v>
                </c:pt>
                <c:pt idx="43">
                  <c:v>45443</c:v>
                </c:pt>
                <c:pt idx="44">
                  <c:v>45450</c:v>
                </c:pt>
                <c:pt idx="45">
                  <c:v>45457</c:v>
                </c:pt>
                <c:pt idx="46">
                  <c:v>45463</c:v>
                </c:pt>
                <c:pt idx="47">
                  <c:v>45467</c:v>
                </c:pt>
                <c:pt idx="48">
                  <c:v>45474</c:v>
                </c:pt>
                <c:pt idx="49">
                  <c:v>45481</c:v>
                </c:pt>
                <c:pt idx="50">
                  <c:v>45488</c:v>
                </c:pt>
                <c:pt idx="51">
                  <c:v>45495</c:v>
                </c:pt>
                <c:pt idx="52">
                  <c:v>45502</c:v>
                </c:pt>
                <c:pt idx="53">
                  <c:v>45509</c:v>
                </c:pt>
                <c:pt idx="54">
                  <c:v>45516</c:v>
                </c:pt>
                <c:pt idx="55">
                  <c:v>45523</c:v>
                </c:pt>
                <c:pt idx="56">
                  <c:v>45530</c:v>
                </c:pt>
              </c:numCache>
            </c:numRef>
          </c:cat>
          <c:val>
            <c:numRef>
              <c:f>'43'!$AT$122:$AT$178</c:f>
              <c:numCache>
                <c:formatCode>0.00</c:formatCode>
                <c:ptCount val="57"/>
                <c:pt idx="20">
                  <c:v>204.02465999999998</c:v>
                </c:pt>
                <c:pt idx="21">
                  <c:v>204.81201999999999</c:v>
                </c:pt>
                <c:pt idx="22">
                  <c:v>200.48154</c:v>
                </c:pt>
                <c:pt idx="23">
                  <c:v>196.83999999999997</c:v>
                </c:pt>
                <c:pt idx="24">
                  <c:v>193.98581999999999</c:v>
                </c:pt>
                <c:pt idx="25">
                  <c:v>191.91899999999998</c:v>
                </c:pt>
                <c:pt idx="26">
                  <c:v>192.31268</c:v>
                </c:pt>
                <c:pt idx="27">
                  <c:v>189.26165999999998</c:v>
                </c:pt>
                <c:pt idx="28">
                  <c:v>185.22644</c:v>
                </c:pt>
                <c:pt idx="29">
                  <c:v>185.12801999999999</c:v>
                </c:pt>
                <c:pt idx="30">
                  <c:v>187.58851999999999</c:v>
                </c:pt>
                <c:pt idx="31">
                  <c:v>189.55691999999999</c:v>
                </c:pt>
                <c:pt idx="32">
                  <c:v>191.03322</c:v>
                </c:pt>
                <c:pt idx="33">
                  <c:v>192.41109999999998</c:v>
                </c:pt>
                <c:pt idx="34">
                  <c:v>191.82057999999998</c:v>
                </c:pt>
                <c:pt idx="35">
                  <c:v>191.32847999999998</c:v>
                </c:pt>
                <c:pt idx="36">
                  <c:v>189.06482</c:v>
                </c:pt>
                <c:pt idx="37">
                  <c:v>191.03322</c:v>
                </c:pt>
                <c:pt idx="38">
                  <c:v>192.70635999999999</c:v>
                </c:pt>
                <c:pt idx="39">
                  <c:v>191.42689999999999</c:v>
                </c:pt>
                <c:pt idx="40">
                  <c:v>196.83999999999997</c:v>
                </c:pt>
                <c:pt idx="41">
                  <c:v>198.51313999999999</c:v>
                </c:pt>
                <c:pt idx="42">
                  <c:v>196.93841999999998</c:v>
                </c:pt>
                <c:pt idx="43">
                  <c:v>188.76955999999998</c:v>
                </c:pt>
                <c:pt idx="44">
                  <c:v>188.76955999999998</c:v>
                </c:pt>
                <c:pt idx="45">
                  <c:v>189.45849999999999</c:v>
                </c:pt>
                <c:pt idx="46">
                  <c:v>184.0454</c:v>
                </c:pt>
                <c:pt idx="47">
                  <c:v>182.37225999999998</c:v>
                </c:pt>
                <c:pt idx="48">
                  <c:v>171.15237999999999</c:v>
                </c:pt>
                <c:pt idx="49">
                  <c:v>166.32979999999998</c:v>
                </c:pt>
                <c:pt idx="50">
                  <c:v>164.45981999999998</c:v>
                </c:pt>
                <c:pt idx="51">
                  <c:v>168.98713999999998</c:v>
                </c:pt>
                <c:pt idx="52">
                  <c:v>168.10136</c:v>
                </c:pt>
                <c:pt idx="53">
                  <c:v>167.01873999999998</c:v>
                </c:pt>
                <c:pt idx="54">
                  <c:v>164.95192</c:v>
                </c:pt>
                <c:pt idx="55">
                  <c:v>165.05033999999998</c:v>
                </c:pt>
                <c:pt idx="56">
                  <c:v>159.53881999999999</c:v>
                </c:pt>
              </c:numCache>
            </c:numRef>
          </c:val>
          <c:smooth val="0"/>
          <c:extLst>
            <c:ext xmlns:c16="http://schemas.microsoft.com/office/drawing/2014/chart" uri="{C3380CC4-5D6E-409C-BE32-E72D297353CC}">
              <c16:uniqueId val="{00000001-D3C9-4534-94A8-6C38793F8B67}"/>
            </c:ext>
          </c:extLst>
        </c:ser>
        <c:ser>
          <c:idx val="4"/>
          <c:order val="4"/>
          <c:tx>
            <c:strRef>
              <c:f>'43'!$AU$1</c:f>
              <c:strCache>
                <c:ptCount val="1"/>
                <c:pt idx="0">
                  <c:v>may-25</c:v>
                </c:pt>
              </c:strCache>
            </c:strRef>
          </c:tx>
          <c:spPr>
            <a:ln w="28575" cap="rnd">
              <a:solidFill>
                <a:schemeClr val="accent5"/>
              </a:solidFill>
              <a:round/>
            </a:ln>
            <a:effectLst/>
          </c:spPr>
          <c:marker>
            <c:symbol val="none"/>
          </c:marker>
          <c:cat>
            <c:numRef>
              <c:f>'43'!$G$122:$G$178</c:f>
              <c:numCache>
                <c:formatCode>m/d/yyyy</c:formatCode>
                <c:ptCount val="57"/>
                <c:pt idx="0">
                  <c:v>45131</c:v>
                </c:pt>
                <c:pt idx="1">
                  <c:v>45138</c:v>
                </c:pt>
                <c:pt idx="2">
                  <c:v>45145</c:v>
                </c:pt>
                <c:pt idx="3">
                  <c:v>45152</c:v>
                </c:pt>
                <c:pt idx="4">
                  <c:v>45159</c:v>
                </c:pt>
                <c:pt idx="5">
                  <c:v>45166</c:v>
                </c:pt>
                <c:pt idx="6">
                  <c:v>45173</c:v>
                </c:pt>
                <c:pt idx="7">
                  <c:v>45180</c:v>
                </c:pt>
                <c:pt idx="8">
                  <c:v>45187</c:v>
                </c:pt>
                <c:pt idx="9">
                  <c:v>45194</c:v>
                </c:pt>
                <c:pt idx="10">
                  <c:v>45201</c:v>
                </c:pt>
                <c:pt idx="11">
                  <c:v>45208</c:v>
                </c:pt>
                <c:pt idx="12">
                  <c:v>45215</c:v>
                </c:pt>
                <c:pt idx="13">
                  <c:v>45222</c:v>
                </c:pt>
                <c:pt idx="14">
                  <c:v>45229</c:v>
                </c:pt>
                <c:pt idx="15">
                  <c:v>45236</c:v>
                </c:pt>
                <c:pt idx="16">
                  <c:v>45243</c:v>
                </c:pt>
                <c:pt idx="17">
                  <c:v>45257</c:v>
                </c:pt>
                <c:pt idx="18">
                  <c:v>45264</c:v>
                </c:pt>
                <c:pt idx="19">
                  <c:v>45271</c:v>
                </c:pt>
                <c:pt idx="20">
                  <c:v>45278</c:v>
                </c:pt>
                <c:pt idx="21">
                  <c:v>45286</c:v>
                </c:pt>
                <c:pt idx="22">
                  <c:v>45293</c:v>
                </c:pt>
                <c:pt idx="23">
                  <c:v>45299</c:v>
                </c:pt>
                <c:pt idx="24">
                  <c:v>45306</c:v>
                </c:pt>
                <c:pt idx="25">
                  <c:v>45317</c:v>
                </c:pt>
                <c:pt idx="26">
                  <c:v>45327</c:v>
                </c:pt>
                <c:pt idx="27">
                  <c:v>45334</c:v>
                </c:pt>
                <c:pt idx="28">
                  <c:v>45341</c:v>
                </c:pt>
                <c:pt idx="29">
                  <c:v>45348</c:v>
                </c:pt>
                <c:pt idx="30">
                  <c:v>45355</c:v>
                </c:pt>
                <c:pt idx="31">
                  <c:v>45358</c:v>
                </c:pt>
                <c:pt idx="32">
                  <c:v>45362</c:v>
                </c:pt>
                <c:pt idx="33">
                  <c:v>45371</c:v>
                </c:pt>
                <c:pt idx="34">
                  <c:v>45383</c:v>
                </c:pt>
                <c:pt idx="35">
                  <c:v>45390</c:v>
                </c:pt>
                <c:pt idx="36">
                  <c:v>45398</c:v>
                </c:pt>
                <c:pt idx="37">
                  <c:v>45404</c:v>
                </c:pt>
                <c:pt idx="38">
                  <c:v>45407</c:v>
                </c:pt>
                <c:pt idx="39">
                  <c:v>45411</c:v>
                </c:pt>
                <c:pt idx="40">
                  <c:v>45418</c:v>
                </c:pt>
                <c:pt idx="41">
                  <c:v>45425</c:v>
                </c:pt>
                <c:pt idx="42">
                  <c:v>45436</c:v>
                </c:pt>
                <c:pt idx="43">
                  <c:v>45443</c:v>
                </c:pt>
                <c:pt idx="44">
                  <c:v>45450</c:v>
                </c:pt>
                <c:pt idx="45">
                  <c:v>45457</c:v>
                </c:pt>
                <c:pt idx="46">
                  <c:v>45463</c:v>
                </c:pt>
                <c:pt idx="47">
                  <c:v>45467</c:v>
                </c:pt>
                <c:pt idx="48">
                  <c:v>45474</c:v>
                </c:pt>
                <c:pt idx="49">
                  <c:v>45481</c:v>
                </c:pt>
                <c:pt idx="50">
                  <c:v>45488</c:v>
                </c:pt>
                <c:pt idx="51">
                  <c:v>45495</c:v>
                </c:pt>
                <c:pt idx="52">
                  <c:v>45502</c:v>
                </c:pt>
                <c:pt idx="53">
                  <c:v>45509</c:v>
                </c:pt>
                <c:pt idx="54">
                  <c:v>45516</c:v>
                </c:pt>
                <c:pt idx="55">
                  <c:v>45523</c:v>
                </c:pt>
                <c:pt idx="56">
                  <c:v>45530</c:v>
                </c:pt>
              </c:numCache>
            </c:numRef>
          </c:cat>
          <c:val>
            <c:numRef>
              <c:f>'43'!$AU$122:$AU$178</c:f>
              <c:numCache>
                <c:formatCode>General</c:formatCode>
                <c:ptCount val="57"/>
                <c:pt idx="29" formatCode="0.00">
                  <c:v>187.68693999999999</c:v>
                </c:pt>
                <c:pt idx="30" formatCode="0.00">
                  <c:v>190.24585999999999</c:v>
                </c:pt>
                <c:pt idx="31" formatCode="0.00">
                  <c:v>188.86797999999999</c:v>
                </c:pt>
                <c:pt idx="32" formatCode="0.00">
                  <c:v>188.86797999999999</c:v>
                </c:pt>
                <c:pt idx="33" formatCode="0.00">
                  <c:v>195.16685999999999</c:v>
                </c:pt>
                <c:pt idx="34" formatCode="0.00">
                  <c:v>194.18266</c:v>
                </c:pt>
                <c:pt idx="35" formatCode="0.00">
                  <c:v>194.18266</c:v>
                </c:pt>
                <c:pt idx="36" formatCode="0.00">
                  <c:v>192.01741999999999</c:v>
                </c:pt>
                <c:pt idx="37" formatCode="0.00">
                  <c:v>193.98581999999999</c:v>
                </c:pt>
                <c:pt idx="38" formatCode="0.00">
                  <c:v>196.34789999999998</c:v>
                </c:pt>
                <c:pt idx="39" formatCode="0.00">
                  <c:v>194.8716</c:v>
                </c:pt>
                <c:pt idx="40" formatCode="0.00">
                  <c:v>199.79259999999999</c:v>
                </c:pt>
                <c:pt idx="41" formatCode="0.00">
                  <c:v>201.36731999999998</c:v>
                </c:pt>
                <c:pt idx="42" formatCode="0.00">
                  <c:v>199.59575999999998</c:v>
                </c:pt>
                <c:pt idx="43" formatCode="0.00">
                  <c:v>191.72215999999997</c:v>
                </c:pt>
                <c:pt idx="44" formatCode="0.00">
                  <c:v>191.82057999999998</c:v>
                </c:pt>
                <c:pt idx="45" formatCode="0.00">
                  <c:v>192.21426</c:v>
                </c:pt>
                <c:pt idx="46" formatCode="0.00">
                  <c:v>186.99799999999999</c:v>
                </c:pt>
                <c:pt idx="47" formatCode="0.00">
                  <c:v>185.52169999999998</c:v>
                </c:pt>
                <c:pt idx="48" formatCode="0.00">
                  <c:v>174.99075999999999</c:v>
                </c:pt>
                <c:pt idx="49" formatCode="0.00">
                  <c:v>170.66028</c:v>
                </c:pt>
                <c:pt idx="50" formatCode="0.00">
                  <c:v>168.39661999999998</c:v>
                </c:pt>
                <c:pt idx="51" formatCode="0.00">
                  <c:v>173.02235999999999</c:v>
                </c:pt>
                <c:pt idx="52" formatCode="0.00">
                  <c:v>172.13657999999998</c:v>
                </c:pt>
                <c:pt idx="53" formatCode="0.00">
                  <c:v>171.44763999999998</c:v>
                </c:pt>
                <c:pt idx="54" formatCode="0.00">
                  <c:v>169.47923999999998</c:v>
                </c:pt>
                <c:pt idx="55" formatCode="0.00">
                  <c:v>168.98713999999998</c:v>
                </c:pt>
                <c:pt idx="56" formatCode="0.00">
                  <c:v>163.86929999999998</c:v>
                </c:pt>
              </c:numCache>
            </c:numRef>
          </c:val>
          <c:smooth val="0"/>
          <c:extLst>
            <c:ext xmlns:c16="http://schemas.microsoft.com/office/drawing/2014/chart" uri="{C3380CC4-5D6E-409C-BE32-E72D297353CC}">
              <c16:uniqueId val="{00000002-D3C9-4534-94A8-6C38793F8B67}"/>
            </c:ext>
          </c:extLst>
        </c:ser>
        <c:dLbls>
          <c:showLegendKey val="0"/>
          <c:showVal val="0"/>
          <c:showCatName val="0"/>
          <c:showSerName val="0"/>
          <c:showPercent val="0"/>
          <c:showBubbleSize val="0"/>
        </c:dLbls>
        <c:smooth val="0"/>
        <c:axId val="1189118800"/>
        <c:axId val="1271414912"/>
        <c:extLst>
          <c:ext xmlns:c15="http://schemas.microsoft.com/office/drawing/2012/chart" uri="{02D57815-91ED-43cb-92C2-25804820EDAC}">
            <c15:filteredLineSeries>
              <c15:ser>
                <c:idx val="0"/>
                <c:order val="0"/>
                <c:tx>
                  <c:strRef>
                    <c:extLst>
                      <c:ext uri="{02D57815-91ED-43cb-92C2-25804820EDAC}">
                        <c15:formulaRef>
                          <c15:sqref>'43'!$AL$1</c15:sqref>
                        </c15:formulaRef>
                      </c:ext>
                    </c:extLst>
                    <c:strCache>
                      <c:ptCount val="1"/>
                      <c:pt idx="0">
                        <c:v>may-24</c:v>
                      </c:pt>
                    </c:strCache>
                  </c:strRef>
                </c:tx>
                <c:spPr>
                  <a:ln w="28575" cap="rnd">
                    <a:solidFill>
                      <a:schemeClr val="tx2"/>
                    </a:solidFill>
                    <a:round/>
                  </a:ln>
                  <a:effectLst/>
                </c:spPr>
                <c:marker>
                  <c:symbol val="none"/>
                </c:marker>
                <c:cat>
                  <c:numRef>
                    <c:extLst>
                      <c:ext uri="{02D57815-91ED-43cb-92C2-25804820EDAC}">
                        <c15:formulaRef>
                          <c15:sqref>'43'!$G$122:$G$178</c15:sqref>
                        </c15:formulaRef>
                      </c:ext>
                    </c:extLst>
                    <c:numCache>
                      <c:formatCode>m/d/yyyy</c:formatCode>
                      <c:ptCount val="57"/>
                      <c:pt idx="0">
                        <c:v>45131</c:v>
                      </c:pt>
                      <c:pt idx="1">
                        <c:v>45138</c:v>
                      </c:pt>
                      <c:pt idx="2">
                        <c:v>45145</c:v>
                      </c:pt>
                      <c:pt idx="3">
                        <c:v>45152</c:v>
                      </c:pt>
                      <c:pt idx="4">
                        <c:v>45159</c:v>
                      </c:pt>
                      <c:pt idx="5">
                        <c:v>45166</c:v>
                      </c:pt>
                      <c:pt idx="6">
                        <c:v>45173</c:v>
                      </c:pt>
                      <c:pt idx="7">
                        <c:v>45180</c:v>
                      </c:pt>
                      <c:pt idx="8">
                        <c:v>45187</c:v>
                      </c:pt>
                      <c:pt idx="9">
                        <c:v>45194</c:v>
                      </c:pt>
                      <c:pt idx="10">
                        <c:v>45201</c:v>
                      </c:pt>
                      <c:pt idx="11">
                        <c:v>45208</c:v>
                      </c:pt>
                      <c:pt idx="12">
                        <c:v>45215</c:v>
                      </c:pt>
                      <c:pt idx="13">
                        <c:v>45222</c:v>
                      </c:pt>
                      <c:pt idx="14">
                        <c:v>45229</c:v>
                      </c:pt>
                      <c:pt idx="15">
                        <c:v>45236</c:v>
                      </c:pt>
                      <c:pt idx="16">
                        <c:v>45243</c:v>
                      </c:pt>
                      <c:pt idx="17">
                        <c:v>45257</c:v>
                      </c:pt>
                      <c:pt idx="18">
                        <c:v>45264</c:v>
                      </c:pt>
                      <c:pt idx="19">
                        <c:v>45271</c:v>
                      </c:pt>
                      <c:pt idx="20">
                        <c:v>45278</c:v>
                      </c:pt>
                      <c:pt idx="21">
                        <c:v>45286</c:v>
                      </c:pt>
                      <c:pt idx="22">
                        <c:v>45293</c:v>
                      </c:pt>
                      <c:pt idx="23">
                        <c:v>45299</c:v>
                      </c:pt>
                      <c:pt idx="24">
                        <c:v>45306</c:v>
                      </c:pt>
                      <c:pt idx="25">
                        <c:v>45317</c:v>
                      </c:pt>
                      <c:pt idx="26">
                        <c:v>45327</c:v>
                      </c:pt>
                      <c:pt idx="27">
                        <c:v>45334</c:v>
                      </c:pt>
                      <c:pt idx="28">
                        <c:v>45341</c:v>
                      </c:pt>
                      <c:pt idx="29">
                        <c:v>45348</c:v>
                      </c:pt>
                      <c:pt idx="30">
                        <c:v>45355</c:v>
                      </c:pt>
                      <c:pt idx="31">
                        <c:v>45358</c:v>
                      </c:pt>
                      <c:pt idx="32">
                        <c:v>45362</c:v>
                      </c:pt>
                      <c:pt idx="33">
                        <c:v>45371</c:v>
                      </c:pt>
                      <c:pt idx="34">
                        <c:v>45383</c:v>
                      </c:pt>
                      <c:pt idx="35">
                        <c:v>45390</c:v>
                      </c:pt>
                      <c:pt idx="36">
                        <c:v>45398</c:v>
                      </c:pt>
                      <c:pt idx="37">
                        <c:v>45404</c:v>
                      </c:pt>
                      <c:pt idx="38">
                        <c:v>45407</c:v>
                      </c:pt>
                      <c:pt idx="39">
                        <c:v>45411</c:v>
                      </c:pt>
                      <c:pt idx="40">
                        <c:v>45418</c:v>
                      </c:pt>
                      <c:pt idx="41">
                        <c:v>45425</c:v>
                      </c:pt>
                      <c:pt idx="42">
                        <c:v>45436</c:v>
                      </c:pt>
                      <c:pt idx="43">
                        <c:v>45443</c:v>
                      </c:pt>
                      <c:pt idx="44">
                        <c:v>45450</c:v>
                      </c:pt>
                      <c:pt idx="45">
                        <c:v>45457</c:v>
                      </c:pt>
                      <c:pt idx="46">
                        <c:v>45463</c:v>
                      </c:pt>
                      <c:pt idx="47">
                        <c:v>45467</c:v>
                      </c:pt>
                      <c:pt idx="48">
                        <c:v>45474</c:v>
                      </c:pt>
                      <c:pt idx="49">
                        <c:v>45481</c:v>
                      </c:pt>
                      <c:pt idx="50">
                        <c:v>45488</c:v>
                      </c:pt>
                      <c:pt idx="51">
                        <c:v>45495</c:v>
                      </c:pt>
                      <c:pt idx="52">
                        <c:v>45502</c:v>
                      </c:pt>
                      <c:pt idx="53">
                        <c:v>45509</c:v>
                      </c:pt>
                      <c:pt idx="54">
                        <c:v>45516</c:v>
                      </c:pt>
                      <c:pt idx="55">
                        <c:v>45523</c:v>
                      </c:pt>
                      <c:pt idx="56">
                        <c:v>45530</c:v>
                      </c:pt>
                    </c:numCache>
                  </c:numRef>
                </c:cat>
                <c:val>
                  <c:numRef>
                    <c:extLst>
                      <c:ext uri="{02D57815-91ED-43cb-92C2-25804820EDAC}">
                        <c15:formulaRef>
                          <c15:sqref>'43'!$AL$122:$AL$160</c15:sqref>
                        </c15:formulaRef>
                      </c:ext>
                    </c:extLst>
                    <c:numCache>
                      <c:formatCode>0.00</c:formatCode>
                      <c:ptCount val="39"/>
                      <c:pt idx="0">
                        <c:v>229.61385999999999</c:v>
                      </c:pt>
                      <c:pt idx="1">
                        <c:v>209.43776</c:v>
                      </c:pt>
                      <c:pt idx="2">
                        <c:v>203.7294</c:v>
                      </c:pt>
                      <c:pt idx="3">
                        <c:v>200.77679999999998</c:v>
                      </c:pt>
                      <c:pt idx="4">
                        <c:v>198.61156</c:v>
                      </c:pt>
                      <c:pt idx="5">
                        <c:v>204.41834</c:v>
                      </c:pt>
                      <c:pt idx="6">
                        <c:v>198.80839999999998</c:v>
                      </c:pt>
                      <c:pt idx="7">
                        <c:v>200.28469999999999</c:v>
                      </c:pt>
                      <c:pt idx="8">
                        <c:v>194.67475999999999</c:v>
                      </c:pt>
                      <c:pt idx="9">
                        <c:v>198.51313999999999</c:v>
                      </c:pt>
                      <c:pt idx="10">
                        <c:v>201.66257999999999</c:v>
                      </c:pt>
                      <c:pt idx="11">
                        <c:v>201.56415999999999</c:v>
                      </c:pt>
                      <c:pt idx="12">
                        <c:v>201.85942</c:v>
                      </c:pt>
                      <c:pt idx="13">
                        <c:v>201.56415999999999</c:v>
                      </c:pt>
                      <c:pt idx="14">
                        <c:v>197.23367999999999</c:v>
                      </c:pt>
                      <c:pt idx="15">
                        <c:v>197.62735999999998</c:v>
                      </c:pt>
                      <c:pt idx="16">
                        <c:v>197.62735999999998</c:v>
                      </c:pt>
                      <c:pt idx="17">
                        <c:v>191.62374</c:v>
                      </c:pt>
                      <c:pt idx="18">
                        <c:v>195.65895999999998</c:v>
                      </c:pt>
                      <c:pt idx="19">
                        <c:v>194.47791999999998</c:v>
                      </c:pt>
                      <c:pt idx="20">
                        <c:v>192.70635999999999</c:v>
                      </c:pt>
                      <c:pt idx="21">
                        <c:v>193.78897999999998</c:v>
                      </c:pt>
                      <c:pt idx="22">
                        <c:v>187.78536</c:v>
                      </c:pt>
                      <c:pt idx="23">
                        <c:v>184.0454</c:v>
                      </c:pt>
                      <c:pt idx="24">
                        <c:v>180.69911999999999</c:v>
                      </c:pt>
                      <c:pt idx="25">
                        <c:v>179.41965999999999</c:v>
                      </c:pt>
                      <c:pt idx="26">
                        <c:v>178.43545999999998</c:v>
                      </c:pt>
                      <c:pt idx="27">
                        <c:v>174.20339999999999</c:v>
                      </c:pt>
                      <c:pt idx="28">
                        <c:v>169.08555999999999</c:v>
                      </c:pt>
                      <c:pt idx="29">
                        <c:v>165.93611999999999</c:v>
                      </c:pt>
                      <c:pt idx="30">
                        <c:v>169.2824</c:v>
                      </c:pt>
                      <c:pt idx="31">
                        <c:v>172.43183999999999</c:v>
                      </c:pt>
                      <c:pt idx="32">
                        <c:v>173.90813999999997</c:v>
                      </c:pt>
                      <c:pt idx="33">
                        <c:v>172.82551999999998</c:v>
                      </c:pt>
                      <c:pt idx="34">
                        <c:v>171.44763999999998</c:v>
                      </c:pt>
                      <c:pt idx="35">
                        <c:v>171.44763999999998</c:v>
                      </c:pt>
                      <c:pt idx="36">
                        <c:v>169.67607999999998</c:v>
                      </c:pt>
                      <c:pt idx="37">
                        <c:v>173.12078</c:v>
                      </c:pt>
                      <c:pt idx="38">
                        <c:v>173.61287999999999</c:v>
                      </c:pt>
                    </c:numCache>
                  </c:numRef>
                </c:val>
                <c:smooth val="0"/>
                <c:extLst>
                  <c:ext xmlns:c16="http://schemas.microsoft.com/office/drawing/2014/chart" uri="{C3380CC4-5D6E-409C-BE32-E72D297353CC}">
                    <c16:uniqueId val="{00000003-D3C9-4534-94A8-6C38793F8B6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'43'!$AP$1</c15:sqref>
                        </c15:formulaRef>
                      </c:ext>
                    </c:extLst>
                    <c:strCache>
                      <c:ptCount val="1"/>
                      <c:pt idx="0">
                        <c:v>sept-24</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'43'!$G$122:$G$178</c15:sqref>
                        </c15:formulaRef>
                      </c:ext>
                    </c:extLst>
                    <c:numCache>
                      <c:formatCode>m/d/yyyy</c:formatCode>
                      <c:ptCount val="57"/>
                      <c:pt idx="0">
                        <c:v>45131</c:v>
                      </c:pt>
                      <c:pt idx="1">
                        <c:v>45138</c:v>
                      </c:pt>
                      <c:pt idx="2">
                        <c:v>45145</c:v>
                      </c:pt>
                      <c:pt idx="3">
                        <c:v>45152</c:v>
                      </c:pt>
                      <c:pt idx="4">
                        <c:v>45159</c:v>
                      </c:pt>
                      <c:pt idx="5">
                        <c:v>45166</c:v>
                      </c:pt>
                      <c:pt idx="6">
                        <c:v>45173</c:v>
                      </c:pt>
                      <c:pt idx="7">
                        <c:v>45180</c:v>
                      </c:pt>
                      <c:pt idx="8">
                        <c:v>45187</c:v>
                      </c:pt>
                      <c:pt idx="9">
                        <c:v>45194</c:v>
                      </c:pt>
                      <c:pt idx="10">
                        <c:v>45201</c:v>
                      </c:pt>
                      <c:pt idx="11">
                        <c:v>45208</c:v>
                      </c:pt>
                      <c:pt idx="12">
                        <c:v>45215</c:v>
                      </c:pt>
                      <c:pt idx="13">
                        <c:v>45222</c:v>
                      </c:pt>
                      <c:pt idx="14">
                        <c:v>45229</c:v>
                      </c:pt>
                      <c:pt idx="15">
                        <c:v>45236</c:v>
                      </c:pt>
                      <c:pt idx="16">
                        <c:v>45243</c:v>
                      </c:pt>
                      <c:pt idx="17">
                        <c:v>45257</c:v>
                      </c:pt>
                      <c:pt idx="18">
                        <c:v>45264</c:v>
                      </c:pt>
                      <c:pt idx="19">
                        <c:v>45271</c:v>
                      </c:pt>
                      <c:pt idx="20">
                        <c:v>45278</c:v>
                      </c:pt>
                      <c:pt idx="21">
                        <c:v>45286</c:v>
                      </c:pt>
                      <c:pt idx="22">
                        <c:v>45293</c:v>
                      </c:pt>
                      <c:pt idx="23">
                        <c:v>45299</c:v>
                      </c:pt>
                      <c:pt idx="24">
                        <c:v>45306</c:v>
                      </c:pt>
                      <c:pt idx="25">
                        <c:v>45317</c:v>
                      </c:pt>
                      <c:pt idx="26">
                        <c:v>45327</c:v>
                      </c:pt>
                      <c:pt idx="27">
                        <c:v>45334</c:v>
                      </c:pt>
                      <c:pt idx="28">
                        <c:v>45341</c:v>
                      </c:pt>
                      <c:pt idx="29">
                        <c:v>45348</c:v>
                      </c:pt>
                      <c:pt idx="30">
                        <c:v>45355</c:v>
                      </c:pt>
                      <c:pt idx="31">
                        <c:v>45358</c:v>
                      </c:pt>
                      <c:pt idx="32">
                        <c:v>45362</c:v>
                      </c:pt>
                      <c:pt idx="33">
                        <c:v>45371</c:v>
                      </c:pt>
                      <c:pt idx="34">
                        <c:v>45383</c:v>
                      </c:pt>
                      <c:pt idx="35">
                        <c:v>45390</c:v>
                      </c:pt>
                      <c:pt idx="36">
                        <c:v>45398</c:v>
                      </c:pt>
                      <c:pt idx="37">
                        <c:v>45404</c:v>
                      </c:pt>
                      <c:pt idx="38">
                        <c:v>45407</c:v>
                      </c:pt>
                      <c:pt idx="39">
                        <c:v>45411</c:v>
                      </c:pt>
                      <c:pt idx="40">
                        <c:v>45418</c:v>
                      </c:pt>
                      <c:pt idx="41">
                        <c:v>45425</c:v>
                      </c:pt>
                      <c:pt idx="42">
                        <c:v>45436</c:v>
                      </c:pt>
                      <c:pt idx="43">
                        <c:v>45443</c:v>
                      </c:pt>
                      <c:pt idx="44">
                        <c:v>45450</c:v>
                      </c:pt>
                      <c:pt idx="45">
                        <c:v>45457</c:v>
                      </c:pt>
                      <c:pt idx="46">
                        <c:v>45463</c:v>
                      </c:pt>
                      <c:pt idx="47">
                        <c:v>45467</c:v>
                      </c:pt>
                      <c:pt idx="48">
                        <c:v>45474</c:v>
                      </c:pt>
                      <c:pt idx="49">
                        <c:v>45481</c:v>
                      </c:pt>
                      <c:pt idx="50">
                        <c:v>45488</c:v>
                      </c:pt>
                      <c:pt idx="51">
                        <c:v>45495</c:v>
                      </c:pt>
                      <c:pt idx="52">
                        <c:v>45502</c:v>
                      </c:pt>
                      <c:pt idx="53">
                        <c:v>45509</c:v>
                      </c:pt>
                      <c:pt idx="54">
                        <c:v>45516</c:v>
                      </c:pt>
                      <c:pt idx="55">
                        <c:v>45523</c:v>
                      </c:pt>
                      <c:pt idx="56">
                        <c:v>45530</c:v>
                      </c:pt>
                    </c:numCache>
                  </c:numRef>
                </c:cat>
                <c:val>
                  <c:numRef>
                    <c:extLst xmlns:c15="http://schemas.microsoft.com/office/drawing/2012/chart">
                      <c:ext xmlns:c15="http://schemas.microsoft.com/office/drawing/2012/chart" uri="{02D57815-91ED-43cb-92C2-25804820EDAC}">
                        <c15:formulaRef>
                          <c15:sqref>'43'!$AP$122:$AP$153</c15:sqref>
                        </c15:formulaRef>
                      </c:ext>
                    </c:extLst>
                    <c:numCache>
                      <c:formatCode>0.00</c:formatCode>
                      <c:ptCount val="32"/>
                      <c:pt idx="0">
                        <c:v>217.40977999999998</c:v>
                      </c:pt>
                      <c:pt idx="1">
                        <c:v>204.61517999999998</c:v>
                      </c:pt>
                      <c:pt idx="2">
                        <c:v>202.54835999999997</c:v>
                      </c:pt>
                      <c:pt idx="3">
                        <c:v>200.28469999999999</c:v>
                      </c:pt>
                      <c:pt idx="4">
                        <c:v>198.21787999999998</c:v>
                      </c:pt>
                      <c:pt idx="5">
                        <c:v>202.35151999999999</c:v>
                      </c:pt>
                      <c:pt idx="6">
                        <c:v>198.90681999999998</c:v>
                      </c:pt>
                      <c:pt idx="7">
                        <c:v>200.28469999999999</c:v>
                      </c:pt>
                      <c:pt idx="8">
                        <c:v>196.44631999999999</c:v>
                      </c:pt>
                      <c:pt idx="9">
                        <c:v>199.20208</c:v>
                      </c:pt>
                      <c:pt idx="10">
                        <c:v>202.35151999999999</c:v>
                      </c:pt>
                      <c:pt idx="11">
                        <c:v>201.95783999999998</c:v>
                      </c:pt>
                      <c:pt idx="12">
                        <c:v>202.44994</c:v>
                      </c:pt>
                      <c:pt idx="13">
                        <c:v>202.54835999999997</c:v>
                      </c:pt>
                      <c:pt idx="14">
                        <c:v>199.69417999999999</c:v>
                      </c:pt>
                      <c:pt idx="15">
                        <c:v>201.85942</c:v>
                      </c:pt>
                      <c:pt idx="16">
                        <c:v>201.46573999999998</c:v>
                      </c:pt>
                      <c:pt idx="17">
                        <c:v>196.15106</c:v>
                      </c:pt>
                      <c:pt idx="18">
                        <c:v>199.79259999999999</c:v>
                      </c:pt>
                      <c:pt idx="19">
                        <c:v>198.70997999999997</c:v>
                      </c:pt>
                      <c:pt idx="20">
                        <c:v>197.43052</c:v>
                      </c:pt>
                      <c:pt idx="21">
                        <c:v>198.21787999999998</c:v>
                      </c:pt>
                      <c:pt idx="22">
                        <c:v>193.49372</c:v>
                      </c:pt>
                      <c:pt idx="23">
                        <c:v>189.75376</c:v>
                      </c:pt>
                      <c:pt idx="24">
                        <c:v>186.70273999999998</c:v>
                      </c:pt>
                      <c:pt idx="25">
                        <c:v>184.43907999999999</c:v>
                      </c:pt>
                      <c:pt idx="26">
                        <c:v>184.43907999999999</c:v>
                      </c:pt>
                      <c:pt idx="27">
                        <c:v>180.60069999999999</c:v>
                      </c:pt>
                      <c:pt idx="28">
                        <c:v>175.97495999999998</c:v>
                      </c:pt>
                      <c:pt idx="29">
                        <c:v>174.49866</c:v>
                      </c:pt>
                      <c:pt idx="30">
                        <c:v>177.25441999999998</c:v>
                      </c:pt>
                      <c:pt idx="31">
                        <c:v>179.71491999999998</c:v>
                      </c:pt>
                    </c:numCache>
                  </c:numRef>
                </c:val>
                <c:smooth val="0"/>
                <c:extLst xmlns:c15="http://schemas.microsoft.com/office/drawing/2012/chart">
                  <c:ext xmlns:c16="http://schemas.microsoft.com/office/drawing/2014/chart" uri="{C3380CC4-5D6E-409C-BE32-E72D297353CC}">
                    <c16:uniqueId val="{00000004-D3C9-4534-94A8-6C38793F8B67}"/>
                  </c:ext>
                </c:extLst>
              </c15:ser>
            </c15:filteredLineSeries>
          </c:ext>
        </c:extLst>
      </c:lineChart>
      <c:dateAx>
        <c:axId val="118911880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4080000" spcFirstLastPara="1" vertOverflow="ellipsis" wrap="square" anchor="ctr" anchorCtr="1"/>
          <a:lstStyle/>
          <a:p>
            <a:pPr>
              <a:defRPr sz="800" b="0" i="0" u="none" strike="noStrike" kern="1200" baseline="0">
                <a:solidFill>
                  <a:sysClr val="windowText" lastClr="000000"/>
                </a:solidFill>
                <a:latin typeface="+mj-lt"/>
                <a:ea typeface="+mn-ea"/>
                <a:cs typeface="+mn-cs"/>
              </a:defRPr>
            </a:pPr>
            <a:endParaRPr lang="es-CL"/>
          </a:p>
        </c:txPr>
        <c:crossAx val="1271414912"/>
        <c:crosses val="autoZero"/>
        <c:auto val="0"/>
        <c:lblOffset val="100"/>
        <c:baseTimeUnit val="days"/>
        <c:majorUnit val="15"/>
        <c:majorTimeUnit val="days"/>
      </c:dateAx>
      <c:valAx>
        <c:axId val="1271414912"/>
        <c:scaling>
          <c:orientation val="minMax"/>
          <c:max val="240"/>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r>
                  <a:rPr lang="en-US"/>
                  <a:t>USD/ton</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s-CL"/>
          </a:p>
        </c:txPr>
        <c:crossAx val="1189118800"/>
        <c:crossesAt val="44046"/>
        <c:crossBetween val="between"/>
      </c:valAx>
      <c:spPr>
        <a:noFill/>
        <a:ln>
          <a:noFill/>
        </a:ln>
        <a:effectLst/>
      </c:spPr>
    </c:plotArea>
    <c:legend>
      <c:legendPos val="r"/>
      <c:layout>
        <c:manualLayout>
          <c:xMode val="edge"/>
          <c:yMode val="edge"/>
          <c:x val="9.1096769536752303E-2"/>
          <c:y val="0.89598727877923368"/>
          <c:w val="0.90535692463157658"/>
          <c:h val="7.4986579694899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mj-lt"/>
        </a:defRPr>
      </a:pPr>
      <a:endParaRPr lang="es-CL"/>
    </a:p>
  </c:txPr>
  <c:printSettings>
    <c:headerFooter/>
    <c:pageMargins b="0.74803149606299213" l="0.70866141732283472" r="0.70866141732283472" t="0.74803149606299213" header="0.31496062992125984" footer="0.31496062992125984"/>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2024/2025</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'44'!$D$5</c:f>
              <c:strCache>
                <c:ptCount val="1"/>
                <c:pt idx="0">
                  <c:v>Producción</c:v>
                </c:pt>
              </c:strCache>
            </c:strRef>
          </c:tx>
          <c:spPr>
            <a:solidFill>
              <a:srgbClr val="FF3300"/>
            </a:solidFill>
          </c:spPr>
          <c:invertIfNegative val="0"/>
          <c:cat>
            <c:numRef>
              <c:f>'44'!$B$6:$B$17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'44'!$D$6:$D$17</c:f>
              <c:numCache>
                <c:formatCode>0.0</c:formatCode>
                <c:ptCount val="12"/>
                <c:pt idx="0">
                  <c:v>527.61</c:v>
                </c:pt>
                <c:pt idx="1">
                  <c:v>527.61</c:v>
                </c:pt>
                <c:pt idx="2">
                  <c:v>528.16999999999996</c:v>
                </c:pt>
                <c:pt idx="3">
                  <c:v>527.71</c:v>
                </c:pt>
              </c:numCache>
            </c:numRef>
          </c:val>
          <c:extLst>
            <c:ext xmlns:c16="http://schemas.microsoft.com/office/drawing/2014/chart" uri="{C3380CC4-5D6E-409C-BE32-E72D297353CC}">
              <c16:uniqueId val="{00000000-E6E3-47D6-80A2-CAE54C8B1271}"/>
            </c:ext>
          </c:extLst>
        </c:ser>
        <c:ser>
          <c:idx val="0"/>
          <c:order val="1"/>
          <c:tx>
            <c:strRef>
              <c:f>'44'!$E$5</c:f>
              <c:strCache>
                <c:ptCount val="1"/>
                <c:pt idx="0">
                  <c:v>Demanda</c:v>
                </c:pt>
              </c:strCache>
            </c:strRef>
          </c:tx>
          <c:spPr>
            <a:ln>
              <a:prstDash val="sysDash"/>
            </a:ln>
          </c:spPr>
          <c:invertIfNegative val="0"/>
          <c:cat>
            <c:numRef>
              <c:f>'44'!$B$6:$B$17</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'44'!$E$6:$E$17</c:f>
              <c:numCache>
                <c:formatCode>0.0</c:formatCode>
                <c:ptCount val="12"/>
                <c:pt idx="0">
                  <c:v>526.4</c:v>
                </c:pt>
                <c:pt idx="1">
                  <c:v>526.4</c:v>
                </c:pt>
                <c:pt idx="2">
                  <c:v>527.27</c:v>
                </c:pt>
                <c:pt idx="3">
                  <c:v>526.96</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946640384"/>
        <c:axId val="943838272"/>
      </c:barChart>
      <c:dateAx>
        <c:axId val="94664038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3838272"/>
        <c:crosses val="autoZero"/>
        <c:auto val="1"/>
        <c:lblOffset val="100"/>
        <c:baseTimeUnit val="months"/>
        <c:majorUnit val="1"/>
      </c:dateAx>
      <c:valAx>
        <c:axId val="943838272"/>
        <c:scaling>
          <c:orientation val="minMax"/>
          <c:min val="200"/>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640384"/>
        <c:crosses val="autoZero"/>
        <c:crossBetween val="between"/>
      </c:valAx>
    </c:plotArea>
    <c:legend>
      <c:legendPos val="r"/>
      <c:layout>
        <c:manualLayout>
          <c:xMode val="edge"/>
          <c:yMode val="edge"/>
          <c:x val="0.32216781718930743"/>
          <c:y val="0.82341670245861076"/>
          <c:w val="0.24927924825723313"/>
          <c:h val="6.557618002667697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Agosto 2024 (millones de toneladas)</a:t>
            </a:r>
          </a:p>
        </c:rich>
      </c:tx>
      <c:layout>
        <c:manualLayout>
          <c:xMode val="edge"/>
          <c:yMode val="edge"/>
          <c:x val="0.18641700102171702"/>
          <c:y val="3.4871918716772192E-2"/>
        </c:manualLayout>
      </c:layout>
      <c:overlay val="0"/>
    </c:title>
    <c:autoTitleDeleted val="0"/>
    <c:plotArea>
      <c:layout>
        <c:manualLayout>
          <c:layoutTarget val="inner"/>
          <c:xMode val="edge"/>
          <c:yMode val="edge"/>
          <c:x val="0.10638999103558483"/>
          <c:y val="0.19577666428060128"/>
          <c:w val="0.79658494757765896"/>
          <c:h val="0.49224229833045735"/>
        </c:manualLayout>
      </c:layout>
      <c:lineChart>
        <c:grouping val="standard"/>
        <c:varyColors val="0"/>
        <c:ser>
          <c:idx val="1"/>
          <c:order val="0"/>
          <c:tx>
            <c:strRef>
              <c:f>'45'!$D$5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2238612582E-2"/>
                  <c:y val="-3.8318244978735982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267088977E-2"/>
                  <c:y val="-5.4250424579280566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3.6010452542914288E-2"/>
                  <c:y val="3.2278935280380956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dLbl>
              <c:idx val="8"/>
              <c:layout>
                <c:manualLayout>
                  <c:x val="-1.5309791986104226E-2"/>
                  <c:y val="3.2577945694007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CAF-B0DF-6A88CD3E349B}"/>
                </c:ext>
              </c:extLst>
            </c:dLbl>
            <c:dLbl>
              <c:idx val="9"/>
              <c:layout>
                <c:manualLayout>
                  <c:x val="-9.8998542500213053E-3"/>
                  <c:y val="2.2224783308362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1A-4206-82A7-48DD457D717E}"/>
                </c:ext>
              </c:extLst>
            </c:dLbl>
            <c:dLbl>
              <c:idx val="10"/>
              <c:layout>
                <c:manualLayout>
                  <c:x val="-1.7840246910265898E-2"/>
                  <c:y val="1.5874845220259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BF-408E-9E73-1C8C1DB918AC}"/>
                </c:ext>
              </c:extLst>
            </c:dLbl>
            <c:dLbl>
              <c:idx val="11"/>
              <c:layout>
                <c:manualLayout>
                  <c:x val="-2.7042357241823852E-2"/>
                  <c:y val="-2.4343979054867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44-485F-9829-570D02077898}"/>
                </c:ext>
              </c:extLst>
            </c:dLbl>
            <c:numFmt formatCode="#,##0" sourceLinked="0"/>
            <c:spPr>
              <a:ln w="19050">
                <a:solidFill>
                  <a:srgbClr val="C00000"/>
                </a:solid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'45'!$B$6:$B$17</c:f>
              <c:strCache>
                <c:ptCount val="12"/>
                <c:pt idx="0">
                  <c:v>2013/14</c:v>
                </c:pt>
                <c:pt idx="1">
                  <c:v>2014/15 </c:v>
                </c:pt>
                <c:pt idx="2">
                  <c:v>2015/16 </c:v>
                </c:pt>
                <c:pt idx="3">
                  <c:v>2016/17 </c:v>
                </c:pt>
                <c:pt idx="4">
                  <c:v>2017/18 </c:v>
                </c:pt>
                <c:pt idx="5">
                  <c:v>2018/19 </c:v>
                </c:pt>
                <c:pt idx="6">
                  <c:v>2019/20 </c:v>
                </c:pt>
                <c:pt idx="7">
                  <c:v>2020/21</c:v>
                </c:pt>
                <c:pt idx="8">
                  <c:v>2021/22 </c:v>
                </c:pt>
                <c:pt idx="9">
                  <c:v>2022/23</c:v>
                </c:pt>
                <c:pt idx="10">
                  <c:v>2023/24 estimado</c:v>
                </c:pt>
                <c:pt idx="11">
                  <c:v>2024/25 proyectado</c:v>
                </c:pt>
              </c:strCache>
            </c:strRef>
          </c:cat>
          <c:val>
            <c:numRef>
              <c:f>'45'!$D$6:$D$17</c:f>
              <c:numCache>
                <c:formatCode>0</c:formatCode>
                <c:ptCount val="12"/>
                <c:pt idx="0">
                  <c:v>478.42</c:v>
                </c:pt>
                <c:pt idx="1">
                  <c:v>478.7</c:v>
                </c:pt>
                <c:pt idx="2">
                  <c:v>472.94</c:v>
                </c:pt>
                <c:pt idx="3">
                  <c:v>490.95</c:v>
                </c:pt>
                <c:pt idx="4">
                  <c:v>494.92</c:v>
                </c:pt>
                <c:pt idx="5">
                  <c:v>497.34</c:v>
                </c:pt>
                <c:pt idx="6">
                  <c:v>498.82</c:v>
                </c:pt>
                <c:pt idx="7">
                  <c:v>509.32</c:v>
                </c:pt>
                <c:pt idx="8">
                  <c:v>513.1</c:v>
                </c:pt>
                <c:pt idx="9">
                  <c:v>516.03</c:v>
                </c:pt>
                <c:pt idx="10">
                  <c:v>520.41999999999996</c:v>
                </c:pt>
                <c:pt idx="11">
                  <c:v>527.71</c:v>
                </c:pt>
              </c:numCache>
            </c:numRef>
          </c:val>
          <c:smooth val="0"/>
          <c:extLst>
            <c:ext xmlns:c16="http://schemas.microsoft.com/office/drawing/2014/chart" uri="{C3380CC4-5D6E-409C-BE32-E72D297353CC}">
              <c16:uniqueId val="{00000008-BF7D-4411-ACBF-0A43B9DA3832}"/>
            </c:ext>
          </c:extLst>
        </c:ser>
        <c:ser>
          <c:idx val="0"/>
          <c:order val="1"/>
          <c:tx>
            <c:strRef>
              <c:f>'45'!$E$5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5.5491908519334429E-2"/>
                  <c:y val="4.3848822473980822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5.3510127110588654E-2"/>
                  <c:y val="5.5413709716330146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4.7039408684001624E-2"/>
                  <c:y val="8.8336638717772448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5.2133634219060754E-2"/>
                  <c:y val="5.2671736450569488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4597864157E-2"/>
                  <c:y val="5.1706036745406823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3.7678976072841902E-2"/>
                  <c:y val="6.0115413874714724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498392816951E-2"/>
                  <c:y val="7.9234977458969832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dLbl>
              <c:idx val="8"/>
              <c:layout>
                <c:manualLayout>
                  <c:x val="-1.6877677991568769E-2"/>
                  <c:y val="-2.188284311994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CAF-B0DF-6A88CD3E349B}"/>
                </c:ext>
              </c:extLst>
            </c:dLbl>
            <c:dLbl>
              <c:idx val="9"/>
              <c:layout>
                <c:manualLayout>
                  <c:x val="-9.8998324044121972E-3"/>
                  <c:y val="-3.9309315351033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1A-4206-82A7-48DD457D717E}"/>
                </c:ext>
              </c:extLst>
            </c:dLbl>
            <c:dLbl>
              <c:idx val="10"/>
              <c:layout>
                <c:manualLayout>
                  <c:x val="-1.7840246910265898E-2"/>
                  <c:y val="-3.8099628528621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BF-408E-9E73-1C8C1DB918AC}"/>
                </c:ext>
              </c:extLst>
            </c:dLbl>
            <c:dLbl>
              <c:idx val="11"/>
              <c:layout>
                <c:manualLayout>
                  <c:x val="-2.912253856811783E-2"/>
                  <c:y val="3.4777112935525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4-485F-9829-570D02077898}"/>
                </c:ext>
              </c:extLst>
            </c:dLbl>
            <c:numFmt formatCode="#,##0" sourceLinked="0"/>
            <c:spPr>
              <a:ln w="25400">
                <a:solidFill>
                  <a:schemeClr val="accent1"/>
                </a:solidFill>
                <a:prstDash val="sysDash"/>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'45'!$B$6:$B$17</c:f>
              <c:strCache>
                <c:ptCount val="12"/>
                <c:pt idx="0">
                  <c:v>2013/14</c:v>
                </c:pt>
                <c:pt idx="1">
                  <c:v>2014/15 </c:v>
                </c:pt>
                <c:pt idx="2">
                  <c:v>2015/16 </c:v>
                </c:pt>
                <c:pt idx="3">
                  <c:v>2016/17 </c:v>
                </c:pt>
                <c:pt idx="4">
                  <c:v>2017/18 </c:v>
                </c:pt>
                <c:pt idx="5">
                  <c:v>2018/19 </c:v>
                </c:pt>
                <c:pt idx="6">
                  <c:v>2019/20 </c:v>
                </c:pt>
                <c:pt idx="7">
                  <c:v>2020/21</c:v>
                </c:pt>
                <c:pt idx="8">
                  <c:v>2021/22 </c:v>
                </c:pt>
                <c:pt idx="9">
                  <c:v>2022/23</c:v>
                </c:pt>
                <c:pt idx="10">
                  <c:v>2023/24 estimado</c:v>
                </c:pt>
                <c:pt idx="11">
                  <c:v>2024/25 proyectado</c:v>
                </c:pt>
              </c:strCache>
            </c:strRef>
          </c:cat>
          <c:val>
            <c:numRef>
              <c:f>'45'!$E$6:$E$17</c:f>
              <c:numCache>
                <c:formatCode>0</c:formatCode>
                <c:ptCount val="12"/>
                <c:pt idx="0">
                  <c:v>481.56</c:v>
                </c:pt>
                <c:pt idx="1">
                  <c:v>478.09</c:v>
                </c:pt>
                <c:pt idx="2">
                  <c:v>468.09</c:v>
                </c:pt>
                <c:pt idx="3">
                  <c:v>483.69</c:v>
                </c:pt>
                <c:pt idx="4">
                  <c:v>482.28</c:v>
                </c:pt>
                <c:pt idx="5">
                  <c:v>484.59</c:v>
                </c:pt>
                <c:pt idx="6">
                  <c:v>493.74</c:v>
                </c:pt>
                <c:pt idx="7">
                  <c:v>503.65</c:v>
                </c:pt>
                <c:pt idx="8">
                  <c:v>517.63</c:v>
                </c:pt>
                <c:pt idx="9">
                  <c:v>519.99</c:v>
                </c:pt>
                <c:pt idx="10">
                  <c:v>523.45000000000005</c:v>
                </c:pt>
                <c:pt idx="11">
                  <c:v>526.96</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947390976"/>
        <c:axId val="943840576"/>
      </c:lineChart>
      <c:lineChart>
        <c:grouping val="stacked"/>
        <c:varyColors val="0"/>
        <c:ser>
          <c:idx val="2"/>
          <c:order val="2"/>
          <c:tx>
            <c:strRef>
              <c:f>'45'!$G$5</c:f>
              <c:strCache>
                <c:ptCount val="1"/>
                <c:pt idx="0">
                  <c:v>Relación stock final/consumo</c:v>
                </c:pt>
              </c:strCache>
            </c:strRef>
          </c:tx>
          <c:spPr>
            <a:ln w="38100">
              <a:prstDash val="dash"/>
            </a:ln>
          </c:spPr>
          <c:marker>
            <c:symbol val="none"/>
          </c:marker>
          <c:cat>
            <c:strRef>
              <c:f>'45'!$B$6:$B$17</c:f>
              <c:strCache>
                <c:ptCount val="12"/>
                <c:pt idx="0">
                  <c:v>2013/14</c:v>
                </c:pt>
                <c:pt idx="1">
                  <c:v>2014/15 </c:v>
                </c:pt>
                <c:pt idx="2">
                  <c:v>2015/16 </c:v>
                </c:pt>
                <c:pt idx="3">
                  <c:v>2016/17 </c:v>
                </c:pt>
                <c:pt idx="4">
                  <c:v>2017/18 </c:v>
                </c:pt>
                <c:pt idx="5">
                  <c:v>2018/19 </c:v>
                </c:pt>
                <c:pt idx="6">
                  <c:v>2019/20 </c:v>
                </c:pt>
                <c:pt idx="7">
                  <c:v>2020/21</c:v>
                </c:pt>
                <c:pt idx="8">
                  <c:v>2021/22 </c:v>
                </c:pt>
                <c:pt idx="9">
                  <c:v>2022/23</c:v>
                </c:pt>
                <c:pt idx="10">
                  <c:v>2023/24 estimado</c:v>
                </c:pt>
                <c:pt idx="11">
                  <c:v>2024/25 proyectado</c:v>
                </c:pt>
              </c:strCache>
            </c:strRef>
          </c:cat>
          <c:val>
            <c:numRef>
              <c:f>'45'!$G$6:$G$17</c:f>
              <c:numCache>
                <c:formatCode>0.0%</c:formatCode>
                <c:ptCount val="12"/>
                <c:pt idx="0">
                  <c:v>0.22319129495805301</c:v>
                </c:pt>
                <c:pt idx="1">
                  <c:v>0.23922274048819261</c:v>
                </c:pt>
                <c:pt idx="2">
                  <c:v>0.28357794441239936</c:v>
                </c:pt>
                <c:pt idx="3">
                  <c:v>0.30988856498997291</c:v>
                </c:pt>
                <c:pt idx="4">
                  <c:v>0.33700340051422412</c:v>
                </c:pt>
                <c:pt idx="5">
                  <c:v>0.36420479167956421</c:v>
                </c:pt>
                <c:pt idx="6">
                  <c:v>0.36808846761453395</c:v>
                </c:pt>
                <c:pt idx="7">
                  <c:v>0.37190509282239653</c:v>
                </c:pt>
                <c:pt idx="8">
                  <c:v>0.35390143538821167</c:v>
                </c:pt>
                <c:pt idx="9">
                  <c:v>0.34562203119290758</c:v>
                </c:pt>
                <c:pt idx="10">
                  <c:v>0.33754895405482849</c:v>
                </c:pt>
                <c:pt idx="11">
                  <c:v>0.33670487323516013</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946896896"/>
        <c:axId val="947331072"/>
      </c:lineChart>
      <c:dateAx>
        <c:axId val="947390976"/>
        <c:scaling>
          <c:orientation val="minMax"/>
        </c:scaling>
        <c:delete val="0"/>
        <c:axPos val="b"/>
        <c:numFmt formatCode="General" sourceLinked="0"/>
        <c:majorTickMark val="none"/>
        <c:minorTickMark val="none"/>
        <c:tickLblPos val="nextTo"/>
        <c:txPr>
          <a:bodyPr rot="-1140000" vert="horz"/>
          <a:lstStyle/>
          <a:p>
            <a:pPr>
              <a:defRPr sz="850" b="0" i="0" u="none" strike="noStrike" baseline="0">
                <a:solidFill>
                  <a:srgbClr val="000000"/>
                </a:solidFill>
                <a:latin typeface="Arial"/>
                <a:ea typeface="Arial"/>
                <a:cs typeface="Arial"/>
              </a:defRPr>
            </a:pPr>
            <a:endParaRPr lang="es-CL"/>
          </a:p>
        </c:txPr>
        <c:crossAx val="943840576"/>
        <c:crossesAt val="430"/>
        <c:auto val="0"/>
        <c:lblOffset val="100"/>
        <c:baseTimeUnit val="days"/>
        <c:majorUnit val="1"/>
      </c:dateAx>
      <c:valAx>
        <c:axId val="943840576"/>
        <c:scaling>
          <c:orientation val="minMax"/>
          <c:max val="540"/>
          <c:min val="430"/>
        </c:scaling>
        <c:delete val="0"/>
        <c:axPos val="l"/>
        <c:title>
          <c:tx>
            <c:rich>
              <a:bodyPr/>
              <a:lstStyle/>
              <a:p>
                <a:pPr>
                  <a:defRPr/>
                </a:pPr>
                <a:r>
                  <a:rPr lang="en-US"/>
                  <a:t>millones de toneladas</a:t>
                </a:r>
              </a:p>
            </c:rich>
          </c:tx>
          <c:layout>
            <c:manualLayout>
              <c:xMode val="edge"/>
              <c:yMode val="edge"/>
              <c:x val="2.8280001559028729E-2"/>
              <c:y val="0.3301664525805003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390976"/>
        <c:crosses val="autoZero"/>
        <c:crossBetween val="between"/>
        <c:minorUnit val="2"/>
      </c:valAx>
      <c:dateAx>
        <c:axId val="946896896"/>
        <c:scaling>
          <c:orientation val="minMax"/>
        </c:scaling>
        <c:delete val="1"/>
        <c:axPos val="b"/>
        <c:numFmt formatCode="General" sourceLinked="1"/>
        <c:majorTickMark val="out"/>
        <c:minorTickMark val="none"/>
        <c:tickLblPos val="nextTo"/>
        <c:crossAx val="947331072"/>
        <c:crosses val="autoZero"/>
        <c:auto val="0"/>
        <c:lblOffset val="100"/>
        <c:baseTimeUnit val="days"/>
      </c:dateAx>
      <c:valAx>
        <c:axId val="947331072"/>
        <c:scaling>
          <c:orientation val="minMax"/>
          <c:max val="0.5"/>
          <c:min val="0.2"/>
        </c:scaling>
        <c:delete val="0"/>
        <c:axPos val="r"/>
        <c:title>
          <c:tx>
            <c:rich>
              <a:bodyPr/>
              <a:lstStyle/>
              <a:p>
                <a:pPr>
                  <a:defRPr/>
                </a:pPr>
                <a:r>
                  <a:rPr lang="en-US"/>
                  <a:t>existencias finales/consumo</a:t>
                </a:r>
              </a:p>
            </c:rich>
          </c:tx>
          <c:layout>
            <c:manualLayout>
              <c:xMode val="edge"/>
              <c:yMode val="edge"/>
              <c:x val="0.97305748918423818"/>
              <c:y val="0.2833078915490599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896896"/>
        <c:crosses val="max"/>
        <c:crossBetween val="between"/>
      </c:valAx>
    </c:plotArea>
    <c:legend>
      <c:legendPos val="r"/>
      <c:layout>
        <c:manualLayout>
          <c:xMode val="edge"/>
          <c:yMode val="edge"/>
          <c:x val="6.092980473165218E-2"/>
          <c:y val="0.81288984020673394"/>
          <c:w val="0.85964111158748102"/>
          <c:h val="0.13648218636347587"/>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59508334545253083"/>
        </c:manualLayout>
      </c:layout>
      <c:barChart>
        <c:barDir val="col"/>
        <c:grouping val="clustered"/>
        <c:varyColors val="0"/>
        <c:ser>
          <c:idx val="1"/>
          <c:order val="0"/>
          <c:tx>
            <c:strRef>
              <c:f>'47'!$D$5</c:f>
              <c:strCache>
                <c:ptCount val="1"/>
                <c:pt idx="0">
                  <c:v> Producción (miles de toneladas) </c:v>
                </c:pt>
              </c:strCache>
            </c:strRef>
          </c:tx>
          <c:spPr>
            <a:solidFill>
              <a:srgbClr val="C0504D"/>
            </a:solidFill>
            <a:ln w="25400">
              <a:noFill/>
            </a:ln>
          </c:spPr>
          <c:invertIfNegative val="0"/>
          <c:cat>
            <c:strRef>
              <c:f>'47'!$B$6:$B$21</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'47'!$D$6:$D$21</c:f>
              <c:numCache>
                <c:formatCode>_(* #,##0.0_);_(* \(#,##0.0\);_(* "-"_);_(@_)</c:formatCode>
                <c:ptCount val="16"/>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pt idx="10">
                  <c:v>174.8972</c:v>
                </c:pt>
                <c:pt idx="11">
                  <c:v>169.71341999999999</c:v>
                </c:pt>
                <c:pt idx="12">
                  <c:v>146.08510000000001</c:v>
                </c:pt>
                <c:pt idx="13">
                  <c:v>100.557000672749</c:v>
                </c:pt>
                <c:pt idx="14">
                  <c:v>109.232150484001</c:v>
                </c:pt>
                <c:pt idx="15">
                  <c:v>118.673232441134</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947418112"/>
        <c:axId val="947333376"/>
      </c:barChart>
      <c:lineChart>
        <c:grouping val="standard"/>
        <c:varyColors val="0"/>
        <c:ser>
          <c:idx val="0"/>
          <c:order val="1"/>
          <c:tx>
            <c:strRef>
              <c:f>'47'!$C$5</c:f>
              <c:strCache>
                <c:ptCount val="1"/>
                <c:pt idx="0">
                  <c:v> Superficie (miles de hectáreas) </c:v>
                </c:pt>
              </c:strCache>
            </c:strRef>
          </c:tx>
          <c:spPr>
            <a:ln w="25400">
              <a:solidFill>
                <a:srgbClr val="4F81BD"/>
              </a:solidFill>
              <a:prstDash val="solid"/>
            </a:ln>
          </c:spPr>
          <c:marker>
            <c:symbol val="none"/>
          </c:marker>
          <c:cat>
            <c:strRef>
              <c:f>'47'!$B$6:$B$21</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'47'!$C$6:$C$21</c:f>
              <c:numCache>
                <c:formatCode>_(* #,##0.0_);_(* \(#,##0.0\);_(* "-"_);_(@_)</c:formatCode>
                <c:ptCount val="16"/>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26.242000000000001</c:v>
                </c:pt>
                <c:pt idx="11">
                  <c:v>26.393999999999998</c:v>
                </c:pt>
                <c:pt idx="12">
                  <c:v>22.965</c:v>
                </c:pt>
                <c:pt idx="13">
                  <c:v>20.712</c:v>
                </c:pt>
                <c:pt idx="14">
                  <c:v>17.945</c:v>
                </c:pt>
                <c:pt idx="15">
                  <c:v>17.37</c:v>
                </c:pt>
              </c:numCache>
            </c:numRef>
          </c:val>
          <c:smooth val="0"/>
          <c:extLst>
            <c:ext xmlns:c16="http://schemas.microsoft.com/office/drawing/2014/chart" uri="{C3380CC4-5D6E-409C-BE32-E72D297353CC}">
              <c16:uniqueId val="{00000001-E5CE-4FEB-9F86-B06CFE6FA5D1}"/>
            </c:ext>
          </c:extLst>
        </c:ser>
        <c:ser>
          <c:idx val="2"/>
          <c:order val="2"/>
          <c:tx>
            <c:strRef>
              <c:f>'47'!$E$5</c:f>
              <c:strCache>
                <c:ptCount val="1"/>
                <c:pt idx="0">
                  <c:v> Rendimiento (qqm/ha) </c:v>
                </c:pt>
              </c:strCache>
            </c:strRef>
          </c:tx>
          <c:marker>
            <c:symbol val="none"/>
          </c:marker>
          <c:cat>
            <c:strRef>
              <c:f>'47'!$B$6:$B$21</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'47'!$E$6:$E$21</c:f>
              <c:numCache>
                <c:formatCode>_(* #,##0.0_);_(* \(#,##0.0\);_(* "-"_);_(@_)</c:formatCode>
                <c:ptCount val="16"/>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pt idx="10">
                  <c:v>66.647816477402642</c:v>
                </c:pt>
                <c:pt idx="11">
                  <c:v>64.3</c:v>
                </c:pt>
                <c:pt idx="12">
                  <c:v>63.612061833224473</c:v>
                </c:pt>
                <c:pt idx="13">
                  <c:v>48.550116199666228</c:v>
                </c:pt>
                <c:pt idx="14">
                  <c:v>60.870521306214101</c:v>
                </c:pt>
                <c:pt idx="15">
                  <c:v>68.320801635655727</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947420160"/>
        <c:axId val="947333952"/>
      </c:lineChart>
      <c:catAx>
        <c:axId val="9474181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800" b="0" i="0" u="none" strike="noStrike" baseline="0">
                <a:solidFill>
                  <a:srgbClr val="000000"/>
                </a:solidFill>
                <a:latin typeface="Arial"/>
                <a:ea typeface="Arial"/>
                <a:cs typeface="Arial"/>
              </a:defRPr>
            </a:pPr>
            <a:endParaRPr lang="es-CL"/>
          </a:p>
        </c:txPr>
        <c:crossAx val="947333376"/>
        <c:crosses val="autoZero"/>
        <c:auto val="1"/>
        <c:lblAlgn val="ctr"/>
        <c:lblOffset val="100"/>
        <c:tickLblSkip val="1"/>
        <c:noMultiLvlLbl val="0"/>
      </c:catAx>
      <c:valAx>
        <c:axId val="94733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418112"/>
        <c:crosses val="autoZero"/>
        <c:crossBetween val="between"/>
      </c:valAx>
      <c:catAx>
        <c:axId val="947420160"/>
        <c:scaling>
          <c:orientation val="minMax"/>
        </c:scaling>
        <c:delete val="1"/>
        <c:axPos val="b"/>
        <c:numFmt formatCode="General" sourceLinked="1"/>
        <c:majorTickMark val="out"/>
        <c:minorTickMark val="none"/>
        <c:tickLblPos val="nextTo"/>
        <c:crossAx val="947333952"/>
        <c:crosses val="autoZero"/>
        <c:auto val="1"/>
        <c:lblAlgn val="ctr"/>
        <c:lblOffset val="100"/>
        <c:noMultiLvlLbl val="0"/>
      </c:catAx>
      <c:valAx>
        <c:axId val="947333952"/>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7420160"/>
        <c:crosses val="max"/>
        <c:crossBetween val="between"/>
      </c:valAx>
      <c:spPr>
        <a:noFill/>
        <a:ln w="25400">
          <a:noFill/>
        </a:ln>
      </c:spPr>
    </c:plotArea>
    <c:legend>
      <c:legendPos val="r"/>
      <c:layout>
        <c:manualLayout>
          <c:xMode val="edge"/>
          <c:yMode val="edge"/>
          <c:x val="2.8553654743390357E-2"/>
          <c:y val="0.85113553417959953"/>
          <c:w val="0.94448937273198552"/>
          <c:h val="8.2249323056253862E-2"/>
        </c:manualLayout>
      </c:layout>
      <c:overlay val="0"/>
      <c:txPr>
        <a:bodyPr/>
        <a:lstStyle/>
        <a:p>
          <a:pPr>
            <a:defRPr sz="900"/>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2011 - 2023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2954514186081276"/>
          <c:y val="2.6645134051364414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'50'!$C$6:$C$7</c:f>
              <c:strCache>
                <c:ptCount val="2"/>
                <c:pt idx="0">
                  <c:v>Producción (rdto. ind. 50 - 56%)</c:v>
                </c:pt>
              </c:strCache>
            </c:strRef>
          </c:tx>
          <c:invertIfNegative val="0"/>
          <c:cat>
            <c:numRef>
              <c:f>'50'!$B$9:$B$20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'50'!$C$9:$C$20</c:f>
              <c:numCache>
                <c:formatCode>#,##0_);\(#,##0\)</c:formatCode>
                <c:ptCount val="12"/>
                <c:pt idx="0">
                  <c:v>80885.466</c:v>
                </c:pt>
                <c:pt idx="1">
                  <c:v>70365.941999999995</c:v>
                </c:pt>
                <c:pt idx="2">
                  <c:v>72837.521999999997</c:v>
                </c:pt>
                <c:pt idx="3">
                  <c:v>88322.4</c:v>
                </c:pt>
                <c:pt idx="4">
                  <c:v>93964</c:v>
                </c:pt>
                <c:pt idx="5">
                  <c:v>71604.954400000017</c:v>
                </c:pt>
                <c:pt idx="6">
                  <c:v>107972.48000000001</c:v>
                </c:pt>
                <c:pt idx="7">
                  <c:v>97942.432000000015</c:v>
                </c:pt>
                <c:pt idx="8">
                  <c:v>95030.040000000008</c:v>
                </c:pt>
                <c:pt idx="9">
                  <c:v>81807.656000000017</c:v>
                </c:pt>
                <c:pt idx="10">
                  <c:v>56311.920376739443</c:v>
                </c:pt>
                <c:pt idx="11">
                  <c:v>61170.004271040678</c:v>
                </c:pt>
              </c:numCache>
            </c:numRef>
          </c:val>
          <c:extLst>
            <c:ext xmlns:c16="http://schemas.microsoft.com/office/drawing/2014/chart" uri="{C3380CC4-5D6E-409C-BE32-E72D297353CC}">
              <c16:uniqueId val="{00000000-EDFD-4C3D-9BF5-B050113B6FDB}"/>
            </c:ext>
          </c:extLst>
        </c:ser>
        <c:ser>
          <c:idx val="2"/>
          <c:order val="1"/>
          <c:tx>
            <c:strRef>
              <c:f>'50'!$D$6:$D$7</c:f>
              <c:strCache>
                <c:ptCount val="2"/>
                <c:pt idx="0">
                  <c:v>Importación total (elaborado)</c:v>
                </c:pt>
              </c:strCache>
            </c:strRef>
          </c:tx>
          <c:invertIfNegative val="0"/>
          <c:cat>
            <c:numRef>
              <c:f>'50'!$B$9:$B$20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'50'!$D$9:$D$20</c:f>
              <c:numCache>
                <c:formatCode>#,##0_);\(#,##0\)</c:formatCode>
                <c:ptCount val="12"/>
                <c:pt idx="0">
                  <c:v>93846.020999999993</c:v>
                </c:pt>
                <c:pt idx="1">
                  <c:v>90685.751000000004</c:v>
                </c:pt>
                <c:pt idx="2">
                  <c:v>90177</c:v>
                </c:pt>
                <c:pt idx="3">
                  <c:v>118644</c:v>
                </c:pt>
                <c:pt idx="4">
                  <c:v>103903.446</c:v>
                </c:pt>
                <c:pt idx="5" formatCode="#,##0">
                  <c:v>131211.84099999999</c:v>
                </c:pt>
                <c:pt idx="6">
                  <c:v>133366.25400000002</c:v>
                </c:pt>
                <c:pt idx="7">
                  <c:v>126281.10111</c:v>
                </c:pt>
                <c:pt idx="8">
                  <c:v>167355.36387</c:v>
                </c:pt>
                <c:pt idx="9">
                  <c:v>131208.58575</c:v>
                </c:pt>
                <c:pt idx="10">
                  <c:v>152906.96408000001</c:v>
                </c:pt>
                <c:pt idx="11">
                  <c:v>170002.56452999997</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948487680"/>
        <c:axId val="947336256"/>
      </c:barChart>
      <c:lineChart>
        <c:grouping val="standard"/>
        <c:varyColors val="0"/>
        <c:ser>
          <c:idx val="5"/>
          <c:order val="2"/>
          <c:tx>
            <c:strRef>
              <c:f>'50'!$F$6:$F$7</c:f>
              <c:strCache>
                <c:ptCount val="2"/>
                <c:pt idx="0">
                  <c:v>Disponibilidad aparente</c:v>
                </c:pt>
              </c:strCache>
            </c:strRef>
          </c:tx>
          <c:marker>
            <c:symbol val="none"/>
          </c:marker>
          <c:cat>
            <c:numRef>
              <c:f>'50'!$B$9:$B$20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'50'!$F$9:$F$20</c:f>
              <c:numCache>
                <c:formatCode>#,##0_);\(#,##0\)</c:formatCode>
                <c:ptCount val="12"/>
                <c:pt idx="0">
                  <c:v>174697.995</c:v>
                </c:pt>
                <c:pt idx="1">
                  <c:v>161049.65299999999</c:v>
                </c:pt>
                <c:pt idx="2">
                  <c:v>155797.41699999999</c:v>
                </c:pt>
                <c:pt idx="3">
                  <c:v>203947.29113999999</c:v>
                </c:pt>
                <c:pt idx="4">
                  <c:v>196648.734</c:v>
                </c:pt>
                <c:pt idx="5">
                  <c:v>201334.18540000002</c:v>
                </c:pt>
                <c:pt idx="6">
                  <c:v>236953.16700000002</c:v>
                </c:pt>
                <c:pt idx="7">
                  <c:v>221047.93311000001</c:v>
                </c:pt>
                <c:pt idx="8">
                  <c:v>262383.15983000002</c:v>
                </c:pt>
                <c:pt idx="9">
                  <c:v>213004.75149000002</c:v>
                </c:pt>
                <c:pt idx="10">
                  <c:v>209001.73020673945</c:v>
                </c:pt>
                <c:pt idx="11">
                  <c:v>229339.73794104066</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948487680"/>
        <c:axId val="947336256"/>
      </c:lineChart>
      <c:catAx>
        <c:axId val="948487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336256"/>
        <c:crosses val="autoZero"/>
        <c:auto val="1"/>
        <c:lblAlgn val="ctr"/>
        <c:lblOffset val="100"/>
        <c:tickLblSkip val="1"/>
        <c:tickMarkSkip val="1"/>
        <c:noMultiLvlLbl val="0"/>
      </c:catAx>
      <c:valAx>
        <c:axId val="94733625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87680"/>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2018 - 2024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7465703870741497"/>
          <c:y val="1.7736363064843986E-2"/>
        </c:manualLayout>
      </c:layout>
      <c:overlay val="0"/>
      <c:spPr>
        <a:noFill/>
        <a:ln w="25400">
          <a:noFill/>
        </a:ln>
      </c:spPr>
    </c:title>
    <c:autoTitleDeleted val="0"/>
    <c:plotArea>
      <c:layout>
        <c:manualLayout>
          <c:layoutTarget val="inner"/>
          <c:xMode val="edge"/>
          <c:yMode val="edge"/>
          <c:x val="0.11020667192720311"/>
          <c:y val="0.20166695195709228"/>
          <c:w val="0.87082007960925412"/>
          <c:h val="0.51408154569394859"/>
        </c:manualLayout>
      </c:layout>
      <c:barChart>
        <c:barDir val="col"/>
        <c:grouping val="clustered"/>
        <c:varyColors val="0"/>
        <c:ser>
          <c:idx val="3"/>
          <c:order val="0"/>
          <c:tx>
            <c:strRef>
              <c:f>'51'!$C$5</c:f>
              <c:strCache>
                <c:ptCount val="1"/>
                <c:pt idx="0">
                  <c:v>2018</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'51'!$C$6:$C$17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1"/>
          <c:tx>
            <c:strRef>
              <c:f>'51'!$D$5</c:f>
              <c:strCache>
                <c:ptCount val="1"/>
                <c:pt idx="0">
                  <c:v>2019</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'51'!$D$6:$D$17</c:f>
              <c:numCache>
                <c:formatCode>#,##0</c:formatCode>
                <c:ptCount val="12"/>
                <c:pt idx="0">
                  <c:v>9764.720800000001</c:v>
                </c:pt>
                <c:pt idx="1">
                  <c:v>9739</c:v>
                </c:pt>
                <c:pt idx="2">
                  <c:v>9720.3803099999986</c:v>
                </c:pt>
                <c:pt idx="3">
                  <c:v>11090</c:v>
                </c:pt>
                <c:pt idx="4">
                  <c:v>10562</c:v>
                </c:pt>
                <c:pt idx="5">
                  <c:v>10405</c:v>
                </c:pt>
                <c:pt idx="6">
                  <c:v>9905</c:v>
                </c:pt>
                <c:pt idx="7">
                  <c:v>11502</c:v>
                </c:pt>
                <c:pt idx="8">
                  <c:v>11560</c:v>
                </c:pt>
                <c:pt idx="9">
                  <c:v>8853</c:v>
                </c:pt>
                <c:pt idx="10">
                  <c:v>11852</c:v>
                </c:pt>
                <c:pt idx="11">
                  <c:v>11328</c:v>
                </c:pt>
              </c:numCache>
            </c:numRef>
          </c:val>
          <c:extLst>
            <c:ext xmlns:c16="http://schemas.microsoft.com/office/drawing/2014/chart" uri="{C3380CC4-5D6E-409C-BE32-E72D297353CC}">
              <c16:uniqueId val="{00000002-A453-4D06-A852-C7D20D31BD6A}"/>
            </c:ext>
          </c:extLst>
        </c:ser>
        <c:ser>
          <c:idx val="0"/>
          <c:order val="2"/>
          <c:tx>
            <c:strRef>
              <c:f>'51'!$E$5</c:f>
              <c:strCache>
                <c:ptCount val="1"/>
                <c:pt idx="0">
                  <c:v>2020</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'51'!$E$6:$E$17</c:f>
              <c:numCache>
                <c:formatCode>#,##0</c:formatCode>
                <c:ptCount val="12"/>
                <c:pt idx="0">
                  <c:v>8803</c:v>
                </c:pt>
                <c:pt idx="1">
                  <c:v>10115</c:v>
                </c:pt>
                <c:pt idx="2">
                  <c:v>10593.363869999997</c:v>
                </c:pt>
                <c:pt idx="3">
                  <c:v>16660</c:v>
                </c:pt>
                <c:pt idx="4">
                  <c:v>14952</c:v>
                </c:pt>
                <c:pt idx="5">
                  <c:v>15182</c:v>
                </c:pt>
                <c:pt idx="6">
                  <c:v>19199</c:v>
                </c:pt>
                <c:pt idx="7">
                  <c:v>19294</c:v>
                </c:pt>
                <c:pt idx="8">
                  <c:v>21882</c:v>
                </c:pt>
                <c:pt idx="9">
                  <c:v>13942</c:v>
                </c:pt>
                <c:pt idx="10">
                  <c:v>6854</c:v>
                </c:pt>
                <c:pt idx="11">
                  <c:v>9879</c:v>
                </c:pt>
              </c:numCache>
            </c:numRef>
          </c:val>
          <c:extLst>
            <c:ext xmlns:c16="http://schemas.microsoft.com/office/drawing/2014/chart" uri="{C3380CC4-5D6E-409C-BE32-E72D297353CC}">
              <c16:uniqueId val="{00000001-A494-400D-8B28-34807900769C}"/>
            </c:ext>
          </c:extLst>
        </c:ser>
        <c:ser>
          <c:idx val="1"/>
          <c:order val="3"/>
          <c:tx>
            <c:strRef>
              <c:f>'51'!$F$5</c:f>
              <c:strCache>
                <c:ptCount val="1"/>
                <c:pt idx="0">
                  <c:v>2021</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'51'!$F$6:$F$17</c:f>
              <c:numCache>
                <c:formatCode>#,##0</c:formatCode>
                <c:ptCount val="12"/>
                <c:pt idx="0">
                  <c:v>8285</c:v>
                </c:pt>
                <c:pt idx="1">
                  <c:v>10165</c:v>
                </c:pt>
                <c:pt idx="2">
                  <c:v>8486</c:v>
                </c:pt>
                <c:pt idx="3">
                  <c:v>7510</c:v>
                </c:pt>
                <c:pt idx="4">
                  <c:v>12437</c:v>
                </c:pt>
                <c:pt idx="5">
                  <c:v>11749.450769999998</c:v>
                </c:pt>
                <c:pt idx="6">
                  <c:v>14191</c:v>
                </c:pt>
                <c:pt idx="7">
                  <c:v>14413</c:v>
                </c:pt>
                <c:pt idx="8">
                  <c:v>10322</c:v>
                </c:pt>
                <c:pt idx="9">
                  <c:v>13685</c:v>
                </c:pt>
                <c:pt idx="10">
                  <c:v>9525.1349799999989</c:v>
                </c:pt>
                <c:pt idx="11">
                  <c:v>10440</c:v>
                </c:pt>
              </c:numCache>
            </c:numRef>
          </c:val>
          <c:extLst>
            <c:ext xmlns:c16="http://schemas.microsoft.com/office/drawing/2014/chart" uri="{C3380CC4-5D6E-409C-BE32-E72D297353CC}">
              <c16:uniqueId val="{00000002-A494-400D-8B28-34807900769C}"/>
            </c:ext>
          </c:extLst>
        </c:ser>
        <c:ser>
          <c:idx val="2"/>
          <c:order val="4"/>
          <c:tx>
            <c:strRef>
              <c:f>'51'!$G$5</c:f>
              <c:strCache>
                <c:ptCount val="1"/>
                <c:pt idx="0">
                  <c:v>2022</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'51'!$G$6:$G$17</c:f>
              <c:numCache>
                <c:formatCode>#,##0</c:formatCode>
                <c:ptCount val="12"/>
                <c:pt idx="0">
                  <c:v>7846</c:v>
                </c:pt>
                <c:pt idx="1">
                  <c:v>7834</c:v>
                </c:pt>
                <c:pt idx="2">
                  <c:v>14581.501040000001</c:v>
                </c:pt>
                <c:pt idx="3">
                  <c:v>14602.845460000002</c:v>
                </c:pt>
                <c:pt idx="4">
                  <c:v>15988.013730000001</c:v>
                </c:pt>
                <c:pt idx="5">
                  <c:v>13953.49475</c:v>
                </c:pt>
                <c:pt idx="6">
                  <c:v>11142.037920000001</c:v>
                </c:pt>
                <c:pt idx="7">
                  <c:v>14495.128739999998</c:v>
                </c:pt>
                <c:pt idx="8">
                  <c:v>13220.969079999997</c:v>
                </c:pt>
                <c:pt idx="9">
                  <c:v>11684.602040000002</c:v>
                </c:pt>
                <c:pt idx="10">
                  <c:v>14420.7042</c:v>
                </c:pt>
                <c:pt idx="11">
                  <c:v>13137.667120000002</c:v>
                </c:pt>
              </c:numCache>
            </c:numRef>
          </c:val>
          <c:extLst>
            <c:ext xmlns:c16="http://schemas.microsoft.com/office/drawing/2014/chart" uri="{C3380CC4-5D6E-409C-BE32-E72D297353CC}">
              <c16:uniqueId val="{00000001-6043-483F-9B20-8BDF2D1F9613}"/>
            </c:ext>
          </c:extLst>
        </c:ser>
        <c:ser>
          <c:idx val="5"/>
          <c:order val="5"/>
          <c:tx>
            <c:strRef>
              <c:f>'51'!$H$5</c:f>
              <c:strCache>
                <c:ptCount val="1"/>
                <c:pt idx="0">
                  <c:v>2023</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'51'!$H$6:$H$17</c:f>
              <c:numCache>
                <c:formatCode>#,##0</c:formatCode>
                <c:ptCount val="12"/>
                <c:pt idx="0">
                  <c:v>8510.9162100000012</c:v>
                </c:pt>
                <c:pt idx="1">
                  <c:v>12280.765270000002</c:v>
                </c:pt>
                <c:pt idx="2">
                  <c:v>19657.286919999999</c:v>
                </c:pt>
                <c:pt idx="3">
                  <c:v>15481.045270000001</c:v>
                </c:pt>
                <c:pt idx="4">
                  <c:v>20206.495620000002</c:v>
                </c:pt>
                <c:pt idx="5">
                  <c:v>17045.505280000001</c:v>
                </c:pt>
                <c:pt idx="6">
                  <c:v>10587.130160000002</c:v>
                </c:pt>
                <c:pt idx="7">
                  <c:v>13687.515490000002</c:v>
                </c:pt>
                <c:pt idx="8">
                  <c:v>10024.342970000002</c:v>
                </c:pt>
                <c:pt idx="9">
                  <c:v>14684.739539999999</c:v>
                </c:pt>
                <c:pt idx="10">
                  <c:v>15271.59433</c:v>
                </c:pt>
                <c:pt idx="11">
                  <c:v>12565.227469999998</c:v>
                </c:pt>
              </c:numCache>
            </c:numRef>
          </c:val>
          <c:extLst>
            <c:ext xmlns:c16="http://schemas.microsoft.com/office/drawing/2014/chart" uri="{C3380CC4-5D6E-409C-BE32-E72D297353CC}">
              <c16:uniqueId val="{00000000-4CD4-4BA7-8B81-31B9EF318DE6}"/>
            </c:ext>
          </c:extLst>
        </c:ser>
        <c:ser>
          <c:idx val="6"/>
          <c:order val="6"/>
          <c:tx>
            <c:strRef>
              <c:f>'51'!$I$5</c:f>
              <c:strCache>
                <c:ptCount val="1"/>
                <c:pt idx="0">
                  <c:v>2024</c:v>
                </c:pt>
              </c:strCache>
            </c:strRef>
          </c:tx>
          <c:spPr>
            <a:solidFill>
              <a:srgbClr val="FF0000"/>
            </a:solidFill>
            <a:ln>
              <a:solidFill>
                <a:srgbClr val="FF0000"/>
              </a:solidFill>
            </a:ln>
          </c:spPr>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'51'!$I$6:$I$17</c:f>
              <c:numCache>
                <c:formatCode>#,##0</c:formatCode>
                <c:ptCount val="12"/>
                <c:pt idx="0">
                  <c:v>12296.667020000001</c:v>
                </c:pt>
                <c:pt idx="1">
                  <c:v>7745.7670699999999</c:v>
                </c:pt>
                <c:pt idx="2">
                  <c:v>8996.4509799999996</c:v>
                </c:pt>
                <c:pt idx="3">
                  <c:v>13153.315050000001</c:v>
                </c:pt>
                <c:pt idx="4">
                  <c:v>12026.690700000001</c:v>
                </c:pt>
                <c:pt idx="5">
                  <c:v>8320.8397399999994</c:v>
                </c:pt>
                <c:pt idx="6">
                  <c:v>14425.426089999999</c:v>
                </c:pt>
                <c:pt idx="10">
                  <c:v>0</c:v>
                </c:pt>
              </c:numCache>
            </c:numRef>
          </c:val>
          <c:extLst>
            <c:ext xmlns:c16="http://schemas.microsoft.com/office/drawing/2014/chart" uri="{C3380CC4-5D6E-409C-BE32-E72D297353CC}">
              <c16:uniqueId val="{00000000-6A21-43E9-B219-297804298AA2}"/>
            </c:ext>
          </c:extLst>
        </c:ser>
        <c:dLbls>
          <c:showLegendKey val="0"/>
          <c:showVal val="0"/>
          <c:showCatName val="0"/>
          <c:showSerName val="0"/>
          <c:showPercent val="0"/>
          <c:showBubbleSize val="0"/>
        </c:dLbls>
        <c:gapWidth val="150"/>
        <c:axId val="948195328"/>
        <c:axId val="947338560"/>
      </c:barChart>
      <c:catAx>
        <c:axId val="9481953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47338560"/>
        <c:crosses val="autoZero"/>
        <c:auto val="1"/>
        <c:lblAlgn val="ctr"/>
        <c:lblOffset val="100"/>
        <c:tickLblSkip val="1"/>
        <c:tickMarkSkip val="1"/>
        <c:noMultiLvlLbl val="0"/>
      </c:catAx>
      <c:valAx>
        <c:axId val="94733856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195328"/>
        <c:crosses val="autoZero"/>
        <c:crossBetween val="between"/>
      </c:valAx>
      <c:spPr>
        <a:noFill/>
        <a:ln w="25400">
          <a:noFill/>
        </a:ln>
      </c:spPr>
    </c:plotArea>
    <c:legend>
      <c:legendPos val="r"/>
      <c:layout>
        <c:manualLayout>
          <c:xMode val="edge"/>
          <c:yMode val="edge"/>
          <c:x val="6.906608872704191E-2"/>
          <c:y val="0.83779825229290505"/>
          <c:w val="0.9309339112729581"/>
          <c:h val="8.0586201356533646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panadero</a:t>
            </a:r>
            <a:r>
              <a:rPr lang="es-CL" baseline="0"/>
              <a:t> </a:t>
            </a:r>
            <a:r>
              <a:rPr lang="es-CL"/>
              <a:t>(qqm/ha)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2160747001661518"/>
          <c:y val="0.17484678477690288"/>
          <c:w val="0.75272033968754026"/>
          <c:h val="0.52865850102070577"/>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'7'!$B$7:$B$19</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'7'!$D$7:$D$19</c:f>
              <c:numCache>
                <c:formatCode>#,##0</c:formatCode>
                <c:ptCount val="13"/>
                <c:pt idx="0">
                  <c:v>1114.4113</c:v>
                </c:pt>
                <c:pt idx="1">
                  <c:v>1365.1233</c:v>
                </c:pt>
                <c:pt idx="2">
                  <c:v>1236.0917400000001</c:v>
                </c:pt>
                <c:pt idx="3">
                  <c:v>1333.2125000000001</c:v>
                </c:pt>
                <c:pt idx="4">
                  <c:v>1531.0056</c:v>
                </c:pt>
                <c:pt idx="5">
                  <c:v>1221.2691400000001</c:v>
                </c:pt>
                <c:pt idx="6">
                  <c:v>1281.3397</c:v>
                </c:pt>
                <c:pt idx="7">
                  <c:v>1204.8561999999999</c:v>
                </c:pt>
                <c:pt idx="8">
                  <c:v>1086.1401000000001</c:v>
                </c:pt>
                <c:pt idx="9" formatCode="[$-10C0A]#,##0;\(#,##0\)">
                  <c:v>1203.3828000000001</c:v>
                </c:pt>
                <c:pt idx="10" formatCode="[$-10C0A]#,###,##0">
                  <c:v>1009.74269228811</c:v>
                </c:pt>
                <c:pt idx="11" formatCode="[$-10C0A]#,###,##0">
                  <c:v>1132.0239850410201</c:v>
                </c:pt>
                <c:pt idx="12" formatCode="[$-10C0A]#,###,##0">
                  <c:v>1063.22723297274</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984662016"/>
        <c:axId val="979643776"/>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'7'!$B$7:$B$19</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'7'!$C$7:$C$19</c:f>
              <c:numCache>
                <c:formatCode>#,##0</c:formatCode>
                <c:ptCount val="13"/>
                <c:pt idx="0">
                  <c:v>228.58699999999999</c:v>
                </c:pt>
                <c:pt idx="1">
                  <c:v>238.41</c:v>
                </c:pt>
                <c:pt idx="2">
                  <c:v>236.12200000000001</c:v>
                </c:pt>
                <c:pt idx="3">
                  <c:v>241.16</c:v>
                </c:pt>
                <c:pt idx="4">
                  <c:v>257.786</c:v>
                </c:pt>
                <c:pt idx="5">
                  <c:v>205.18899999999999</c:v>
                </c:pt>
                <c:pt idx="6">
                  <c:v>208.23699999999999</c:v>
                </c:pt>
                <c:pt idx="7">
                  <c:v>195.40299999999999</c:v>
                </c:pt>
                <c:pt idx="8">
                  <c:v>183.07300000000001</c:v>
                </c:pt>
                <c:pt idx="9">
                  <c:v>204.99299999999999</c:v>
                </c:pt>
                <c:pt idx="10">
                  <c:v>173.10599999999999</c:v>
                </c:pt>
                <c:pt idx="11">
                  <c:v>193.613</c:v>
                </c:pt>
                <c:pt idx="12">
                  <c:v>179.44300000000001</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
hectárea) </c:v>
                </c:pt>
              </c:strCache>
            </c:strRef>
          </c:tx>
          <c:marker>
            <c:symbol val="none"/>
          </c:marker>
          <c:cat>
            <c:strRef>
              <c:f>'7'!$B$7:$B$19</c:f>
              <c:strCache>
                <c:ptCount val="13"/>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strCache>
            </c:strRef>
          </c:cat>
          <c:val>
            <c:numRef>
              <c:f>'7'!$E$7:$E$19</c:f>
              <c:numCache>
                <c:formatCode>#,##0</c:formatCode>
                <c:ptCount val="13"/>
                <c:pt idx="0">
                  <c:v>48.8</c:v>
                </c:pt>
                <c:pt idx="1">
                  <c:v>57.259481565370578</c:v>
                </c:pt>
                <c:pt idx="2">
                  <c:v>52.349706507652819</c:v>
                </c:pt>
                <c:pt idx="3">
                  <c:v>55.283318129042961</c:v>
                </c:pt>
                <c:pt idx="4">
                  <c:v>59.4</c:v>
                </c:pt>
                <c:pt idx="5">
                  <c:v>59.51923056304188</c:v>
                </c:pt>
                <c:pt idx="6">
                  <c:v>61.532758347459868</c:v>
                </c:pt>
                <c:pt idx="7">
                  <c:v>61.660066631525616</c:v>
                </c:pt>
                <c:pt idx="8">
                  <c:v>59.328251571777379</c:v>
                </c:pt>
                <c:pt idx="9">
                  <c:v>58.7</c:v>
                </c:pt>
                <c:pt idx="10">
                  <c:v>58.330889298355451</c:v>
                </c:pt>
                <c:pt idx="11">
                  <c:v>58.468387197193593</c:v>
                </c:pt>
                <c:pt idx="12">
                  <c:v>59.251530177980484</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1000406528"/>
        <c:axId val="979644352"/>
      </c:lineChart>
      <c:catAx>
        <c:axId val="984662016"/>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850" b="0" i="0" u="none" strike="noStrike" baseline="0">
                <a:solidFill>
                  <a:srgbClr val="000000"/>
                </a:solidFill>
                <a:latin typeface="Arial"/>
                <a:ea typeface="Arial"/>
                <a:cs typeface="Arial"/>
              </a:defRPr>
            </a:pPr>
            <a:endParaRPr lang="es-CL"/>
          </a:p>
        </c:txPr>
        <c:crossAx val="979643776"/>
        <c:crosses val="autoZero"/>
        <c:auto val="1"/>
        <c:lblAlgn val="ctr"/>
        <c:lblOffset val="100"/>
        <c:tickLblSkip val="1"/>
        <c:noMultiLvlLbl val="0"/>
      </c:catAx>
      <c:valAx>
        <c:axId val="979643776"/>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7.655493094293953E-3"/>
              <c:y val="0.20570662599150671"/>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4662016"/>
        <c:crosses val="autoZero"/>
        <c:crossBetween val="between"/>
      </c:valAx>
      <c:catAx>
        <c:axId val="1000406528"/>
        <c:scaling>
          <c:orientation val="minMax"/>
        </c:scaling>
        <c:delete val="1"/>
        <c:axPos val="b"/>
        <c:numFmt formatCode="General" sourceLinked="1"/>
        <c:majorTickMark val="out"/>
        <c:minorTickMark val="none"/>
        <c:tickLblPos val="nextTo"/>
        <c:crossAx val="979644352"/>
        <c:crosses val="autoZero"/>
        <c:auto val="1"/>
        <c:lblAlgn val="ctr"/>
        <c:lblOffset val="100"/>
        <c:noMultiLvlLbl val="0"/>
      </c:catAx>
      <c:valAx>
        <c:axId val="979644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93454504822064577"/>
              <c:y val="0.11042789093243872"/>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000406528"/>
        <c:crosses val="max"/>
        <c:crossBetween val="between"/>
      </c:valAx>
      <c:spPr>
        <a:noFill/>
        <a:ln w="25400">
          <a:noFill/>
        </a:ln>
      </c:spPr>
    </c:plotArea>
    <c:legend>
      <c:legendPos val="r"/>
      <c:layout>
        <c:manualLayout>
          <c:xMode val="edge"/>
          <c:yMode val="edge"/>
          <c:x val="3.6790296756080983E-2"/>
          <c:y val="0.80146754803797671"/>
          <c:w val="0.9358939603301677"/>
          <c:h val="0.1718126437898966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ysClr val="windowText" lastClr="000000"/>
                </a:solidFill>
              </a:defRPr>
            </a:pPr>
            <a:r>
              <a:rPr lang="es-CL" sz="900" b="1">
                <a:solidFill>
                  <a:sysClr val="windowText" lastClr="000000"/>
                </a:solidFill>
              </a:rPr>
              <a:t>Gráfico N° 6. Chile. Participación por país de origen </a:t>
            </a:r>
          </a:p>
          <a:p>
            <a:pPr>
              <a:defRPr sz="900" b="1">
                <a:solidFill>
                  <a:sysClr val="windowText" lastClr="000000"/>
                </a:solidFill>
              </a:defRPr>
            </a:pPr>
            <a:r>
              <a:rPr lang="es-CL" sz="900" b="1">
                <a:solidFill>
                  <a:sysClr val="windowText" lastClr="000000"/>
                </a:solidFill>
              </a:rPr>
              <a:t>en las importaciones de arroz</a:t>
            </a:r>
            <a:r>
              <a:rPr lang="es-CL" sz="900" b="1" baseline="0">
                <a:solidFill>
                  <a:sysClr val="windowText" lastClr="000000"/>
                </a:solidFill>
              </a:rPr>
              <a:t> 2024</a:t>
            </a:r>
            <a:r>
              <a:rPr lang="es-CL" sz="900" b="1">
                <a:solidFill>
                  <a:sysClr val="windowText" lastClr="000000"/>
                </a:solidFill>
              </a:rPr>
              <a:t> (%)</a:t>
            </a:r>
          </a:p>
        </c:rich>
      </c:tx>
      <c:layout>
        <c:manualLayout>
          <c:xMode val="edge"/>
          <c:yMode val="edge"/>
          <c:x val="0.39937804534256172"/>
          <c:y val="6.4806260123384521E-3"/>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28165438814945426"/>
          <c:y val="0.21053441864235553"/>
          <c:w val="0.48786515843286776"/>
          <c:h val="0.75484836532651578"/>
        </c:manualLayout>
      </c:layout>
      <c:pie3DChart>
        <c:varyColors val="1"/>
        <c:ser>
          <c:idx val="0"/>
          <c:order val="0"/>
          <c:tx>
            <c:v>2018</c:v>
          </c:tx>
          <c:spPr>
            <a:blipFill>
              <a:blip xmlns:r="http://schemas.openxmlformats.org/officeDocument/2006/relationships" r:embed="rId1"/>
              <a:stretch>
                <a:fillRect/>
              </a:stretch>
            </a:blipFill>
            <a:ln>
              <a:noFill/>
            </a:ln>
          </c:spPr>
          <c:explosion val="3"/>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explosion val="1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0"/>
              <c:layout>
                <c:manualLayout>
                  <c:x val="5.5944055944055944E-3"/>
                  <c:y val="-4.1407867494824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88-4E4E-8761-E1826A96CFEE}"/>
                </c:ext>
              </c:extLst>
            </c:dLbl>
            <c:dLbl>
              <c:idx val="1"/>
              <c:layout>
                <c:manualLayout>
                  <c:x val="6.0003549835536768E-2"/>
                  <c:y val="-5.187745790272137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0.10656994489567305"/>
                  <c:y val="-8.631207197110160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6.8331066568979096E-2"/>
                  <c:y val="0.201122830454327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5.9369750437106461E-2"/>
                  <c:y val="3.54520552856724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numFmt formatCode="0.0%" sourceLinked="0"/>
            <c:spPr>
              <a:solidFill>
                <a:sysClr val="window" lastClr="FFFFFF"/>
              </a:solidFill>
              <a:ln>
                <a:noFill/>
              </a:ln>
              <a:effectLst/>
            </c:spPr>
            <c:txPr>
              <a:bodyPr/>
              <a:lstStyle/>
              <a:p>
                <a:pPr>
                  <a:defRPr>
                    <a:solidFill>
                      <a:sysClr val="windowText" lastClr="000000"/>
                    </a:solidFil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'52'!$AB$2:$AF$2</c:f>
              <c:numCache>
                <c:formatCode>0%</c:formatCode>
                <c:ptCount val="5"/>
                <c:pt idx="0" formatCode="0.0%">
                  <c:v>0.33114413208954335</c:v>
                </c:pt>
                <c:pt idx="1">
                  <c:v>7.445165448123596E-2</c:v>
                </c:pt>
                <c:pt idx="2" formatCode="0.0%">
                  <c:v>9.3623924300815398E-2</c:v>
                </c:pt>
                <c:pt idx="3">
                  <c:v>0.46144390586386208</c:v>
                </c:pt>
                <c:pt idx="4" formatCode="0.00%">
                  <c:v>3.9336383264543251E-2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pie3DChart>
      <c:spPr>
        <a:noFill/>
      </c:spPr>
    </c:plotArea>
    <c:plotVisOnly val="1"/>
    <c:dispBlanksAs val="zero"/>
    <c:showDLblsOverMax val="0"/>
  </c:chart>
  <c:txPr>
    <a:bodyPr/>
    <a:lstStyle/>
    <a:p>
      <a:pPr>
        <a:defRPr sz="1000" b="0" i="0" u="none" strike="noStrike" baseline="0">
          <a:solidFill>
            <a:srgbClr val="FF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2019 / 2021</a:t>
            </a: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5"/>
          <c:order val="0"/>
          <c:tx>
            <c:strRef>
              <c:f>'53'!$E$7</c:f>
              <c:strCache>
                <c:ptCount val="1"/>
                <c:pt idx="0">
                  <c:v>Arroz semi o blanqueado, grano partido &lt; que 5% en peso</c:v>
                </c:pt>
              </c:strCache>
            </c:strRef>
          </c:tx>
          <c:spPr>
            <a:solidFill>
              <a:srgbClr val="FF0000"/>
            </a:solidFill>
            <a:ln>
              <a:solidFill>
                <a:srgbClr val="FF0000"/>
              </a:solidFill>
            </a:ln>
          </c:spPr>
          <c:invertIfNegative val="0"/>
          <c:cat>
            <c:numRef>
              <c:f>'53'!$B$12:$B$14</c:f>
              <c:numCache>
                <c:formatCode>General</c:formatCode>
                <c:ptCount val="3"/>
                <c:pt idx="0">
                  <c:v>2019</c:v>
                </c:pt>
                <c:pt idx="1">
                  <c:v>2020</c:v>
                </c:pt>
                <c:pt idx="2">
                  <c:v>2021</c:v>
                </c:pt>
              </c:numCache>
            </c:numRef>
          </c:cat>
          <c:val>
            <c:numRef>
              <c:f>'53'!$E$12:$E$14</c:f>
              <c:numCache>
                <c:formatCode>#,##0</c:formatCode>
                <c:ptCount val="3"/>
                <c:pt idx="0">
                  <c:v>36413</c:v>
                </c:pt>
                <c:pt idx="1">
                  <c:v>52918.822890000003</c:v>
                </c:pt>
                <c:pt idx="2">
                  <c:v>53219.585890000002</c:v>
                </c:pt>
              </c:numCache>
            </c:numRef>
          </c:val>
          <c:extLst>
            <c:ext xmlns:c16="http://schemas.microsoft.com/office/drawing/2014/chart" uri="{C3380CC4-5D6E-409C-BE32-E72D297353CC}">
              <c16:uniqueId val="{00000002-B4AD-4E02-8C40-F2E793609F5C}"/>
            </c:ext>
          </c:extLst>
        </c:ser>
        <c:ser>
          <c:idx val="2"/>
          <c:order val="1"/>
          <c:tx>
            <c:strRef>
              <c:f>'53'!$F$7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'53'!$B$12:$B$14</c:f>
              <c:numCache>
                <c:formatCode>General</c:formatCode>
                <c:ptCount val="3"/>
                <c:pt idx="0">
                  <c:v>2019</c:v>
                </c:pt>
                <c:pt idx="1">
                  <c:v>2020</c:v>
                </c:pt>
                <c:pt idx="2">
                  <c:v>2021</c:v>
                </c:pt>
              </c:numCache>
            </c:numRef>
          </c:cat>
          <c:val>
            <c:numRef>
              <c:f>'53'!$F$12:$F$14</c:f>
              <c:numCache>
                <c:formatCode>#,##0</c:formatCode>
                <c:ptCount val="3"/>
                <c:pt idx="0">
                  <c:v>84744.584040000016</c:v>
                </c:pt>
                <c:pt idx="1">
                  <c:v>100601.82218000002</c:v>
                </c:pt>
                <c:pt idx="2">
                  <c:v>62602.326540000002</c:v>
                </c:pt>
              </c:numCache>
            </c:numRef>
          </c:val>
          <c:extLst>
            <c:ext xmlns:c16="http://schemas.microsoft.com/office/drawing/2014/chart" uri="{C3380CC4-5D6E-409C-BE32-E72D297353CC}">
              <c16:uniqueId val="{00000003-B4AD-4E02-8C40-F2E793609F5C}"/>
            </c:ext>
          </c:extLst>
        </c:ser>
        <c:ser>
          <c:idx val="3"/>
          <c:order val="2"/>
          <c:tx>
            <c:strRef>
              <c:f>'53'!$G$7</c:f>
              <c:strCache>
                <c:ptCount val="1"/>
                <c:pt idx="0">
                  <c:v>Arroz semi o blanqueado, grano partido &gt; que 15% en peso</c:v>
                </c:pt>
              </c:strCache>
            </c:strRef>
          </c:tx>
          <c:invertIfNegative val="0"/>
          <c:cat>
            <c:numRef>
              <c:f>'53'!$B$12:$B$14</c:f>
              <c:numCache>
                <c:formatCode>General</c:formatCode>
                <c:ptCount val="3"/>
                <c:pt idx="0">
                  <c:v>2019</c:v>
                </c:pt>
                <c:pt idx="1">
                  <c:v>2020</c:v>
                </c:pt>
                <c:pt idx="2">
                  <c:v>2021</c:v>
                </c:pt>
              </c:numCache>
            </c:numRef>
          </c:cat>
          <c:val>
            <c:numRef>
              <c:f>'53'!$G$12:$G$14</c:f>
              <c:numCache>
                <c:formatCode>#,##0</c:formatCode>
                <c:ptCount val="3"/>
                <c:pt idx="0">
                  <c:v>5123.49629</c:v>
                </c:pt>
                <c:pt idx="1">
                  <c:v>13833.749479999999</c:v>
                </c:pt>
                <c:pt idx="2">
                  <c:v>15387.177729999999</c:v>
                </c:pt>
              </c:numCache>
            </c:numRef>
          </c:val>
          <c:extLst>
            <c:ext xmlns:c16="http://schemas.microsoft.com/office/drawing/2014/chart" uri="{C3380CC4-5D6E-409C-BE32-E72D297353CC}">
              <c16:uniqueId val="{00000004-B4AD-4E02-8C40-F2E793609F5C}"/>
            </c:ext>
          </c:extLst>
        </c:ser>
        <c:ser>
          <c:idx val="4"/>
          <c:order val="3"/>
          <c:tx>
            <c:strRef>
              <c:f>'53'!$H$7</c:f>
              <c:strCache>
                <c:ptCount val="1"/>
                <c:pt idx="0">
                  <c:v>Arroz semi o blanqueado (total)</c:v>
                </c:pt>
              </c:strCache>
            </c:strRef>
          </c:tx>
          <c:invertIfNegative val="0"/>
          <c:cat>
            <c:numRef>
              <c:f>'53'!$B$12:$B$14</c:f>
              <c:numCache>
                <c:formatCode>General</c:formatCode>
                <c:ptCount val="3"/>
                <c:pt idx="0">
                  <c:v>2019</c:v>
                </c:pt>
                <c:pt idx="1">
                  <c:v>2020</c:v>
                </c:pt>
                <c:pt idx="2">
                  <c:v>2021</c:v>
                </c:pt>
              </c:numCache>
            </c:numRef>
          </c:cat>
          <c:val>
            <c:numRef>
              <c:f>'53'!$H$12:$H$14</c:f>
              <c:numCache>
                <c:formatCode>#,##0</c:formatCode>
                <c:ptCount val="3"/>
                <c:pt idx="0">
                  <c:v>126281.55284999999</c:v>
                </c:pt>
                <c:pt idx="1">
                  <c:v>167354.39455000003</c:v>
                </c:pt>
                <c:pt idx="2">
                  <c:v>131209.09016000002</c:v>
                </c:pt>
              </c:numCache>
            </c:numRef>
          </c:val>
          <c:extLst>
            <c:ext xmlns:c16="http://schemas.microsoft.com/office/drawing/2014/chart" uri="{C3380CC4-5D6E-409C-BE32-E72D297353CC}">
              <c16:uniqueId val="{00000005-B4AD-4E02-8C40-F2E793609F5C}"/>
            </c:ext>
          </c:extLst>
        </c:ser>
        <c:ser>
          <c:idx val="6"/>
          <c:order val="4"/>
          <c:tx>
            <c:strRef>
              <c:f>'53'!$I$7</c:f>
              <c:strCache>
                <c:ptCount val="1"/>
                <c:pt idx="0">
                  <c:v>Arroz partido</c:v>
                </c:pt>
              </c:strCache>
            </c:strRef>
          </c:tx>
          <c:invertIfNegative val="0"/>
          <c:cat>
            <c:numRef>
              <c:f>'53'!$B$12:$B$14</c:f>
              <c:numCache>
                <c:formatCode>General</c:formatCode>
                <c:ptCount val="3"/>
                <c:pt idx="0">
                  <c:v>2019</c:v>
                </c:pt>
                <c:pt idx="1">
                  <c:v>2020</c:v>
                </c:pt>
                <c:pt idx="2">
                  <c:v>2021</c:v>
                </c:pt>
              </c:numCache>
            </c:numRef>
          </c:cat>
          <c:val>
            <c:numRef>
              <c:f>'53'!$I$12:$I$14</c:f>
              <c:numCache>
                <c:formatCode>#,##0</c:formatCode>
                <c:ptCount val="3"/>
                <c:pt idx="0">
                  <c:v>27380.79</c:v>
                </c:pt>
                <c:pt idx="1">
                  <c:v>30916.17628</c:v>
                </c:pt>
                <c:pt idx="2">
                  <c:v>41152.463060000002</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2020 / 2024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'53'!$E$7</c:f>
              <c:strCache>
                <c:ptCount val="1"/>
                <c:pt idx="0">
                  <c:v>Arroz semi o blanqueado, grano partido &lt; que 5% en peso</c:v>
                </c:pt>
              </c:strCache>
            </c:strRef>
          </c:tx>
          <c:invertIfNegative val="0"/>
          <c:cat>
            <c:strRef>
              <c:extLst>
                <c:ext xmlns:c15="http://schemas.microsoft.com/office/drawing/2012/chart" uri="{02D57815-91ED-43cb-92C2-25804820EDAC}">
                  <c15:fullRef>
                    <c15:sqref>'53'!$B$12:$B$17</c15:sqref>
                  </c15:fullRef>
                </c:ext>
              </c:extLst>
              <c:f>'53'!$B$13:$B$17</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'53'!$E$12:$E$17</c15:sqref>
                  </c15:fullRef>
                </c:ext>
              </c:extLst>
              <c:f>'53'!$E$13:$E$17</c:f>
              <c:numCache>
                <c:formatCode>#,##0</c:formatCode>
                <c:ptCount val="5"/>
                <c:pt idx="0">
                  <c:v>52918.822890000003</c:v>
                </c:pt>
                <c:pt idx="1">
                  <c:v>53219.585890000002</c:v>
                </c:pt>
                <c:pt idx="2">
                  <c:v>54547.486230000017</c:v>
                </c:pt>
                <c:pt idx="3">
                  <c:v>46253.066099999996</c:v>
                </c:pt>
                <c:pt idx="4">
                  <c:v>20727.136139999995</c:v>
                </c:pt>
              </c:numCache>
            </c:numRef>
          </c:val>
          <c:extLst>
            <c:ext xmlns:c16="http://schemas.microsoft.com/office/drawing/2014/chart" uri="{C3380CC4-5D6E-409C-BE32-E72D297353CC}">
              <c16:uniqueId val="{00000001-8034-4CA6-8332-B140C058BD42}"/>
            </c:ext>
          </c:extLst>
        </c:ser>
        <c:ser>
          <c:idx val="1"/>
          <c:order val="1"/>
          <c:tx>
            <c:strRef>
              <c:f>'53'!$F$7</c:f>
              <c:strCache>
                <c:ptCount val="1"/>
                <c:pt idx="0">
                  <c:v>Arroz semi o blanqueado, grano partido &gt; que 5% pero &lt; que 15% en peso</c:v>
                </c:pt>
              </c:strCache>
            </c:strRef>
          </c:tx>
          <c:invertIfNegative val="0"/>
          <c:cat>
            <c:strRef>
              <c:extLst>
                <c:ext xmlns:c15="http://schemas.microsoft.com/office/drawing/2012/chart" uri="{02D57815-91ED-43cb-92C2-25804820EDAC}">
                  <c15:fullRef>
                    <c15:sqref>'53'!$B$12:$B$17</c15:sqref>
                  </c15:fullRef>
                </c:ext>
              </c:extLst>
              <c:f>'53'!$B$13:$B$17</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'53'!$F$12:$F$17</c15:sqref>
                  </c15:fullRef>
                </c:ext>
              </c:extLst>
              <c:f>'53'!$F$13:$F$17</c:f>
              <c:numCache>
                <c:formatCode>#,##0</c:formatCode>
                <c:ptCount val="5"/>
                <c:pt idx="0">
                  <c:v>100601.82218000002</c:v>
                </c:pt>
                <c:pt idx="1">
                  <c:v>62602.326540000002</c:v>
                </c:pt>
                <c:pt idx="2">
                  <c:v>71671.878540000005</c:v>
                </c:pt>
                <c:pt idx="3">
                  <c:v>79518.53164999999</c:v>
                </c:pt>
                <c:pt idx="4">
                  <c:v>32019.143</c:v>
                </c:pt>
              </c:numCache>
            </c:numRef>
          </c:val>
          <c:extLst>
            <c:ext xmlns:c16="http://schemas.microsoft.com/office/drawing/2014/chart" uri="{C3380CC4-5D6E-409C-BE32-E72D297353CC}">
              <c16:uniqueId val="{00000002-8034-4CA6-8332-B140C058BD42}"/>
            </c:ext>
          </c:extLst>
        </c:ser>
        <c:ser>
          <c:idx val="2"/>
          <c:order val="2"/>
          <c:tx>
            <c:strRef>
              <c:f>'53'!$G$7</c:f>
              <c:strCache>
                <c:ptCount val="1"/>
                <c:pt idx="0">
                  <c:v>Arroz semi o blanqueado, grano partido &gt; que 15% en peso</c:v>
                </c:pt>
              </c:strCache>
            </c:strRef>
          </c:tx>
          <c:invertIfNegative val="0"/>
          <c:cat>
            <c:strRef>
              <c:extLst>
                <c:ext xmlns:c15="http://schemas.microsoft.com/office/drawing/2012/chart" uri="{02D57815-91ED-43cb-92C2-25804820EDAC}">
                  <c15:fullRef>
                    <c15:sqref>'53'!$B$12:$B$17</c15:sqref>
                  </c15:fullRef>
                </c:ext>
              </c:extLst>
              <c:f>'53'!$B$13:$B$17</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'53'!$G$12:$G$17</c15:sqref>
                  </c15:fullRef>
                </c:ext>
              </c:extLst>
              <c:f>'53'!$G$13:$G$17</c:f>
              <c:numCache>
                <c:formatCode>#,##0</c:formatCode>
                <c:ptCount val="5"/>
                <c:pt idx="0">
                  <c:v>13833.749479999999</c:v>
                </c:pt>
                <c:pt idx="1">
                  <c:v>15387.177729999999</c:v>
                </c:pt>
                <c:pt idx="2">
                  <c:v>26687.715639999995</c:v>
                </c:pt>
                <c:pt idx="3">
                  <c:v>44230.966780000002</c:v>
                </c:pt>
                <c:pt idx="4">
                  <c:v>24218.877510000006</c:v>
                </c:pt>
              </c:numCache>
            </c:numRef>
          </c:val>
          <c:extLst>
            <c:ext xmlns:c16="http://schemas.microsoft.com/office/drawing/2014/chart" uri="{C3380CC4-5D6E-409C-BE32-E72D297353CC}">
              <c16:uniqueId val="{00000003-8034-4CA6-8332-B140C058BD42}"/>
            </c:ext>
          </c:extLst>
        </c:ser>
        <c:ser>
          <c:idx val="3"/>
          <c:order val="3"/>
          <c:tx>
            <c:strRef>
              <c:f>'53'!$H$7</c:f>
              <c:strCache>
                <c:ptCount val="1"/>
                <c:pt idx="0">
                  <c:v>Arroz semi o blanqueado (total)</c:v>
                </c:pt>
              </c:strCache>
            </c:strRef>
          </c:tx>
          <c:invertIfNegative val="0"/>
          <c:cat>
            <c:strRef>
              <c:extLst>
                <c:ext xmlns:c15="http://schemas.microsoft.com/office/drawing/2012/chart" uri="{02D57815-91ED-43cb-92C2-25804820EDAC}">
                  <c15:fullRef>
                    <c15:sqref>'53'!$B$12:$B$17</c15:sqref>
                  </c15:fullRef>
                </c:ext>
              </c:extLst>
              <c:f>'53'!$B$13:$B$17</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'53'!$H$12:$H$17</c15:sqref>
                  </c15:fullRef>
                </c:ext>
              </c:extLst>
              <c:f>'53'!$H$13:$H$17</c:f>
              <c:numCache>
                <c:formatCode>#,##0</c:formatCode>
                <c:ptCount val="5"/>
                <c:pt idx="0">
                  <c:v>167354.39455000003</c:v>
                </c:pt>
                <c:pt idx="1">
                  <c:v>131209.09016000002</c:v>
                </c:pt>
                <c:pt idx="2">
                  <c:v>152907.08041</c:v>
                </c:pt>
                <c:pt idx="3">
                  <c:v>170002.56453</c:v>
                </c:pt>
                <c:pt idx="4">
                  <c:v>76965.156650000004</c:v>
                </c:pt>
              </c:numCache>
            </c:numRef>
          </c:val>
          <c:extLst>
            <c:ext xmlns:c16="http://schemas.microsoft.com/office/drawing/2014/chart" uri="{C3380CC4-5D6E-409C-BE32-E72D297353CC}">
              <c16:uniqueId val="{00000004-8034-4CA6-8332-B140C058BD42}"/>
            </c:ext>
          </c:extLst>
        </c:ser>
        <c:ser>
          <c:idx val="4"/>
          <c:order val="4"/>
          <c:tx>
            <c:strRef>
              <c:f>'53'!$I$7</c:f>
              <c:strCache>
                <c:ptCount val="1"/>
                <c:pt idx="0">
                  <c:v>Arroz partido</c:v>
                </c:pt>
              </c:strCache>
            </c:strRef>
          </c:tx>
          <c:invertIfNegative val="0"/>
          <c:cat>
            <c:strRef>
              <c:extLst>
                <c:ext xmlns:c15="http://schemas.microsoft.com/office/drawing/2012/chart" uri="{02D57815-91ED-43cb-92C2-25804820EDAC}">
                  <c15:fullRef>
                    <c15:sqref>'53'!$B$12:$B$17</c15:sqref>
                  </c15:fullRef>
                </c:ext>
              </c:extLst>
              <c:f>'53'!$B$13:$B$17</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'53'!$I$12:$I$17</c15:sqref>
                  </c15:fullRef>
                </c:ext>
              </c:extLst>
              <c:f>'53'!$I$13:$I$17</c:f>
              <c:numCache>
                <c:formatCode>#,##0</c:formatCode>
                <c:ptCount val="5"/>
                <c:pt idx="0">
                  <c:v>30916.17628</c:v>
                </c:pt>
                <c:pt idx="1">
                  <c:v>41152.463060000002</c:v>
                </c:pt>
                <c:pt idx="2">
                  <c:v>32283.12687</c:v>
                </c:pt>
                <c:pt idx="3">
                  <c:v>35220.481350000009</c:v>
                </c:pt>
                <c:pt idx="4">
                  <c:v>16829.926499999998</c:v>
                </c:pt>
              </c:numCache>
            </c:numRef>
          </c:val>
          <c:extLst>
            <c:ext xmlns:c16="http://schemas.microsoft.com/office/drawing/2014/chart" uri="{C3380CC4-5D6E-409C-BE32-E72D297353CC}">
              <c16:uniqueId val="{00000005-8034-4CA6-8332-B140C058BD42}"/>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5316611838614511"/>
          <c:y val="0.15128359950303535"/>
          <c:w val="0.24683388161385486"/>
          <c:h val="0.79161381480921666"/>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2020 - 2024</a:t>
            </a:r>
          </a:p>
        </c:rich>
      </c:tx>
      <c:layout>
        <c:manualLayout>
          <c:xMode val="edge"/>
          <c:yMode val="edge"/>
          <c:x val="0.1299936663642636"/>
          <c:y val="2.6280750784469294E-2"/>
        </c:manualLayout>
      </c:layout>
      <c:overlay val="0"/>
      <c:spPr>
        <a:noFill/>
        <a:ln w="25400">
          <a:noFill/>
        </a:ln>
      </c:spPr>
    </c:title>
    <c:autoTitleDeleted val="0"/>
    <c:plotArea>
      <c:layout>
        <c:manualLayout>
          <c:layoutTarget val="inner"/>
          <c:xMode val="edge"/>
          <c:yMode val="edge"/>
          <c:x val="0.10939653995669822"/>
          <c:y val="0.18648357747094735"/>
          <c:w val="0.83248776491502374"/>
          <c:h val="0.39463822225212042"/>
        </c:manualLayout>
      </c:layout>
      <c:barChart>
        <c:barDir val="col"/>
        <c:grouping val="clustered"/>
        <c:varyColors val="0"/>
        <c:ser>
          <c:idx val="0"/>
          <c:order val="0"/>
          <c:tx>
            <c:strRef>
              <c:f>'54'!$C$8</c:f>
              <c:strCache>
                <c:ptCount val="1"/>
                <c:pt idx="0">
                  <c:v>Arroz semi o blanqueado, grano partido &lt; que 5% en peso</c:v>
                </c:pt>
              </c:strCache>
            </c:strRef>
          </c:tx>
          <c:invertIfNegative val="0"/>
          <c:cat>
            <c:strRef>
              <c:f>'54'!$B$14:$B$18</c:f>
              <c:strCache>
                <c:ptCount val="5"/>
                <c:pt idx="0">
                  <c:v>2020</c:v>
                </c:pt>
                <c:pt idx="1">
                  <c:v>2021</c:v>
                </c:pt>
                <c:pt idx="2">
                  <c:v>2022</c:v>
                </c:pt>
                <c:pt idx="3">
                  <c:v>2023</c:v>
                </c:pt>
                <c:pt idx="4">
                  <c:v>2024*</c:v>
                </c:pt>
              </c:strCache>
            </c:strRef>
          </c:cat>
          <c:val>
            <c:numRef>
              <c:f>'54'!$C$14:$C$18</c:f>
              <c:numCache>
                <c:formatCode>#,##0</c:formatCode>
                <c:ptCount val="5"/>
                <c:pt idx="0">
                  <c:v>572.19839573180616</c:v>
                </c:pt>
                <c:pt idx="1">
                  <c:v>629.16241319891003</c:v>
                </c:pt>
                <c:pt idx="2">
                  <c:v>636.26576848152388</c:v>
                </c:pt>
                <c:pt idx="3">
                  <c:v>691.70832756905327</c:v>
                </c:pt>
                <c:pt idx="4">
                  <c:v>806.9207151892017</c:v>
                </c:pt>
              </c:numCache>
            </c:numRef>
          </c:val>
          <c:extLst>
            <c:ext xmlns:c16="http://schemas.microsoft.com/office/drawing/2014/chart" uri="{C3380CC4-5D6E-409C-BE32-E72D297353CC}">
              <c16:uniqueId val="{00000001-E40E-4F4B-A47C-77386582CED4}"/>
            </c:ext>
          </c:extLst>
        </c:ser>
        <c:ser>
          <c:idx val="1"/>
          <c:order val="1"/>
          <c:tx>
            <c:strRef>
              <c:f>'54'!$D$8</c:f>
              <c:strCache>
                <c:ptCount val="1"/>
                <c:pt idx="0">
                  <c:v>Arroz semi o blanqueado, grano partido &gt; que 5% pero &lt; que 15% en peso</c:v>
                </c:pt>
              </c:strCache>
            </c:strRef>
          </c:tx>
          <c:invertIfNegative val="0"/>
          <c:cat>
            <c:strRef>
              <c:f>'54'!$B$14:$B$18</c:f>
              <c:strCache>
                <c:ptCount val="5"/>
                <c:pt idx="0">
                  <c:v>2020</c:v>
                </c:pt>
                <c:pt idx="1">
                  <c:v>2021</c:v>
                </c:pt>
                <c:pt idx="2">
                  <c:v>2022</c:v>
                </c:pt>
                <c:pt idx="3">
                  <c:v>2023</c:v>
                </c:pt>
                <c:pt idx="4">
                  <c:v>2024*</c:v>
                </c:pt>
              </c:strCache>
            </c:strRef>
          </c:cat>
          <c:val>
            <c:numRef>
              <c:f>'54'!$D$14:$D$18</c:f>
              <c:numCache>
                <c:formatCode>#,##0</c:formatCode>
                <c:ptCount val="5"/>
                <c:pt idx="0">
                  <c:v>505.45948706494579</c:v>
                </c:pt>
                <c:pt idx="1">
                  <c:v>534.64074898148556</c:v>
                </c:pt>
                <c:pt idx="2">
                  <c:v>520.40772206329632</c:v>
                </c:pt>
                <c:pt idx="3">
                  <c:v>619.94585284859409</c:v>
                </c:pt>
                <c:pt idx="4">
                  <c:v>749.76726954462288</c:v>
                </c:pt>
              </c:numCache>
            </c:numRef>
          </c:val>
          <c:extLst>
            <c:ext xmlns:c16="http://schemas.microsoft.com/office/drawing/2014/chart" uri="{C3380CC4-5D6E-409C-BE32-E72D297353CC}">
              <c16:uniqueId val="{00000002-E40E-4F4B-A47C-77386582CED4}"/>
            </c:ext>
          </c:extLst>
        </c:ser>
        <c:ser>
          <c:idx val="2"/>
          <c:order val="2"/>
          <c:tx>
            <c:strRef>
              <c:f>'54'!$E$8</c:f>
              <c:strCache>
                <c:ptCount val="1"/>
                <c:pt idx="0">
                  <c:v>Arroz semi o blanqueado, grano partido &gt; que 15% en peso</c:v>
                </c:pt>
              </c:strCache>
            </c:strRef>
          </c:tx>
          <c:invertIfNegative val="0"/>
          <c:cat>
            <c:strRef>
              <c:f>'54'!$B$14:$B$18</c:f>
              <c:strCache>
                <c:ptCount val="5"/>
                <c:pt idx="0">
                  <c:v>2020</c:v>
                </c:pt>
                <c:pt idx="1">
                  <c:v>2021</c:v>
                </c:pt>
                <c:pt idx="2">
                  <c:v>2022</c:v>
                </c:pt>
                <c:pt idx="3">
                  <c:v>2023</c:v>
                </c:pt>
                <c:pt idx="4">
                  <c:v>2024*</c:v>
                </c:pt>
              </c:strCache>
            </c:strRef>
          </c:cat>
          <c:val>
            <c:numRef>
              <c:f>'54'!$E$14:$E$18</c:f>
              <c:numCache>
                <c:formatCode>#,##0</c:formatCode>
                <c:ptCount val="5"/>
                <c:pt idx="0">
                  <c:v>574.76875640634387</c:v>
                </c:pt>
                <c:pt idx="1">
                  <c:v>640.48616495179488</c:v>
                </c:pt>
                <c:pt idx="2">
                  <c:v>539.17159775611196</c:v>
                </c:pt>
                <c:pt idx="3">
                  <c:v>601.42209916246395</c:v>
                </c:pt>
                <c:pt idx="4">
                  <c:v>730.01124191394388</c:v>
                </c:pt>
              </c:numCache>
            </c:numRef>
          </c:val>
          <c:extLst>
            <c:ext xmlns:c16="http://schemas.microsoft.com/office/drawing/2014/chart" uri="{C3380CC4-5D6E-409C-BE32-E72D297353CC}">
              <c16:uniqueId val="{00000003-E40E-4F4B-A47C-77386582CED4}"/>
            </c:ext>
          </c:extLst>
        </c:ser>
        <c:ser>
          <c:idx val="3"/>
          <c:order val="3"/>
          <c:tx>
            <c:strRef>
              <c:f>'54'!$G$8</c:f>
              <c:strCache>
                <c:ptCount val="1"/>
                <c:pt idx="0">
                  <c:v>Arroz partido</c:v>
                </c:pt>
              </c:strCache>
            </c:strRef>
          </c:tx>
          <c:invertIfNegative val="0"/>
          <c:cat>
            <c:strRef>
              <c:f>'54'!$B$14:$B$18</c:f>
              <c:strCache>
                <c:ptCount val="5"/>
                <c:pt idx="0">
                  <c:v>2020</c:v>
                </c:pt>
                <c:pt idx="1">
                  <c:v>2021</c:v>
                </c:pt>
                <c:pt idx="2">
                  <c:v>2022</c:v>
                </c:pt>
                <c:pt idx="3">
                  <c:v>2023</c:v>
                </c:pt>
                <c:pt idx="4">
                  <c:v>2024*</c:v>
                </c:pt>
              </c:strCache>
            </c:strRef>
          </c:cat>
          <c:val>
            <c:numRef>
              <c:f>'54'!$G$14:$G$18</c:f>
              <c:numCache>
                <c:formatCode>#,##0</c:formatCode>
                <c:ptCount val="5"/>
                <c:pt idx="0">
                  <c:v>380.60525246744896</c:v>
                </c:pt>
                <c:pt idx="1">
                  <c:v>428.26342897370228</c:v>
                </c:pt>
                <c:pt idx="2">
                  <c:v>416.13315784820173</c:v>
                </c:pt>
                <c:pt idx="3">
                  <c:v>417.64801986105539</c:v>
                </c:pt>
                <c:pt idx="4">
                  <c:v>447.78805991581902</c:v>
                </c:pt>
              </c:numCache>
            </c:numRef>
          </c:val>
          <c:extLst>
            <c:ext xmlns:c16="http://schemas.microsoft.com/office/drawing/2014/chart" uri="{C3380CC4-5D6E-409C-BE32-E72D297353CC}">
              <c16:uniqueId val="{00000004-E40E-4F4B-A47C-77386582CED4}"/>
            </c:ext>
          </c:extLst>
        </c:ser>
        <c:dLbls>
          <c:showLegendKey val="0"/>
          <c:showVal val="0"/>
          <c:showCatName val="0"/>
          <c:showSerName val="0"/>
          <c:showPercent val="0"/>
          <c:showBubbleSize val="0"/>
        </c:dLbls>
        <c:gapWidth val="150"/>
        <c:axId val="948683776"/>
        <c:axId val="947189952"/>
      </c:barChart>
      <c:catAx>
        <c:axId val="94868377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47189952"/>
        <c:crosses val="autoZero"/>
        <c:auto val="1"/>
        <c:lblAlgn val="ctr"/>
        <c:lblOffset val="100"/>
        <c:noMultiLvlLbl val="0"/>
      </c:catAx>
      <c:valAx>
        <c:axId val="947189952"/>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683776"/>
        <c:crosses val="autoZero"/>
        <c:crossBetween val="between"/>
      </c:valAx>
      <c:spPr>
        <a:solidFill>
          <a:srgbClr val="FFFFFF"/>
        </a:solidFill>
        <a:ln w="12700">
          <a:solidFill>
            <a:srgbClr val="808080"/>
          </a:solidFill>
          <a:prstDash val="solid"/>
        </a:ln>
      </c:spPr>
    </c:plotArea>
    <c:legend>
      <c:legendPos val="r"/>
      <c:layout>
        <c:manualLayout>
          <c:xMode val="edge"/>
          <c:yMode val="edge"/>
          <c:x val="1.6730207005857849E-2"/>
          <c:y val="0.70080987701325215"/>
          <c:w val="0.95056083884337306"/>
          <c:h val="0.160631849943382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3781248"/>
        <c:axId val="948503104"/>
      </c:barChart>
      <c:catAx>
        <c:axId val="953781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3104"/>
        <c:crosses val="autoZero"/>
        <c:auto val="1"/>
        <c:lblAlgn val="ctr"/>
        <c:lblOffset val="100"/>
        <c:tickMarkSkip val="1"/>
        <c:noMultiLvlLbl val="0"/>
      </c:catAx>
      <c:valAx>
        <c:axId val="9485031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37812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392512"/>
        <c:axId val="948504832"/>
      </c:barChart>
      <c:catAx>
        <c:axId val="9553925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4832"/>
        <c:crosses val="autoZero"/>
        <c:auto val="1"/>
        <c:lblAlgn val="ctr"/>
        <c:lblOffset val="100"/>
        <c:tickMarkSkip val="1"/>
        <c:noMultiLvlLbl val="0"/>
      </c:catAx>
      <c:valAx>
        <c:axId val="948504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3925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2019 - 2024</a:t>
            </a:r>
          </a:p>
        </c:rich>
      </c:tx>
      <c:layout>
        <c:manualLayout>
          <c:xMode val="edge"/>
          <c:yMode val="edge"/>
          <c:x val="0.21754938826264894"/>
          <c:y val="2.0618432272559672E-2"/>
        </c:manualLayout>
      </c:layout>
      <c:overlay val="0"/>
      <c:spPr>
        <a:noFill/>
        <a:ln w="25400">
          <a:noFill/>
        </a:ln>
      </c:spPr>
    </c:title>
    <c:autoTitleDeleted val="0"/>
    <c:plotArea>
      <c:layout>
        <c:manualLayout>
          <c:layoutTarget val="inner"/>
          <c:xMode val="edge"/>
          <c:yMode val="edge"/>
          <c:x val="0.1420356686183458"/>
          <c:y val="0.17111736945290598"/>
          <c:w val="0.79028995698947646"/>
          <c:h val="0.51209984666619501"/>
        </c:manualLayout>
      </c:layout>
      <c:lineChart>
        <c:grouping val="standard"/>
        <c:varyColors val="0"/>
        <c:ser>
          <c:idx val="0"/>
          <c:order val="0"/>
          <c:tx>
            <c:strRef>
              <c:f>'55'!$D$6</c:f>
              <c:strCache>
                <c:ptCount val="1"/>
                <c:pt idx="0">
                  <c:v>2019</c:v>
                </c:pt>
              </c:strCache>
            </c:strRef>
          </c:tx>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'55'!$D$7:$D$18</c:f>
              <c:numCache>
                <c:formatCode>#,##0</c:formatCode>
                <c:ptCount val="12"/>
                <c:pt idx="2">
                  <c:v>170500</c:v>
                </c:pt>
                <c:pt idx="3">
                  <c:v>173000</c:v>
                </c:pt>
                <c:pt idx="4">
                  <c:v>176666.66666666669</c:v>
                </c:pt>
                <c:pt idx="5">
                  <c:v>179000</c:v>
                </c:pt>
                <c:pt idx="6">
                  <c:v>173548.38709677421</c:v>
                </c:pt>
                <c:pt idx="7">
                  <c:v>177742</c:v>
                </c:pt>
                <c:pt idx="8">
                  <c:v>185400</c:v>
                </c:pt>
              </c:numCache>
            </c:numRef>
          </c:val>
          <c:smooth val="0"/>
          <c:extLst>
            <c:ext xmlns:c16="http://schemas.microsoft.com/office/drawing/2014/chart" uri="{C3380CC4-5D6E-409C-BE32-E72D297353CC}">
              <c16:uniqueId val="{00000002-E7D9-4A0B-8D41-9B4083B305DE}"/>
            </c:ext>
          </c:extLst>
        </c:ser>
        <c:ser>
          <c:idx val="1"/>
          <c:order val="1"/>
          <c:tx>
            <c:strRef>
              <c:f>'55'!$E$6</c:f>
              <c:strCache>
                <c:ptCount val="1"/>
                <c:pt idx="0">
                  <c:v>2020</c:v>
                </c:pt>
              </c:strCache>
            </c:strRef>
          </c:tx>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'55'!$E$7:$E$18</c:f>
              <c:numCache>
                <c:formatCode>#,##0</c:formatCode>
                <c:ptCount val="12"/>
                <c:pt idx="2">
                  <c:v>229324.07407407404</c:v>
                </c:pt>
                <c:pt idx="3">
                  <c:v>237888.88888888888</c:v>
                </c:pt>
                <c:pt idx="4">
                  <c:v>236881.7204301075</c:v>
                </c:pt>
                <c:pt idx="5">
                  <c:v>228216.66666666669</c:v>
                </c:pt>
                <c:pt idx="6">
                  <c:v>235423.07692307691</c:v>
                </c:pt>
                <c:pt idx="7">
                  <c:v>229000</c:v>
                </c:pt>
              </c:numCache>
            </c:numRef>
          </c:val>
          <c:smooth val="0"/>
          <c:extLst>
            <c:ext xmlns:c16="http://schemas.microsoft.com/office/drawing/2014/chart" uri="{C3380CC4-5D6E-409C-BE32-E72D297353CC}">
              <c16:uniqueId val="{00000003-E7D9-4A0B-8D41-9B4083B305DE}"/>
            </c:ext>
          </c:extLst>
        </c:ser>
        <c:ser>
          <c:idx val="2"/>
          <c:order val="2"/>
          <c:tx>
            <c:strRef>
              <c:f>'55'!$F$6</c:f>
              <c:strCache>
                <c:ptCount val="1"/>
                <c:pt idx="0">
                  <c:v>2021</c:v>
                </c:pt>
              </c:strCache>
            </c:strRef>
          </c:tx>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'55'!$F$7:$F$18</c:f>
              <c:numCache>
                <c:formatCode>#,##0</c:formatCode>
                <c:ptCount val="12"/>
                <c:pt idx="2">
                  <c:v>232700</c:v>
                </c:pt>
                <c:pt idx="3">
                  <c:v>230633.33333333331</c:v>
                </c:pt>
                <c:pt idx="4">
                  <c:v>225316.66666666669</c:v>
                </c:pt>
                <c:pt idx="5">
                  <c:v>227433.33333333331</c:v>
                </c:pt>
                <c:pt idx="6">
                  <c:v>228000</c:v>
                </c:pt>
                <c:pt idx="7">
                  <c:v>235700</c:v>
                </c:pt>
              </c:numCache>
            </c:numRef>
          </c:val>
          <c:smooth val="0"/>
          <c:extLst>
            <c:ext xmlns:c16="http://schemas.microsoft.com/office/drawing/2014/chart" uri="{C3380CC4-5D6E-409C-BE32-E72D297353CC}">
              <c16:uniqueId val="{00000000-D835-4D7D-8CFC-B47108B45EB2}"/>
            </c:ext>
          </c:extLst>
        </c:ser>
        <c:ser>
          <c:idx val="3"/>
          <c:order val="3"/>
          <c:tx>
            <c:strRef>
              <c:f>'55'!$G$6</c:f>
              <c:strCache>
                <c:ptCount val="1"/>
                <c:pt idx="0">
                  <c:v>2022</c:v>
                </c:pt>
              </c:strCache>
            </c:strRef>
          </c:tx>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'55'!$G$7:$G$18</c:f>
              <c:numCache>
                <c:formatCode>#,##0</c:formatCode>
                <c:ptCount val="12"/>
                <c:pt idx="3">
                  <c:v>258366.66666666663</c:v>
                </c:pt>
                <c:pt idx="4">
                  <c:v>267000.00000000006</c:v>
                </c:pt>
                <c:pt idx="5">
                  <c:v>257133.33333333328</c:v>
                </c:pt>
                <c:pt idx="6">
                  <c:v>278380.64516129036</c:v>
                </c:pt>
                <c:pt idx="7">
                  <c:v>269687.5</c:v>
                </c:pt>
                <c:pt idx="8">
                  <c:v>263000</c:v>
                </c:pt>
              </c:numCache>
            </c:numRef>
          </c:val>
          <c:smooth val="0"/>
          <c:extLst>
            <c:ext xmlns:c16="http://schemas.microsoft.com/office/drawing/2014/chart" uri="{C3380CC4-5D6E-409C-BE32-E72D297353CC}">
              <c16:uniqueId val="{00000001-46FE-4033-8AB7-C45E7EEC0357}"/>
            </c:ext>
          </c:extLst>
        </c:ser>
        <c:ser>
          <c:idx val="4"/>
          <c:order val="4"/>
          <c:tx>
            <c:strRef>
              <c:f>'55'!$H$6</c:f>
              <c:strCache>
                <c:ptCount val="1"/>
                <c:pt idx="0">
                  <c:v>2023</c:v>
                </c:pt>
              </c:strCache>
            </c:strRef>
          </c:tx>
          <c:spPr>
            <a:ln>
              <a:solidFill>
                <a:srgbClr val="FF3300"/>
              </a:solidFill>
            </a:ln>
          </c:spPr>
          <c:marker>
            <c:spPr>
              <a:solidFill>
                <a:srgbClr val="FF3300"/>
              </a:solidFill>
              <a:ln>
                <a:solidFill>
                  <a:srgbClr val="FF3300"/>
                </a:solidFill>
              </a:ln>
            </c:spPr>
          </c:marker>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'55'!$H$7:$H$18</c:f>
              <c:numCache>
                <c:formatCode>#,##0</c:formatCode>
                <c:ptCount val="12"/>
                <c:pt idx="3">
                  <c:v>298087.5</c:v>
                </c:pt>
                <c:pt idx="4">
                  <c:v>292576.88172043004</c:v>
                </c:pt>
                <c:pt idx="5">
                  <c:v>283259.16666666669</c:v>
                </c:pt>
                <c:pt idx="6">
                  <c:v>288993.70967741933</c:v>
                </c:pt>
                <c:pt idx="7">
                  <c:v>333458.70967741933</c:v>
                </c:pt>
                <c:pt idx="8">
                  <c:v>371782.66666666669</c:v>
                </c:pt>
                <c:pt idx="9">
                  <c:v>388000</c:v>
                </c:pt>
              </c:numCache>
            </c:numRef>
          </c:val>
          <c:smooth val="0"/>
          <c:extLst>
            <c:ext xmlns:c16="http://schemas.microsoft.com/office/drawing/2014/chart" uri="{C3380CC4-5D6E-409C-BE32-E72D297353CC}">
              <c16:uniqueId val="{00000000-241C-4524-B876-8D116853A28A}"/>
            </c:ext>
          </c:extLst>
        </c:ser>
        <c:ser>
          <c:idx val="5"/>
          <c:order val="5"/>
          <c:tx>
            <c:strRef>
              <c:f>'55'!$I$6</c:f>
              <c:strCache>
                <c:ptCount val="1"/>
                <c:pt idx="0">
                  <c:v>2024</c:v>
                </c:pt>
              </c:strCache>
            </c:strRef>
          </c:tx>
          <c:spPr>
            <a:ln>
              <a:solidFill>
                <a:schemeClr val="tx1"/>
              </a:solidFill>
            </a:ln>
          </c:spPr>
          <c:marker>
            <c:spPr>
              <a:solidFill>
                <a:schemeClr val="tx1"/>
              </a:solidFill>
              <a:ln>
                <a:solidFill>
                  <a:schemeClr val="tx1"/>
                </a:solidFill>
              </a:ln>
            </c:spPr>
          </c:marker>
          <c:cat>
            <c:strRef>
              <c:f>'55'!$B$7:$B$18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'55'!$I$7:$I$18</c:f>
              <c:numCache>
                <c:formatCode>#,##0</c:formatCode>
                <c:ptCount val="12"/>
                <c:pt idx="2">
                  <c:v>400065</c:v>
                </c:pt>
                <c:pt idx="3">
                  <c:v>406970.5</c:v>
                </c:pt>
                <c:pt idx="4">
                  <c:v>420445.76923076925</c:v>
                </c:pt>
                <c:pt idx="5">
                  <c:v>426282.66666666669</c:v>
                </c:pt>
                <c:pt idx="6">
                  <c:v>436485</c:v>
                </c:pt>
              </c:numCache>
            </c:numRef>
          </c:val>
          <c:smooth val="0"/>
          <c:extLst>
            <c:ext xmlns:c16="http://schemas.microsoft.com/office/drawing/2014/chart" uri="{C3380CC4-5D6E-409C-BE32-E72D297353CC}">
              <c16:uniqueId val="{00000000-C0B2-4B49-89CE-AD8BA51282C0}"/>
            </c:ext>
          </c:extLst>
        </c:ser>
        <c:dLbls>
          <c:showLegendKey val="0"/>
          <c:showVal val="0"/>
          <c:showCatName val="0"/>
          <c:showSerName val="0"/>
          <c:showPercent val="0"/>
          <c:showBubbleSize val="0"/>
        </c:dLbls>
        <c:marker val="1"/>
        <c:smooth val="0"/>
        <c:axId val="955393536"/>
        <c:axId val="948506560"/>
        <c:extLst/>
      </c:lineChart>
      <c:catAx>
        <c:axId val="955393536"/>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948506560"/>
        <c:crosses val="autoZero"/>
        <c:auto val="1"/>
        <c:lblAlgn val="ctr"/>
        <c:lblOffset val="100"/>
        <c:tickLblSkip val="1"/>
        <c:tickMarkSkip val="1"/>
        <c:noMultiLvlLbl val="0"/>
      </c:catAx>
      <c:valAx>
        <c:axId val="948506560"/>
        <c:scaling>
          <c:orientation val="minMax"/>
          <c:max val="450000"/>
          <c:min val="15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55393536"/>
        <c:crosses val="autoZero"/>
        <c:crossBetween val="between"/>
      </c:valAx>
      <c:spPr>
        <a:solidFill>
          <a:srgbClr val="FFFFFF"/>
        </a:solidFill>
        <a:ln w="12700">
          <a:solidFill>
            <a:srgbClr val="808080"/>
          </a:solidFill>
          <a:prstDash val="solid"/>
        </a:ln>
      </c:spPr>
    </c:plotArea>
    <c:legend>
      <c:legendPos val="r"/>
      <c:layout>
        <c:manualLayout>
          <c:xMode val="edge"/>
          <c:yMode val="edge"/>
          <c:x val="6.7105351690422144E-2"/>
          <c:y val="0.81300507344026562"/>
          <c:w val="0.895662860963364"/>
          <c:h val="0.12951363890647358"/>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8048"/>
        <c:axId val="948508864"/>
      </c:barChart>
      <c:catAx>
        <c:axId val="955778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8864"/>
        <c:crosses val="autoZero"/>
        <c:auto val="1"/>
        <c:lblAlgn val="ctr"/>
        <c:lblOffset val="100"/>
        <c:tickMarkSkip val="1"/>
        <c:noMultiLvlLbl val="0"/>
      </c:catAx>
      <c:valAx>
        <c:axId val="94850886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8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9584"/>
        <c:axId val="948928512"/>
      </c:barChart>
      <c:catAx>
        <c:axId val="9557795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928512"/>
        <c:crosses val="autoZero"/>
        <c:auto val="1"/>
        <c:lblAlgn val="ctr"/>
        <c:lblOffset val="100"/>
        <c:tickMarkSkip val="1"/>
        <c:noMultiLvlLbl val="0"/>
      </c:catAx>
      <c:valAx>
        <c:axId val="94892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958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10.1 Evolución de los precios de importación y del mercado nacional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14390371480114603"/>
          <c:y val="1.3098600403564619E-2"/>
        </c:manualLayout>
      </c:layout>
      <c:overlay val="0"/>
      <c:spPr>
        <a:noFill/>
        <a:ln w="25400">
          <a:noFill/>
        </a:ln>
      </c:spPr>
    </c:title>
    <c:autoTitleDeleted val="0"/>
    <c:plotArea>
      <c:layout>
        <c:manualLayout>
          <c:layoutTarget val="inner"/>
          <c:xMode val="edge"/>
          <c:yMode val="edge"/>
          <c:x val="0.10683724247505444"/>
          <c:y val="0.1993918931351083"/>
          <c:w val="0.79878864782189996"/>
          <c:h val="0.43414973903230347"/>
        </c:manualLayout>
      </c:layout>
      <c:lineChart>
        <c:grouping val="standard"/>
        <c:varyColors val="0"/>
        <c:ser>
          <c:idx val="0"/>
          <c:order val="0"/>
          <c:tx>
            <c:strRef>
              <c:f>'57A'!$F$5</c:f>
              <c:strCache>
                <c:ptCount val="1"/>
                <c:pt idx="0">
                  <c:v> Precio promedio nacional paddy </c:v>
                </c:pt>
              </c:strCache>
            </c:strRef>
          </c:tx>
          <c:spPr>
            <a:ln>
              <a:solidFill>
                <a:srgbClr val="00B0F0"/>
              </a:solidFill>
            </a:ln>
          </c:spPr>
          <c:marker>
            <c:symbol val="none"/>
          </c:marker>
          <c:cat>
            <c:numRef>
              <c:f>'57A'!$B$6:$B$47</c:f>
              <c:numCache>
                <c:formatCode>mmm\-yy</c:formatCode>
                <c:ptCount val="4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numCache>
            </c:numRef>
          </c:cat>
          <c:val>
            <c:numRef>
              <c:f>'57A'!$F$6:$F$47</c:f>
              <c:numCache>
                <c:formatCode>#,##0_ ;\-#,##0\ </c:formatCode>
                <c:ptCount val="42"/>
                <c:pt idx="2">
                  <c:v>320.36014703250407</c:v>
                </c:pt>
                <c:pt idx="3">
                  <c:v>325.82232582232575</c:v>
                </c:pt>
                <c:pt idx="4">
                  <c:v>316.43935750174597</c:v>
                </c:pt>
                <c:pt idx="5">
                  <c:v>313.03621732228555</c:v>
                </c:pt>
                <c:pt idx="6">
                  <c:v>303.82175790203075</c:v>
                </c:pt>
                <c:pt idx="7">
                  <c:v>302.24536116845979</c:v>
                </c:pt>
                <c:pt idx="15">
                  <c:v>316.96764484574862</c:v>
                </c:pt>
                <c:pt idx="16">
                  <c:v>314.3432345565642</c:v>
                </c:pt>
                <c:pt idx="17">
                  <c:v>299.76955749598761</c:v>
                </c:pt>
                <c:pt idx="18">
                  <c:v>291.89234165657308</c:v>
                </c:pt>
                <c:pt idx="19">
                  <c:v>298.21142256869575</c:v>
                </c:pt>
                <c:pt idx="20">
                  <c:v>285.5560743097252</c:v>
                </c:pt>
                <c:pt idx="27">
                  <c:v>370.82939390923565</c:v>
                </c:pt>
                <c:pt idx="28">
                  <c:v>366.34388675802626</c:v>
                </c:pt>
                <c:pt idx="29">
                  <c:v>354.13150470284756</c:v>
                </c:pt>
                <c:pt idx="30">
                  <c:v>355.29101263513564</c:v>
                </c:pt>
                <c:pt idx="31">
                  <c:v>389.70935848049379</c:v>
                </c:pt>
                <c:pt idx="32">
                  <c:v>420.48300873879384</c:v>
                </c:pt>
                <c:pt idx="33">
                  <c:v>418.84816753926702</c:v>
                </c:pt>
                <c:pt idx="38">
                  <c:v>413.32017811205361</c:v>
                </c:pt>
                <c:pt idx="39">
                  <c:v>423.86579040556592</c:v>
                </c:pt>
                <c:pt idx="40">
                  <c:v>458.18994541418726</c:v>
                </c:pt>
                <c:pt idx="41">
                  <c:v>460.30868463487678</c:v>
                </c:pt>
              </c:numCache>
            </c:numRef>
          </c:val>
          <c:smooth val="0"/>
          <c:extLst>
            <c:ext xmlns:c16="http://schemas.microsoft.com/office/drawing/2014/chart" uri="{C3380CC4-5D6E-409C-BE32-E72D297353CC}">
              <c16:uniqueId val="{00000001-4932-4948-A180-8B34C69193A6}"/>
            </c:ext>
          </c:extLst>
        </c:ser>
        <c:ser>
          <c:idx val="1"/>
          <c:order val="1"/>
          <c:tx>
            <c:strRef>
              <c:f>'57A'!$H$5</c:f>
              <c:strCache>
                <c:ptCount val="1"/>
                <c:pt idx="0">
                  <c:v> Costo de importación CIF* (convertido a paddy)   </c:v>
                </c:pt>
              </c:strCache>
            </c:strRef>
          </c:tx>
          <c:marker>
            <c:symbol val="none"/>
          </c:marker>
          <c:cat>
            <c:numRef>
              <c:f>'57A'!$B$6:$B$47</c:f>
              <c:numCache>
                <c:formatCode>mmm\-yy</c:formatCode>
                <c:ptCount val="4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numCache>
            </c:numRef>
          </c:cat>
          <c:val>
            <c:numRef>
              <c:f>'57A'!$H$6:$H$47</c:f>
              <c:numCache>
                <c:formatCode>#,##0_ ;\-#,##0\ </c:formatCode>
                <c:ptCount val="42"/>
                <c:pt idx="0">
                  <c:v>296.21729982123884</c:v>
                </c:pt>
                <c:pt idx="1">
                  <c:v>322.11223322174328</c:v>
                </c:pt>
                <c:pt idx="2">
                  <c:v>325.01477707275012</c:v>
                </c:pt>
                <c:pt idx="3">
                  <c:v>336.67181786593119</c:v>
                </c:pt>
                <c:pt idx="4">
                  <c:v>310.97171391931886</c:v>
                </c:pt>
                <c:pt idx="5">
                  <c:v>354.96485849299859</c:v>
                </c:pt>
                <c:pt idx="6">
                  <c:v>333.34257000960605</c:v>
                </c:pt>
                <c:pt idx="7">
                  <c:v>340.56061818418544</c:v>
                </c:pt>
                <c:pt idx="8">
                  <c:v>332.64204505919133</c:v>
                </c:pt>
                <c:pt idx="9">
                  <c:v>319.75940031748729</c:v>
                </c:pt>
                <c:pt idx="10">
                  <c:v>339.86128636663625</c:v>
                </c:pt>
                <c:pt idx="11">
                  <c:v>333.58556491424247</c:v>
                </c:pt>
                <c:pt idx="12">
                  <c:v>315.40702538079842</c:v>
                </c:pt>
                <c:pt idx="13">
                  <c:v>308.6469367025648</c:v>
                </c:pt>
                <c:pt idx="14">
                  <c:v>308.36571347605326</c:v>
                </c:pt>
                <c:pt idx="15">
                  <c:v>310.57885537936716</c:v>
                </c:pt>
                <c:pt idx="16">
                  <c:v>319.10531857475871</c:v>
                </c:pt>
                <c:pt idx="17">
                  <c:v>318.89339079281837</c:v>
                </c:pt>
                <c:pt idx="18">
                  <c:v>326.3605533499163</c:v>
                </c:pt>
                <c:pt idx="19">
                  <c:v>319.42938288443156</c:v>
                </c:pt>
                <c:pt idx="20">
                  <c:v>320.83421592780638</c:v>
                </c:pt>
                <c:pt idx="21">
                  <c:v>315.01390804255169</c:v>
                </c:pt>
                <c:pt idx="22">
                  <c:v>321.50720211617715</c:v>
                </c:pt>
                <c:pt idx="23">
                  <c:v>336.65846981853815</c:v>
                </c:pt>
                <c:pt idx="24">
                  <c:v>328.45496008799256</c:v>
                </c:pt>
                <c:pt idx="25">
                  <c:v>347.55984470147723</c:v>
                </c:pt>
                <c:pt idx="26">
                  <c:v>332.07652240068074</c:v>
                </c:pt>
                <c:pt idx="27">
                  <c:v>334.6800733973717</c:v>
                </c:pt>
                <c:pt idx="28">
                  <c:v>342.57886882561615</c:v>
                </c:pt>
                <c:pt idx="29">
                  <c:v>343.60423667701764</c:v>
                </c:pt>
                <c:pt idx="30">
                  <c:v>355.85972541197327</c:v>
                </c:pt>
                <c:pt idx="31">
                  <c:v>369.58630846699435</c:v>
                </c:pt>
                <c:pt idx="32">
                  <c:v>367.56275269831485</c:v>
                </c:pt>
                <c:pt idx="33">
                  <c:v>389.50846376285483</c:v>
                </c:pt>
                <c:pt idx="34">
                  <c:v>403.40036475836939</c:v>
                </c:pt>
                <c:pt idx="35">
                  <c:v>386.84550203479597</c:v>
                </c:pt>
                <c:pt idx="36">
                  <c:v>385.9538595560993</c:v>
                </c:pt>
                <c:pt idx="37">
                  <c:v>410.39738032353364</c:v>
                </c:pt>
                <c:pt idx="38">
                  <c:v>422.87452282146893</c:v>
                </c:pt>
                <c:pt idx="39">
                  <c:v>430.17363651086879</c:v>
                </c:pt>
                <c:pt idx="40">
                  <c:v>439.40292984698664</c:v>
                </c:pt>
                <c:pt idx="41">
                  <c:v>454.0870838965763</c:v>
                </c:pt>
              </c:numCache>
            </c:numRef>
          </c:val>
          <c:smooth val="0"/>
          <c:extLst>
            <c:ext xmlns:c16="http://schemas.microsoft.com/office/drawing/2014/chart" uri="{C3380CC4-5D6E-409C-BE32-E72D297353CC}">
              <c16:uniqueId val="{00000002-4932-4948-A180-8B34C69193A6}"/>
            </c:ext>
          </c:extLst>
        </c:ser>
        <c:ser>
          <c:idx val="2"/>
          <c:order val="2"/>
          <c:tx>
            <c:strRef>
              <c:f>'57A'!$I$5</c:f>
              <c:strCache>
                <c:ptCount val="1"/>
                <c:pt idx="0">
                  <c:v> Costo de importación CAI (Odepa) </c:v>
                </c:pt>
              </c:strCache>
            </c:strRef>
          </c:tx>
          <c:marker>
            <c:symbol val="none"/>
          </c:marker>
          <c:cat>
            <c:numRef>
              <c:f>'57A'!$B$6:$B$47</c:f>
              <c:numCache>
                <c:formatCode>mmm\-yy</c:formatCode>
                <c:ptCount val="4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numCache>
            </c:numRef>
          </c:cat>
          <c:val>
            <c:numRef>
              <c:f>'57A'!$I$6:$I$47</c:f>
              <c:numCache>
                <c:formatCode>#,##0_ ;\-#,##0\ </c:formatCode>
                <c:ptCount val="42"/>
                <c:pt idx="0">
                  <c:v>354.63184719282259</c:v>
                </c:pt>
                <c:pt idx="1">
                  <c:v>346.645816900304</c:v>
                </c:pt>
                <c:pt idx="2">
                  <c:v>323.65679107525546</c:v>
                </c:pt>
                <c:pt idx="3">
                  <c:v>323.81323726778271</c:v>
                </c:pt>
                <c:pt idx="4">
                  <c:v>313.9434403710859</c:v>
                </c:pt>
                <c:pt idx="5">
                  <c:v>311.01889320156727</c:v>
                </c:pt>
                <c:pt idx="6">
                  <c:v>306.60507126141908</c:v>
                </c:pt>
                <c:pt idx="7">
                  <c:v>304.83743804463126</c:v>
                </c:pt>
                <c:pt idx="8">
                  <c:v>300.36581890262835</c:v>
                </c:pt>
                <c:pt idx="9">
                  <c:v>294.88614859040638</c:v>
                </c:pt>
                <c:pt idx="10">
                  <c:v>274.59154525571</c:v>
                </c:pt>
                <c:pt idx="11">
                  <c:v>275.22231745047623</c:v>
                </c:pt>
                <c:pt idx="12">
                  <c:v>266.40188147517387</c:v>
                </c:pt>
                <c:pt idx="13">
                  <c:v>274.23891360105068</c:v>
                </c:pt>
                <c:pt idx="14">
                  <c:v>294.40171076440697</c:v>
                </c:pt>
                <c:pt idx="15">
                  <c:v>304.41770736448223</c:v>
                </c:pt>
                <c:pt idx="16">
                  <c:v>296.43473791218946</c:v>
                </c:pt>
                <c:pt idx="17">
                  <c:v>294.29385089158933</c:v>
                </c:pt>
                <c:pt idx="18">
                  <c:v>292.0738630826794</c:v>
                </c:pt>
                <c:pt idx="19">
                  <c:v>295.62954788204371</c:v>
                </c:pt>
                <c:pt idx="20">
                  <c:v>293.76874332661924</c:v>
                </c:pt>
                <c:pt idx="21">
                  <c:v>310.54801713150471</c:v>
                </c:pt>
                <c:pt idx="22">
                  <c:v>323.75444080218722</c:v>
                </c:pt>
                <c:pt idx="23">
                  <c:v>336.86370966774791</c:v>
                </c:pt>
                <c:pt idx="24">
                  <c:v>344.82512839840126</c:v>
                </c:pt>
                <c:pt idx="25">
                  <c:v>346.1257737092501</c:v>
                </c:pt>
                <c:pt idx="26">
                  <c:v>348.27295803577437</c:v>
                </c:pt>
                <c:pt idx="27">
                  <c:v>354.30205291915456</c:v>
                </c:pt>
                <c:pt idx="28">
                  <c:v>355.54877477380393</c:v>
                </c:pt>
                <c:pt idx="29">
                  <c:v>355.31039242696056</c:v>
                </c:pt>
                <c:pt idx="30">
                  <c:v>363.80889172325686</c:v>
                </c:pt>
                <c:pt idx="31">
                  <c:v>401.06450255106211</c:v>
                </c:pt>
                <c:pt idx="32">
                  <c:v>431.58297125264079</c:v>
                </c:pt>
                <c:pt idx="33">
                  <c:v>444.56450356818641</c:v>
                </c:pt>
                <c:pt idx="34">
                  <c:v>450.41146924629879</c:v>
                </c:pt>
                <c:pt idx="35">
                  <c:v>461.52799571799699</c:v>
                </c:pt>
                <c:pt idx="36">
                  <c:v>469.39751335606553</c:v>
                </c:pt>
                <c:pt idx="37">
                  <c:v>438.42952193580379</c:v>
                </c:pt>
                <c:pt idx="38">
                  <c:v>419.63389643228072</c:v>
                </c:pt>
                <c:pt idx="39">
                  <c:v>425.61323839811791</c:v>
                </c:pt>
                <c:pt idx="40">
                  <c:v>456.3200295802107</c:v>
                </c:pt>
                <c:pt idx="41">
                  <c:v>465.08055581558602</c:v>
                </c:pt>
              </c:numCache>
            </c:numRef>
          </c:val>
          <c:smooth val="0"/>
          <c:extLst>
            <c:ext xmlns:c16="http://schemas.microsoft.com/office/drawing/2014/chart" uri="{C3380CC4-5D6E-409C-BE32-E72D297353CC}">
              <c16:uniqueId val="{00000003-4932-4948-A180-8B34C69193A6}"/>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480"/>
          <c:min val="240"/>
        </c:scaling>
        <c:delete val="0"/>
        <c:axPos val="r"/>
        <c:majorGridlines/>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30"/>
      </c:valAx>
      <c:spPr>
        <a:solidFill>
          <a:srgbClr val="FFFFFF"/>
        </a:solidFill>
        <a:ln w="12700">
          <a:solidFill>
            <a:srgbClr val="808080"/>
          </a:solidFill>
          <a:prstDash val="solid"/>
        </a:ln>
      </c:spPr>
    </c:plotArea>
    <c:legend>
      <c:legendPos val="r"/>
      <c:layout>
        <c:manualLayout>
          <c:xMode val="edge"/>
          <c:yMode val="edge"/>
          <c:x val="3.8720670707528458E-2"/>
          <c:y val="0.88827220254986339"/>
          <c:w val="0.89407558982229207"/>
          <c:h val="0.11172771051916375"/>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2012 - 2023</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'11'!$B$8:$B$19</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'11'!$C$8:$C$19</c:f>
              <c:numCache>
                <c:formatCode>#,##0_);\(#,##0\)</c:formatCode>
                <c:ptCount val="12"/>
                <c:pt idx="0">
                  <c:v>1114411.3</c:v>
                </c:pt>
                <c:pt idx="1">
                  <c:v>1365123.3</c:v>
                </c:pt>
                <c:pt idx="2">
                  <c:v>1236091.7399999998</c:v>
                </c:pt>
                <c:pt idx="3">
                  <c:v>1333212.5</c:v>
                </c:pt>
                <c:pt idx="4">
                  <c:v>1531005.6</c:v>
                </c:pt>
                <c:pt idx="5">
                  <c:v>1221269.1400000001</c:v>
                </c:pt>
                <c:pt idx="6">
                  <c:v>1281339.7</c:v>
                </c:pt>
                <c:pt idx="7">
                  <c:v>1204856.2</c:v>
                </c:pt>
                <c:pt idx="8">
                  <c:v>1086140.1000000001</c:v>
                </c:pt>
                <c:pt idx="9" formatCode="#,##0">
                  <c:v>1203308.9100000001</c:v>
                </c:pt>
                <c:pt idx="10" formatCode="[$-10C0A]#,###,##0">
                  <c:v>1009742.69228811</c:v>
                </c:pt>
                <c:pt idx="11" formatCode="[$-10C0A]#,###,##0">
                  <c:v>1132023.9850410244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'11'!$B$8:$B$19</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'11'!$E$8:$E$19</c:f>
              <c:numCache>
                <c:formatCode>#,##0_);\(#,##0\)</c:formatCode>
                <c:ptCount val="12"/>
                <c:pt idx="0">
                  <c:v>681390</c:v>
                </c:pt>
                <c:pt idx="1">
                  <c:v>745918</c:v>
                </c:pt>
                <c:pt idx="2">
                  <c:v>708601</c:v>
                </c:pt>
                <c:pt idx="3">
                  <c:v>690802</c:v>
                </c:pt>
                <c:pt idx="4">
                  <c:v>619305</c:v>
                </c:pt>
                <c:pt idx="5">
                  <c:v>1004093</c:v>
                </c:pt>
                <c:pt idx="6" formatCode="#,##0">
                  <c:v>1068897</c:v>
                </c:pt>
                <c:pt idx="7" formatCode="#,##0">
                  <c:v>1115798</c:v>
                </c:pt>
                <c:pt idx="8" formatCode="#,##0">
                  <c:v>1136918.7700699999</c:v>
                </c:pt>
                <c:pt idx="9" formatCode="#,##0">
                  <c:v>932545</c:v>
                </c:pt>
                <c:pt idx="10" formatCode="#,##0">
                  <c:v>1087269.2710000002</c:v>
                </c:pt>
                <c:pt idx="11" formatCode="#,##0">
                  <c:v>942564.53300000017</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75432192"/>
        <c:axId val="979647232"/>
      </c:barChart>
      <c:lineChart>
        <c:grouping val="standard"/>
        <c:varyColors val="0"/>
        <c:ser>
          <c:idx val="5"/>
          <c:order val="2"/>
          <c:tx>
            <c:strRef>
              <c:f>'11'!$I$6</c:f>
              <c:strCache>
                <c:ptCount val="1"/>
                <c:pt idx="0">
                  <c:v>Disponibilidad aparente</c:v>
                </c:pt>
              </c:strCache>
            </c:strRef>
          </c:tx>
          <c:marker>
            <c:symbol val="none"/>
          </c:marker>
          <c:cat>
            <c:numRef>
              <c:f>'11'!$B$8:$B$11</c:f>
              <c:numCache>
                <c:formatCode>General</c:formatCode>
                <c:ptCount val="4"/>
                <c:pt idx="0">
                  <c:v>2012</c:v>
                </c:pt>
                <c:pt idx="1">
                  <c:v>2013</c:v>
                </c:pt>
                <c:pt idx="2">
                  <c:v>2014</c:v>
                </c:pt>
                <c:pt idx="3">
                  <c:v>2015</c:v>
                </c:pt>
              </c:numCache>
            </c:numRef>
          </c:cat>
          <c:val>
            <c:numRef>
              <c:f>'11'!$I$8:$I$19</c:f>
              <c:numCache>
                <c:formatCode>#,##0_);\(#,##0\)</c:formatCode>
                <c:ptCount val="12"/>
                <c:pt idx="0">
                  <c:v>1795801.3</c:v>
                </c:pt>
                <c:pt idx="1">
                  <c:v>2111041.2999999998</c:v>
                </c:pt>
                <c:pt idx="2">
                  <c:v>1944692.7399999998</c:v>
                </c:pt>
                <c:pt idx="3">
                  <c:v>2024014.5</c:v>
                </c:pt>
                <c:pt idx="4">
                  <c:v>2150310.6</c:v>
                </c:pt>
                <c:pt idx="5">
                  <c:v>2225362.14</c:v>
                </c:pt>
                <c:pt idx="6">
                  <c:v>2350236.7000000002</c:v>
                </c:pt>
                <c:pt idx="7">
                  <c:v>2320654.2000000002</c:v>
                </c:pt>
                <c:pt idx="8">
                  <c:v>2223058.8700700002</c:v>
                </c:pt>
                <c:pt idx="9">
                  <c:v>2135853.91</c:v>
                </c:pt>
                <c:pt idx="10">
                  <c:v>2097011.9632881102</c:v>
                </c:pt>
                <c:pt idx="11">
                  <c:v>2074588.5180410245</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75432192"/>
        <c:axId val="979647232"/>
      </c:lineChart>
      <c:catAx>
        <c:axId val="1754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79647232"/>
        <c:crosses val="autoZero"/>
        <c:auto val="1"/>
        <c:lblAlgn val="ctr"/>
        <c:lblOffset val="100"/>
        <c:tickLblSkip val="1"/>
        <c:tickMarkSkip val="1"/>
        <c:noMultiLvlLbl val="0"/>
      </c:catAx>
      <c:valAx>
        <c:axId val="979647232"/>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75432192"/>
        <c:crosses val="autoZero"/>
        <c:crossBetween val="between"/>
        <c:dispUnits>
          <c:builtInUnit val="millions"/>
        </c:dispUnits>
      </c:valAx>
      <c:spPr>
        <a:noFill/>
        <a:ln w="25400">
          <a:noFill/>
        </a:ln>
      </c:spPr>
    </c:plotArea>
    <c:legend>
      <c:legendPos val="b"/>
      <c:layout>
        <c:manualLayout>
          <c:xMode val="edge"/>
          <c:yMode val="edge"/>
          <c:x val="0.1762649975011446"/>
          <c:y val="0.84181862341834135"/>
          <c:w val="0.70225568009058792"/>
          <c:h val="6.348070670270693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10.2 Evolución de los precios de importación y del mercado nacional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$/quintal)</a:t>
            </a:r>
          </a:p>
        </c:rich>
      </c:tx>
      <c:layout>
        <c:manualLayout>
          <c:xMode val="edge"/>
          <c:yMode val="edge"/>
          <c:x val="0.17613036499933915"/>
          <c:y val="5.2044568809064155E-2"/>
        </c:manualLayout>
      </c:layout>
      <c:overlay val="0"/>
      <c:spPr>
        <a:noFill/>
        <a:ln w="25400">
          <a:noFill/>
        </a:ln>
      </c:spPr>
    </c:title>
    <c:autoTitleDeleted val="0"/>
    <c:plotArea>
      <c:layout>
        <c:manualLayout>
          <c:layoutTarget val="inner"/>
          <c:xMode val="edge"/>
          <c:yMode val="edge"/>
          <c:x val="0.14121224670426263"/>
          <c:y val="0.1993918931351083"/>
          <c:w val="0.81597615538584589"/>
          <c:h val="0.43414973903230347"/>
        </c:manualLayout>
      </c:layout>
      <c:lineChart>
        <c:grouping val="standard"/>
        <c:varyColors val="0"/>
        <c:ser>
          <c:idx val="0"/>
          <c:order val="0"/>
          <c:tx>
            <c:strRef>
              <c:f>'57B'!$F$5</c:f>
              <c:strCache>
                <c:ptCount val="1"/>
                <c:pt idx="0">
                  <c:v> Precio promedio nacional paddy </c:v>
                </c:pt>
              </c:strCache>
            </c:strRef>
          </c:tx>
          <c:spPr>
            <a:ln>
              <a:solidFill>
                <a:srgbClr val="00B0F0"/>
              </a:solidFill>
            </a:ln>
          </c:spPr>
          <c:marker>
            <c:symbol val="none"/>
          </c:marker>
          <c:cat>
            <c:numRef>
              <c:f>'57B'!$B$7:$B$48</c:f>
              <c:numCache>
                <c:formatCode>mmm\-yy</c:formatCode>
                <c:ptCount val="42"/>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pt idx="24">
                  <c:v>44958</c:v>
                </c:pt>
                <c:pt idx="25">
                  <c:v>44986</c:v>
                </c:pt>
                <c:pt idx="26">
                  <c:v>45017</c:v>
                </c:pt>
                <c:pt idx="27">
                  <c:v>45047</c:v>
                </c:pt>
                <c:pt idx="28">
                  <c:v>45078</c:v>
                </c:pt>
                <c:pt idx="29">
                  <c:v>45108</c:v>
                </c:pt>
                <c:pt idx="30">
                  <c:v>45139</c:v>
                </c:pt>
                <c:pt idx="31">
                  <c:v>45170</c:v>
                </c:pt>
                <c:pt idx="32">
                  <c:v>45200</c:v>
                </c:pt>
                <c:pt idx="33">
                  <c:v>45231</c:v>
                </c:pt>
                <c:pt idx="34">
                  <c:v>45261</c:v>
                </c:pt>
                <c:pt idx="35">
                  <c:v>45292</c:v>
                </c:pt>
                <c:pt idx="36">
                  <c:v>45323</c:v>
                </c:pt>
                <c:pt idx="37">
                  <c:v>45352</c:v>
                </c:pt>
                <c:pt idx="38">
                  <c:v>45383</c:v>
                </c:pt>
                <c:pt idx="39">
                  <c:v>45413</c:v>
                </c:pt>
                <c:pt idx="40">
                  <c:v>45444</c:v>
                </c:pt>
                <c:pt idx="41">
                  <c:v>45474</c:v>
                </c:pt>
              </c:numCache>
            </c:numRef>
          </c:cat>
          <c:val>
            <c:numRef>
              <c:f>'57B'!$F$6:$F$48</c:f>
              <c:numCache>
                <c:formatCode>#,##0_ ;\-#,##0\ </c:formatCode>
                <c:ptCount val="43"/>
                <c:pt idx="2">
                  <c:v>23269.999999999996</c:v>
                </c:pt>
                <c:pt idx="3">
                  <c:v>23063.333333333328</c:v>
                </c:pt>
                <c:pt idx="4">
                  <c:v>22538.709677419356</c:v>
                </c:pt>
                <c:pt idx="5">
                  <c:v>22743.333333333336</c:v>
                </c:pt>
                <c:pt idx="6">
                  <c:v>22799.999999999996</c:v>
                </c:pt>
                <c:pt idx="7">
                  <c:v>23570</c:v>
                </c:pt>
                <c:pt idx="15">
                  <c:v>25836.666666666664</c:v>
                </c:pt>
                <c:pt idx="16">
                  <c:v>26700.000000000007</c:v>
                </c:pt>
                <c:pt idx="17">
                  <c:v>25713.333333333328</c:v>
                </c:pt>
                <c:pt idx="18">
                  <c:v>27838.06451612903</c:v>
                </c:pt>
                <c:pt idx="19">
                  <c:v>26968.75</c:v>
                </c:pt>
                <c:pt idx="20">
                  <c:v>26300</c:v>
                </c:pt>
                <c:pt idx="27">
                  <c:v>29808.75</c:v>
                </c:pt>
                <c:pt idx="28">
                  <c:v>29257.68817204301</c:v>
                </c:pt>
                <c:pt idx="29">
                  <c:v>28325.916666666668</c:v>
                </c:pt>
                <c:pt idx="30">
                  <c:v>28899.370967741932</c:v>
                </c:pt>
                <c:pt idx="31">
                  <c:v>33345.870967741925</c:v>
                </c:pt>
                <c:pt idx="32">
                  <c:v>37187.517292858931</c:v>
                </c:pt>
                <c:pt idx="33">
                  <c:v>38800</c:v>
                </c:pt>
                <c:pt idx="38">
                  <c:v>40006.500000000007</c:v>
                </c:pt>
                <c:pt idx="39">
                  <c:v>40697.050000000003</c:v>
                </c:pt>
                <c:pt idx="40">
                  <c:v>42056.338709677417</c:v>
                </c:pt>
                <c:pt idx="41">
                  <c:v>42628.26666666667</c:v>
                </c:pt>
                <c:pt idx="42">
                  <c:v>43648.5</c:v>
                </c:pt>
              </c:numCache>
            </c:numRef>
          </c:val>
          <c:smooth val="0"/>
          <c:extLst>
            <c:ext xmlns:c16="http://schemas.microsoft.com/office/drawing/2014/chart" uri="{C3380CC4-5D6E-409C-BE32-E72D297353CC}">
              <c16:uniqueId val="{00000000-6D7D-4BAD-9059-EFA39BC8E522}"/>
            </c:ext>
          </c:extLst>
        </c:ser>
        <c:ser>
          <c:idx val="1"/>
          <c:order val="1"/>
          <c:tx>
            <c:strRef>
              <c:f>'57B'!$H$5</c:f>
              <c:strCache>
                <c:ptCount val="1"/>
                <c:pt idx="0">
                  <c:v> Costo de importación CIF* (convertido a paddy)   </c:v>
                </c:pt>
              </c:strCache>
            </c:strRef>
          </c:tx>
          <c:marker>
            <c:symbol val="none"/>
          </c:marker>
          <c:cat>
            <c:numRef>
              <c:f>'57B'!$B$7:$B$48</c:f>
              <c:numCache>
                <c:formatCode>mmm\-yy</c:formatCode>
                <c:ptCount val="42"/>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pt idx="24">
                  <c:v>44958</c:v>
                </c:pt>
                <c:pt idx="25">
                  <c:v>44986</c:v>
                </c:pt>
                <c:pt idx="26">
                  <c:v>45017</c:v>
                </c:pt>
                <c:pt idx="27">
                  <c:v>45047</c:v>
                </c:pt>
                <c:pt idx="28">
                  <c:v>45078</c:v>
                </c:pt>
                <c:pt idx="29">
                  <c:v>45108</c:v>
                </c:pt>
                <c:pt idx="30">
                  <c:v>45139</c:v>
                </c:pt>
                <c:pt idx="31">
                  <c:v>45170</c:v>
                </c:pt>
                <c:pt idx="32">
                  <c:v>45200</c:v>
                </c:pt>
                <c:pt idx="33">
                  <c:v>45231</c:v>
                </c:pt>
                <c:pt idx="34">
                  <c:v>45261</c:v>
                </c:pt>
                <c:pt idx="35">
                  <c:v>45292</c:v>
                </c:pt>
                <c:pt idx="36">
                  <c:v>45323</c:v>
                </c:pt>
                <c:pt idx="37">
                  <c:v>45352</c:v>
                </c:pt>
                <c:pt idx="38">
                  <c:v>45383</c:v>
                </c:pt>
                <c:pt idx="39">
                  <c:v>45413</c:v>
                </c:pt>
                <c:pt idx="40">
                  <c:v>45444</c:v>
                </c:pt>
                <c:pt idx="41">
                  <c:v>45474</c:v>
                </c:pt>
              </c:numCache>
            </c:numRef>
          </c:cat>
          <c:val>
            <c:numRef>
              <c:f>'57B'!$H$6:$H$48</c:f>
              <c:numCache>
                <c:formatCode>#,##0_ ;\-#,##0\ </c:formatCode>
                <c:ptCount val="43"/>
                <c:pt idx="0">
                  <c:v>21433.098945865557</c:v>
                </c:pt>
                <c:pt idx="1">
                  <c:v>23276.796309302834</c:v>
                </c:pt>
                <c:pt idx="2">
                  <c:v>23608.098362233352</c:v>
                </c:pt>
                <c:pt idx="3">
                  <c:v>23831.314627639942</c:v>
                </c:pt>
                <c:pt idx="4">
                  <c:v>22149.271295617404</c:v>
                </c:pt>
                <c:pt idx="5">
                  <c:v>25789.616828950318</c:v>
                </c:pt>
                <c:pt idx="6">
                  <c:v>25015.359823800878</c:v>
                </c:pt>
                <c:pt idx="7">
                  <c:v>26557.938687857335</c:v>
                </c:pt>
                <c:pt idx="8">
                  <c:v>26066.82857697341</c:v>
                </c:pt>
                <c:pt idx="9">
                  <c:v>26026.816388841879</c:v>
                </c:pt>
                <c:pt idx="10">
                  <c:v>27617.807852725597</c:v>
                </c:pt>
                <c:pt idx="11">
                  <c:v>28325.417487998155</c:v>
                </c:pt>
                <c:pt idx="12">
                  <c:v>25928.034521428533</c:v>
                </c:pt>
                <c:pt idx="13">
                  <c:v>24909.9683204539</c:v>
                </c:pt>
                <c:pt idx="14">
                  <c:v>24644.279455292701</c:v>
                </c:pt>
                <c:pt idx="15">
                  <c:v>25315.903659682976</c:v>
                </c:pt>
                <c:pt idx="16">
                  <c:v>27104.486654421431</c:v>
                </c:pt>
                <c:pt idx="17">
                  <c:v>27353.718382035579</c:v>
                </c:pt>
                <c:pt idx="18">
                  <c:v>31125.332333534869</c:v>
                </c:pt>
                <c:pt idx="19">
                  <c:v>28887.596241153566</c:v>
                </c:pt>
                <c:pt idx="20">
                  <c:v>29549.152121166895</c:v>
                </c:pt>
                <c:pt idx="21">
                  <c:v>30111.864455879473</c:v>
                </c:pt>
                <c:pt idx="22">
                  <c:v>29483.817970064025</c:v>
                </c:pt>
                <c:pt idx="23">
                  <c:v>29479.835568130111</c:v>
                </c:pt>
                <c:pt idx="24">
                  <c:v>27141.547171911177</c:v>
                </c:pt>
                <c:pt idx="25">
                  <c:v>27744.312163140119</c:v>
                </c:pt>
                <c:pt idx="26">
                  <c:v>26881.594488335104</c:v>
                </c:pt>
                <c:pt idx="27">
                  <c:v>26902.923019974329</c:v>
                </c:pt>
                <c:pt idx="28">
                  <c:v>27359.718779889005</c:v>
                </c:pt>
                <c:pt idx="29">
                  <c:v>27483.872079084609</c:v>
                </c:pt>
                <c:pt idx="30">
                  <c:v>28945.630065009907</c:v>
                </c:pt>
                <c:pt idx="31">
                  <c:v>31624.022070286836</c:v>
                </c:pt>
                <c:pt idx="32">
                  <c:v>32507.249848638963</c:v>
                </c:pt>
                <c:pt idx="33">
                  <c:v>36082.116540672061</c:v>
                </c:pt>
                <c:pt idx="34">
                  <c:v>35765.879739841788</c:v>
                </c:pt>
                <c:pt idx="35">
                  <c:v>33836.215526477499</c:v>
                </c:pt>
                <c:pt idx="36">
                  <c:v>35044.224493834263</c:v>
                </c:pt>
                <c:pt idx="37">
                  <c:v>39539.325209890529</c:v>
                </c:pt>
                <c:pt idx="38">
                  <c:v>40931.293687458441</c:v>
                </c:pt>
                <c:pt idx="39">
                  <c:v>41302.691535954553</c:v>
                </c:pt>
                <c:pt idx="40">
                  <c:v>40331.916124795207</c:v>
                </c:pt>
                <c:pt idx="41">
                  <c:v>42052.096665494137</c:v>
                </c:pt>
                <c:pt idx="42">
                  <c:v>41900.764811463327</c:v>
                </c:pt>
              </c:numCache>
            </c:numRef>
          </c:val>
          <c:smooth val="0"/>
          <c:extLst>
            <c:ext xmlns:c16="http://schemas.microsoft.com/office/drawing/2014/chart" uri="{C3380CC4-5D6E-409C-BE32-E72D297353CC}">
              <c16:uniqueId val="{00000001-6D7D-4BAD-9059-EFA39BC8E522}"/>
            </c:ext>
          </c:extLst>
        </c:ser>
        <c:ser>
          <c:idx val="2"/>
          <c:order val="2"/>
          <c:tx>
            <c:strRef>
              <c:f>'57B'!$I$5</c:f>
              <c:strCache>
                <c:ptCount val="1"/>
                <c:pt idx="0">
                  <c:v> Costo de importación CAI (Odepa) </c:v>
                </c:pt>
              </c:strCache>
            </c:strRef>
          </c:tx>
          <c:marker>
            <c:symbol val="none"/>
          </c:marker>
          <c:cat>
            <c:numRef>
              <c:f>'57B'!$B$7:$B$48</c:f>
              <c:numCache>
                <c:formatCode>mmm\-yy</c:formatCode>
                <c:ptCount val="42"/>
                <c:pt idx="0">
                  <c:v>44228</c:v>
                </c:pt>
                <c:pt idx="1">
                  <c:v>44256</c:v>
                </c:pt>
                <c:pt idx="2">
                  <c:v>44287</c:v>
                </c:pt>
                <c:pt idx="3">
                  <c:v>44317</c:v>
                </c:pt>
                <c:pt idx="4">
                  <c:v>44348</c:v>
                </c:pt>
                <c:pt idx="5">
                  <c:v>44378</c:v>
                </c:pt>
                <c:pt idx="6">
                  <c:v>44409</c:v>
                </c:pt>
                <c:pt idx="7">
                  <c:v>44440</c:v>
                </c:pt>
                <c:pt idx="8">
                  <c:v>44470</c:v>
                </c:pt>
                <c:pt idx="9">
                  <c:v>44501</c:v>
                </c:pt>
                <c:pt idx="10">
                  <c:v>44531</c:v>
                </c:pt>
                <c:pt idx="11">
                  <c:v>44562</c:v>
                </c:pt>
                <c:pt idx="12">
                  <c:v>44593</c:v>
                </c:pt>
                <c:pt idx="13">
                  <c:v>44621</c:v>
                </c:pt>
                <c:pt idx="14">
                  <c:v>44652</c:v>
                </c:pt>
                <c:pt idx="15">
                  <c:v>44682</c:v>
                </c:pt>
                <c:pt idx="16">
                  <c:v>44713</c:v>
                </c:pt>
                <c:pt idx="17">
                  <c:v>44743</c:v>
                </c:pt>
                <c:pt idx="18">
                  <c:v>44774</c:v>
                </c:pt>
                <c:pt idx="19">
                  <c:v>44805</c:v>
                </c:pt>
                <c:pt idx="20">
                  <c:v>44835</c:v>
                </c:pt>
                <c:pt idx="21">
                  <c:v>44866</c:v>
                </c:pt>
                <c:pt idx="22">
                  <c:v>44896</c:v>
                </c:pt>
                <c:pt idx="23">
                  <c:v>44927</c:v>
                </c:pt>
                <c:pt idx="24">
                  <c:v>44958</c:v>
                </c:pt>
                <c:pt idx="25">
                  <c:v>44986</c:v>
                </c:pt>
                <c:pt idx="26">
                  <c:v>45017</c:v>
                </c:pt>
                <c:pt idx="27">
                  <c:v>45047</c:v>
                </c:pt>
                <c:pt idx="28">
                  <c:v>45078</c:v>
                </c:pt>
                <c:pt idx="29">
                  <c:v>45108</c:v>
                </c:pt>
                <c:pt idx="30">
                  <c:v>45139</c:v>
                </c:pt>
                <c:pt idx="31">
                  <c:v>45170</c:v>
                </c:pt>
                <c:pt idx="32">
                  <c:v>45200</c:v>
                </c:pt>
                <c:pt idx="33">
                  <c:v>45231</c:v>
                </c:pt>
                <c:pt idx="34">
                  <c:v>45261</c:v>
                </c:pt>
                <c:pt idx="35">
                  <c:v>45292</c:v>
                </c:pt>
                <c:pt idx="36">
                  <c:v>45323</c:v>
                </c:pt>
                <c:pt idx="37">
                  <c:v>45352</c:v>
                </c:pt>
                <c:pt idx="38">
                  <c:v>45383</c:v>
                </c:pt>
                <c:pt idx="39">
                  <c:v>45413</c:v>
                </c:pt>
                <c:pt idx="40">
                  <c:v>45444</c:v>
                </c:pt>
                <c:pt idx="41">
                  <c:v>45474</c:v>
                </c:pt>
              </c:numCache>
            </c:numRef>
          </c:cat>
          <c:val>
            <c:numRef>
              <c:f>'57B'!$I$6:$I$48</c:f>
              <c:numCache>
                <c:formatCode>#,##0_ ;\-#,##0\ </c:formatCode>
                <c:ptCount val="43"/>
                <c:pt idx="0">
                  <c:v>25659.741935483871</c:v>
                </c:pt>
                <c:pt idx="1">
                  <c:v>25049.666666666668</c:v>
                </c:pt>
                <c:pt idx="2">
                  <c:v>23509.458333333332</c:v>
                </c:pt>
                <c:pt idx="3">
                  <c:v>22921.120000000003</c:v>
                </c:pt>
                <c:pt idx="4">
                  <c:v>22360.935483870962</c:v>
                </c:pt>
                <c:pt idx="5">
                  <c:v>22596.766666666666</c:v>
                </c:pt>
                <c:pt idx="6">
                  <c:v>23008.870967741936</c:v>
                </c:pt>
                <c:pt idx="7">
                  <c:v>23772.137931034482</c:v>
                </c:pt>
                <c:pt idx="8">
                  <c:v>23537.566666666666</c:v>
                </c:pt>
                <c:pt idx="9">
                  <c:v>24002.258064516129</c:v>
                </c:pt>
                <c:pt idx="10">
                  <c:v>22313.858150569507</c:v>
                </c:pt>
                <c:pt idx="11">
                  <c:v>23369.677419354837</c:v>
                </c:pt>
                <c:pt idx="12">
                  <c:v>21899.566666666666</c:v>
                </c:pt>
                <c:pt idx="13">
                  <c:v>22133</c:v>
                </c:pt>
                <c:pt idx="14">
                  <c:v>23528.290322580644</c:v>
                </c:pt>
                <c:pt idx="15">
                  <c:v>24813.696162693675</c:v>
                </c:pt>
                <c:pt idx="16">
                  <c:v>25178.87020352346</c:v>
                </c:pt>
                <c:pt idx="17">
                  <c:v>25243.643647927856</c:v>
                </c:pt>
                <c:pt idx="18">
                  <c:v>27855.376396058222</c:v>
                </c:pt>
                <c:pt idx="19">
                  <c:v>26735.258162712627</c:v>
                </c:pt>
                <c:pt idx="20">
                  <c:v>27056.39502912496</c:v>
                </c:pt>
                <c:pt idx="21">
                  <c:v>29684.974409583403</c:v>
                </c:pt>
                <c:pt idx="22">
                  <c:v>29689.900993764575</c:v>
                </c:pt>
                <c:pt idx="23">
                  <c:v>29497.807600766013</c:v>
                </c:pt>
                <c:pt idx="24">
                  <c:v>28494.279660073495</c:v>
                </c:pt>
                <c:pt idx="25">
                  <c:v>27629.836012114596</c:v>
                </c:pt>
                <c:pt idx="26">
                  <c:v>28192.695952995935</c:v>
                </c:pt>
                <c:pt idx="27">
                  <c:v>28480.216221853323</c:v>
                </c:pt>
                <c:pt idx="28">
                  <c:v>28395.547348535078</c:v>
                </c:pt>
                <c:pt idx="29">
                  <c:v>28420.212359055295</c:v>
                </c:pt>
                <c:pt idx="30">
                  <c:v>29592.215252769714</c:v>
                </c:pt>
                <c:pt idx="31">
                  <c:v>34317.485225284181</c:v>
                </c:pt>
                <c:pt idx="32">
                  <c:v>38169.19797758355</c:v>
                </c:pt>
                <c:pt idx="33">
                  <c:v>41182.232788038949</c:v>
                </c:pt>
                <c:pt idx="34">
                  <c:v>39933.931274846094</c:v>
                </c:pt>
                <c:pt idx="35">
                  <c:v>40368.46920146604</c:v>
                </c:pt>
                <c:pt idx="36">
                  <c:v>42620.824815217391</c:v>
                </c:pt>
                <c:pt idx="37">
                  <c:v>42240.053861383079</c:v>
                </c:pt>
                <c:pt idx="38">
                  <c:v>40617.623737369744</c:v>
                </c:pt>
                <c:pt idx="39">
                  <c:v>40864.829471556892</c:v>
                </c:pt>
                <c:pt idx="40">
                  <c:v>41884.702875108385</c:v>
                </c:pt>
                <c:pt idx="41">
                  <c:v>43070.180112969792</c:v>
                </c:pt>
                <c:pt idx="42">
                  <c:v>43716.415603432935</c:v>
                </c:pt>
              </c:numCache>
            </c:numRef>
          </c:val>
          <c:smooth val="0"/>
          <c:extLst>
            <c:ext xmlns:c16="http://schemas.microsoft.com/office/drawing/2014/chart" uri="{C3380CC4-5D6E-409C-BE32-E72D297353CC}">
              <c16:uniqueId val="{00000002-6D7D-4BAD-9059-EFA39BC8E522}"/>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45000"/>
          <c:min val="15000"/>
        </c:scaling>
        <c:delete val="0"/>
        <c:axPos val="r"/>
        <c:majorGridlines/>
        <c:title>
          <c:tx>
            <c:rich>
              <a:bodyPr/>
              <a:lstStyle/>
              <a:p>
                <a:pPr>
                  <a:defRPr sz="900" b="0" i="0" u="none" strike="noStrike" baseline="0">
                    <a:solidFill>
                      <a:srgbClr val="000000"/>
                    </a:solidFill>
                    <a:latin typeface="Arial"/>
                    <a:ea typeface="Arial"/>
                    <a:cs typeface="Arial"/>
                  </a:defRPr>
                </a:pPr>
                <a:r>
                  <a:rPr lang="es-CL"/>
                  <a:t>$ / quintal</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5000"/>
      </c:valAx>
      <c:spPr>
        <a:solidFill>
          <a:srgbClr val="FFFFFF"/>
        </a:solidFill>
        <a:ln w="12700">
          <a:solidFill>
            <a:srgbClr val="808080"/>
          </a:solidFill>
          <a:prstDash val="solid"/>
        </a:ln>
      </c:spPr>
    </c:plotArea>
    <c:legend>
      <c:legendPos val="r"/>
      <c:layout>
        <c:manualLayout>
          <c:xMode val="edge"/>
          <c:yMode val="edge"/>
          <c:x val="3.8720600236294318E-2"/>
          <c:y val="0.86879943451931463"/>
          <c:w val="0.91985684299419823"/>
          <c:h val="0.11172771051916375"/>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N° 11. Evolución de los precios del arroz con cáscara en el mercado de futuros de Chicago desde el 2 de</a:t>
            </a:r>
            <a:r>
              <a:rPr lang="es-CL" sz="900" b="1" baseline="0"/>
              <a:t> mayo </a:t>
            </a:r>
            <a:r>
              <a:rPr lang="es-CL" sz="900" b="1"/>
              <a:t>2023</a:t>
            </a:r>
            <a:r>
              <a:rPr lang="es-CL" sz="900" b="1" baseline="0"/>
              <a:t> </a:t>
            </a:r>
            <a:r>
              <a:rPr lang="es-CL" sz="900" b="1"/>
              <a:t>hasta el 26</a:t>
            </a:r>
            <a:r>
              <a:rPr lang="es-CL" sz="900" b="1" baseline="0"/>
              <a:t> de agosto </a:t>
            </a:r>
            <a:r>
              <a:rPr lang="es-CL" sz="900" b="1"/>
              <a:t>2024</a:t>
            </a:r>
          </a:p>
          <a:p>
            <a:pPr>
              <a:defRPr sz="900" b="1"/>
            </a:pPr>
            <a:r>
              <a:rPr lang="es-CL" sz="900" b="1"/>
              <a:t>(precios en USD/tonelada)</a:t>
            </a:r>
          </a:p>
        </c:rich>
      </c:tx>
      <c:layout>
        <c:manualLayout>
          <c:xMode val="edge"/>
          <c:yMode val="edge"/>
          <c:x val="0.1351863414761218"/>
          <c:y val="4.6424925332609286E-2"/>
        </c:manualLayout>
      </c:layout>
      <c:overlay val="0"/>
      <c:spPr>
        <a:noFill/>
        <a:ln w="25400">
          <a:noFill/>
        </a:ln>
      </c:spPr>
    </c:title>
    <c:autoTitleDeleted val="0"/>
    <c:plotArea>
      <c:layout>
        <c:manualLayout>
          <c:layoutTarget val="inner"/>
          <c:xMode val="edge"/>
          <c:yMode val="edge"/>
          <c:x val="0.12320020811327533"/>
          <c:y val="0.17972607451458686"/>
          <c:w val="0.80490883743389641"/>
          <c:h val="0.48874929631010611"/>
        </c:manualLayout>
      </c:layout>
      <c:lineChart>
        <c:grouping val="standard"/>
        <c:varyColors val="0"/>
        <c:ser>
          <c:idx val="0"/>
          <c:order val="0"/>
          <c:tx>
            <c:strRef>
              <c:f>'58'!$M$1</c:f>
              <c:strCache>
                <c:ptCount val="1"/>
                <c:pt idx="0">
                  <c:v>mar-22</c:v>
                </c:pt>
              </c:strCache>
            </c:strRef>
          </c:tx>
          <c:marker>
            <c:symbol val="none"/>
          </c:marker>
          <c:cat>
            <c:numRef>
              <c:f>'58'!$G$98:$G$165</c:f>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f>'58'!$M$13:$M$42</c:f>
            </c:numRef>
          </c:val>
          <c:smooth val="0"/>
          <c:extLst>
            <c:ext xmlns:c16="http://schemas.microsoft.com/office/drawing/2014/chart" uri="{C3380CC4-5D6E-409C-BE32-E72D297353CC}">
              <c16:uniqueId val="{00000005-A34F-49D0-B6B1-1E83FB4BB203}"/>
            </c:ext>
          </c:extLst>
        </c:ser>
        <c:ser>
          <c:idx val="1"/>
          <c:order val="1"/>
          <c:tx>
            <c:strRef>
              <c:f>'58'!$X$1</c:f>
              <c:strCache>
                <c:ptCount val="1"/>
                <c:pt idx="0">
                  <c:v>ene-24</c:v>
                </c:pt>
              </c:strCache>
            </c:strRef>
          </c:tx>
          <c:marker>
            <c:symbol val="none"/>
          </c:marker>
          <c:cat>
            <c:numRef>
              <c:f>'58'!$G$98:$G$165</c:f>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f>'58'!$X$88:$X$129</c:f>
            </c:numRef>
          </c:val>
          <c:smooth val="0"/>
          <c:extLst>
            <c:ext xmlns:c16="http://schemas.microsoft.com/office/drawing/2014/chart" uri="{C3380CC4-5D6E-409C-BE32-E72D297353CC}">
              <c16:uniqueId val="{00000000-C043-4104-87C9-9768D160F969}"/>
            </c:ext>
          </c:extLst>
        </c:ser>
        <c:ser>
          <c:idx val="4"/>
          <c:order val="4"/>
          <c:tx>
            <c:strRef>
              <c:f>'58'!$AA$1</c:f>
              <c:strCache>
                <c:ptCount val="1"/>
                <c:pt idx="0">
                  <c:v>jul-24</c:v>
                </c:pt>
              </c:strCache>
            </c:strRef>
          </c:tx>
          <c:marker>
            <c:symbol val="none"/>
          </c:marker>
          <c:cat>
            <c:numRef>
              <c:f>'58'!$G$98:$G$165</c:f>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f>'58'!$AA$98:$AA$165</c:f>
              <c:numCache>
                <c:formatCode>General</c:formatCode>
                <c:ptCount val="68"/>
                <c:pt idx="11" formatCode="0.000">
                  <c:v>361.00324999999998</c:v>
                </c:pt>
                <c:pt idx="12" formatCode="0.00">
                  <c:v>376.99</c:v>
                </c:pt>
                <c:pt idx="13" formatCode="0.00">
                  <c:v>364.31014999999996</c:v>
                </c:pt>
                <c:pt idx="14" formatCode="0.00">
                  <c:v>377.42752000000002</c:v>
                </c:pt>
                <c:pt idx="15" formatCode="0.00">
                  <c:v>368.82958000000002</c:v>
                </c:pt>
                <c:pt idx="16" formatCode="0.00">
                  <c:v>369.16027000000003</c:v>
                </c:pt>
                <c:pt idx="17" formatCode="0.00">
                  <c:v>381.28557000000001</c:v>
                </c:pt>
                <c:pt idx="18" formatCode="0.00">
                  <c:v>366.29429000000005</c:v>
                </c:pt>
                <c:pt idx="19" formatCode="0.00">
                  <c:v>373.23877999999996</c:v>
                </c:pt>
                <c:pt idx="20" formatCode="0.00">
                  <c:v>368.38866000000002</c:v>
                </c:pt>
                <c:pt idx="21" formatCode="0.00">
                  <c:v>370.15233999999998</c:v>
                </c:pt>
                <c:pt idx="22" formatCode="0.00">
                  <c:v>372.02625</c:v>
                </c:pt>
                <c:pt idx="23" formatCode="0.00">
                  <c:v>372.02625</c:v>
                </c:pt>
                <c:pt idx="24" formatCode="0.00">
                  <c:v>377.97866999999997</c:v>
                </c:pt>
                <c:pt idx="25" formatCode="0.00">
                  <c:v>369.27049999999997</c:v>
                </c:pt>
                <c:pt idx="26" formatCode="0.00">
                  <c:v>361.22371000000004</c:v>
                </c:pt>
                <c:pt idx="27" formatCode="0.00">
                  <c:v>379.63211999999999</c:v>
                </c:pt>
                <c:pt idx="28" formatCode="0.00">
                  <c:v>391.20627000000002</c:v>
                </c:pt>
                <c:pt idx="29" formatCode="0.00">
                  <c:v>383.60040000000004</c:v>
                </c:pt>
                <c:pt idx="30" formatCode="0.00">
                  <c:v>388.56074999999998</c:v>
                </c:pt>
                <c:pt idx="31" formatCode="0.00">
                  <c:v>392.96994999999998</c:v>
                </c:pt>
                <c:pt idx="32" formatCode="0.00">
                  <c:v>390.65511999999995</c:v>
                </c:pt>
                <c:pt idx="33" formatCode="0.00">
                  <c:v>402.11904000000004</c:v>
                </c:pt>
                <c:pt idx="34" formatCode="0.00">
                  <c:v>390.54489000000001</c:v>
                </c:pt>
                <c:pt idx="35" formatCode="0.00">
                  <c:v>393.30063999999999</c:v>
                </c:pt>
                <c:pt idx="36" formatCode="0.00">
                  <c:v>403.00088</c:v>
                </c:pt>
                <c:pt idx="37" formatCode="0.00">
                  <c:v>410.71697999999998</c:v>
                </c:pt>
                <c:pt idx="38" formatCode="0.00">
                  <c:v>415.89779000000004</c:v>
                </c:pt>
                <c:pt idx="39" formatCode="0.00">
                  <c:v>409.39422000000002</c:v>
                </c:pt>
                <c:pt idx="40" formatCode="0.00">
                  <c:v>411.37835999999999</c:v>
                </c:pt>
                <c:pt idx="41" formatCode="0.00">
                  <c:v>407.52030999999999</c:v>
                </c:pt>
                <c:pt idx="42" formatCode="0.00">
                  <c:v>397.82007000000004</c:v>
                </c:pt>
                <c:pt idx="43" formatCode="0.00">
                  <c:v>397.82007000000004</c:v>
                </c:pt>
                <c:pt idx="44" formatCode="0.00">
                  <c:v>395.28477999999996</c:v>
                </c:pt>
                <c:pt idx="45" formatCode="0.00">
                  <c:v>366.40451999999999</c:v>
                </c:pt>
                <c:pt idx="46" formatCode="0.00">
                  <c:v>358.57819000000001</c:v>
                </c:pt>
                <c:pt idx="47" formatCode="0.00">
                  <c:v>401.56788999999998</c:v>
                </c:pt>
                <c:pt idx="48" formatCode="0.00">
                  <c:v>423.17297000000002</c:v>
                </c:pt>
                <c:pt idx="49" formatCode="0.00">
                  <c:v>422.73205000000002</c:v>
                </c:pt>
                <c:pt idx="50" formatCode="0.00">
                  <c:v>429.01515999999998</c:v>
                </c:pt>
                <c:pt idx="51" formatCode="0.00">
                  <c:v>409.28399000000002</c:v>
                </c:pt>
                <c:pt idx="52" formatCode="0.00">
                  <c:v>412.81135</c:v>
                </c:pt>
                <c:pt idx="53" formatCode="0.00">
                  <c:v>404.32364000000001</c:v>
                </c:pt>
                <c:pt idx="54" formatCode="0.00">
                  <c:v>389.55282000000005</c:v>
                </c:pt>
                <c:pt idx="55" formatCode="0.00">
                  <c:v>400.57582000000002</c:v>
                </c:pt>
                <c:pt idx="56" formatCode="0.00">
                  <c:v>400.90650999999997</c:v>
                </c:pt>
                <c:pt idx="57" formatCode="0.00">
                  <c:v>396.71777000000003</c:v>
                </c:pt>
                <c:pt idx="58" formatCode="0.00">
                  <c:v>408.18169</c:v>
                </c:pt>
                <c:pt idx="59" formatCode="0.00">
                  <c:v>373.78993000000003</c:v>
                </c:pt>
                <c:pt idx="60" formatCode="0.00">
                  <c:v>376.21499</c:v>
                </c:pt>
              </c:numCache>
            </c:numRef>
          </c:val>
          <c:smooth val="0"/>
          <c:extLst>
            <c:ext xmlns:c16="http://schemas.microsoft.com/office/drawing/2014/chart" uri="{C3380CC4-5D6E-409C-BE32-E72D297353CC}">
              <c16:uniqueId val="{00000001-331D-4D71-BAA3-7C11406A2097}"/>
            </c:ext>
          </c:extLst>
        </c:ser>
        <c:ser>
          <c:idx val="5"/>
          <c:order val="5"/>
          <c:tx>
            <c:strRef>
              <c:f>'58'!$AB$1</c:f>
              <c:strCache>
                <c:ptCount val="1"/>
                <c:pt idx="0">
                  <c:v>sept-24</c:v>
                </c:pt>
              </c:strCache>
            </c:strRef>
          </c:tx>
          <c:spPr>
            <a:ln>
              <a:solidFill>
                <a:srgbClr val="92D050"/>
              </a:solidFill>
            </a:ln>
          </c:spPr>
          <c:marker>
            <c:symbol val="none"/>
          </c:marker>
          <c:cat>
            <c:numRef>
              <c:f>'58'!$G$98:$G$165</c:f>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f>'58'!$AB$98:$AB$165</c:f>
              <c:numCache>
                <c:formatCode>General</c:formatCode>
                <c:ptCount val="68"/>
                <c:pt idx="19" formatCode="0.00">
                  <c:v>340.39024000000001</c:v>
                </c:pt>
                <c:pt idx="20" formatCode="0.00">
                  <c:v>342.15391999999997</c:v>
                </c:pt>
                <c:pt idx="21" formatCode="0.00">
                  <c:v>342.04369000000003</c:v>
                </c:pt>
                <c:pt idx="22" formatCode="0.00">
                  <c:v>337.30380000000002</c:v>
                </c:pt>
                <c:pt idx="23" formatCode="0.00">
                  <c:v>337.30380000000002</c:v>
                </c:pt>
                <c:pt idx="24" formatCode="0.00">
                  <c:v>339.17770999999999</c:v>
                </c:pt>
                <c:pt idx="25" formatCode="0.00">
                  <c:v>339.50839999999999</c:v>
                </c:pt>
                <c:pt idx="26" formatCode="0.00">
                  <c:v>339.17770999999999</c:v>
                </c:pt>
                <c:pt idx="27" formatCode="0.00">
                  <c:v>339.17770999999999</c:v>
                </c:pt>
                <c:pt idx="28" formatCode="0.00">
                  <c:v>341.49254000000002</c:v>
                </c:pt>
                <c:pt idx="29" formatCode="0.00">
                  <c:v>340.83116000000001</c:v>
                </c:pt>
                <c:pt idx="30" formatCode="0.00">
                  <c:v>341.16184999999996</c:v>
                </c:pt>
                <c:pt idx="31" formatCode="0.00">
                  <c:v>342.48460999999998</c:v>
                </c:pt>
                <c:pt idx="32" formatCode="0.00">
                  <c:v>344.35852</c:v>
                </c:pt>
                <c:pt idx="33" formatCode="0.00">
                  <c:v>343.91760000000005</c:v>
                </c:pt>
                <c:pt idx="34" formatCode="0.00">
                  <c:v>344.68921</c:v>
                </c:pt>
                <c:pt idx="35" formatCode="0.00">
                  <c:v>343.14598999999998</c:v>
                </c:pt>
                <c:pt idx="36" formatCode="0.00">
                  <c:v>340.61070000000001</c:v>
                </c:pt>
                <c:pt idx="37" formatCode="0.00">
                  <c:v>338.40609999999998</c:v>
                </c:pt>
                <c:pt idx="38" formatCode="0.00">
                  <c:v>333.99689999999998</c:v>
                </c:pt>
                <c:pt idx="39" formatCode="0.00">
                  <c:v>317.90332000000001</c:v>
                </c:pt>
                <c:pt idx="40" formatCode="0.00">
                  <c:v>319.77723000000003</c:v>
                </c:pt>
                <c:pt idx="41" formatCode="0.00">
                  <c:v>317.68286000000001</c:v>
                </c:pt>
                <c:pt idx="42" formatCode="0.00">
                  <c:v>319.88745999999998</c:v>
                </c:pt>
                <c:pt idx="43" formatCode="0.00">
                  <c:v>320.21814999999998</c:v>
                </c:pt>
                <c:pt idx="44" formatCode="0.00">
                  <c:v>321.65114</c:v>
                </c:pt>
                <c:pt idx="45" formatCode="0.00">
                  <c:v>321.65114</c:v>
                </c:pt>
                <c:pt idx="46" formatCode="0.00">
                  <c:v>320.98975999999999</c:v>
                </c:pt>
                <c:pt idx="47" formatCode="0.00">
                  <c:v>328.37516999999997</c:v>
                </c:pt>
                <c:pt idx="48" formatCode="0.00">
                  <c:v>332.23322000000002</c:v>
                </c:pt>
                <c:pt idx="49" formatCode="0.00">
                  <c:v>332.56391000000002</c:v>
                </c:pt>
                <c:pt idx="50" formatCode="0.00">
                  <c:v>335.65035</c:v>
                </c:pt>
                <c:pt idx="51" formatCode="0.00">
                  <c:v>338.40609999999998</c:v>
                </c:pt>
                <c:pt idx="52" formatCode="0.00">
                  <c:v>340.05955</c:v>
                </c:pt>
                <c:pt idx="53" formatCode="0.00">
                  <c:v>344.46875</c:v>
                </c:pt>
                <c:pt idx="54" formatCode="0.00">
                  <c:v>347.88588000000004</c:v>
                </c:pt>
                <c:pt idx="55" formatCode="0.00">
                  <c:v>342.81529999999998</c:v>
                </c:pt>
                <c:pt idx="56" formatCode="0.00">
                  <c:v>346.01197000000002</c:v>
                </c:pt>
                <c:pt idx="57" formatCode="0.00">
                  <c:v>345.24036000000001</c:v>
                </c:pt>
                <c:pt idx="58" formatCode="0.00">
                  <c:v>342.92552999999998</c:v>
                </c:pt>
                <c:pt idx="59" formatCode="0.00">
                  <c:v>333.22528999999997</c:v>
                </c:pt>
                <c:pt idx="60" formatCode="0.00">
                  <c:v>326.06034</c:v>
                </c:pt>
                <c:pt idx="61" formatCode="0.00">
                  <c:v>324.07620000000003</c:v>
                </c:pt>
                <c:pt idx="62" formatCode="0.00">
                  <c:v>321.8716</c:v>
                </c:pt>
                <c:pt idx="63" formatCode="0.00">
                  <c:v>335.31966</c:v>
                </c:pt>
                <c:pt idx="64" formatCode="0.00">
                  <c:v>336.75265000000002</c:v>
                </c:pt>
                <c:pt idx="65" formatCode="0.00">
                  <c:v>320.43860999999998</c:v>
                </c:pt>
                <c:pt idx="66" formatCode="0.00">
                  <c:v>328.26494000000002</c:v>
                </c:pt>
                <c:pt idx="67" formatCode="0.00">
                  <c:v>332.67413999999997</c:v>
                </c:pt>
              </c:numCache>
            </c:numRef>
          </c:val>
          <c:smooth val="0"/>
          <c:extLst>
            <c:ext xmlns:c16="http://schemas.microsoft.com/office/drawing/2014/chart" uri="{C3380CC4-5D6E-409C-BE32-E72D297353CC}">
              <c16:uniqueId val="{00000000-DB06-4CBB-A16E-401F14E1C2A8}"/>
            </c:ext>
          </c:extLst>
        </c:ser>
        <c:ser>
          <c:idx val="6"/>
          <c:order val="6"/>
          <c:tx>
            <c:strRef>
              <c:f>'58'!$AD$1</c:f>
              <c:strCache>
                <c:ptCount val="1"/>
                <c:pt idx="0">
                  <c:v>ene-25</c:v>
                </c:pt>
              </c:strCache>
            </c:strRef>
          </c:tx>
          <c:spPr>
            <a:ln>
              <a:solidFill>
                <a:srgbClr val="FF0000"/>
              </a:solidFill>
            </a:ln>
          </c:spPr>
          <c:marker>
            <c:symbol val="none"/>
          </c:marker>
          <c:cat>
            <c:numRef>
              <c:f>'58'!$G$98:$G$165</c:f>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f>'58'!$AD$98:$AD$165</c:f>
              <c:numCache>
                <c:formatCode>General</c:formatCode>
                <c:ptCount val="68"/>
                <c:pt idx="35" formatCode="0.00">
                  <c:v>345.46082000000001</c:v>
                </c:pt>
                <c:pt idx="36" formatCode="0.00">
                  <c:v>344.68921</c:v>
                </c:pt>
                <c:pt idx="37" formatCode="0.00">
                  <c:v>341.71299999999997</c:v>
                </c:pt>
                <c:pt idx="38" formatCode="0.00">
                  <c:v>339.17770999999999</c:v>
                </c:pt>
                <c:pt idx="39" formatCode="0.00">
                  <c:v>324.62734999999998</c:v>
                </c:pt>
                <c:pt idx="40" formatCode="0.00">
                  <c:v>324.40688999999998</c:v>
                </c:pt>
                <c:pt idx="41" formatCode="0.00">
                  <c:v>321.32044999999999</c:v>
                </c:pt>
                <c:pt idx="42" formatCode="0.00">
                  <c:v>323.30459000000002</c:v>
                </c:pt>
                <c:pt idx="43" formatCode="0.00">
                  <c:v>323.96596999999997</c:v>
                </c:pt>
                <c:pt idx="44" formatCode="0.00">
                  <c:v>322.86366999999996</c:v>
                </c:pt>
                <c:pt idx="45" formatCode="0.00">
                  <c:v>323.08413000000002</c:v>
                </c:pt>
                <c:pt idx="46" formatCode="0.00">
                  <c:v>327.05241000000001</c:v>
                </c:pt>
                <c:pt idx="47" formatCode="0.00">
                  <c:v>333.44574999999998</c:v>
                </c:pt>
                <c:pt idx="48" formatCode="0.00">
                  <c:v>340.50047000000001</c:v>
                </c:pt>
                <c:pt idx="49" formatCode="0.00">
                  <c:v>338.95724999999999</c:v>
                </c:pt>
                <c:pt idx="50" formatCode="0.00">
                  <c:v>340.39024000000001</c:v>
                </c:pt>
                <c:pt idx="51" formatCode="0.00">
                  <c:v>339.17770999999999</c:v>
                </c:pt>
                <c:pt idx="52" formatCode="0.00">
                  <c:v>340.28001</c:v>
                </c:pt>
                <c:pt idx="53" formatCode="0.00">
                  <c:v>347.44495999999998</c:v>
                </c:pt>
                <c:pt idx="54" formatCode="0.00">
                  <c:v>351.52346999999997</c:v>
                </c:pt>
                <c:pt idx="55" formatCode="0.00">
                  <c:v>347.66541999999998</c:v>
                </c:pt>
                <c:pt idx="56" formatCode="0.00">
                  <c:v>350.09048000000001</c:v>
                </c:pt>
                <c:pt idx="57" formatCode="0.00">
                  <c:v>349.98025000000001</c:v>
                </c:pt>
                <c:pt idx="58" formatCode="0.00">
                  <c:v>347.77564999999998</c:v>
                </c:pt>
                <c:pt idx="59" formatCode="0.00">
                  <c:v>342.92552999999998</c:v>
                </c:pt>
                <c:pt idx="60" formatCode="0.00">
                  <c:v>336.64241999999996</c:v>
                </c:pt>
                <c:pt idx="61" formatCode="0.00">
                  <c:v>334.10713000000004</c:v>
                </c:pt>
                <c:pt idx="62" formatCode="0.00">
                  <c:v>332.34345000000002</c:v>
                </c:pt>
                <c:pt idx="63" formatCode="0.00">
                  <c:v>344.02782999999999</c:v>
                </c:pt>
                <c:pt idx="64" formatCode="0.00">
                  <c:v>344.46875</c:v>
                </c:pt>
                <c:pt idx="65" formatCode="0.00">
                  <c:v>330.46953999999999</c:v>
                </c:pt>
                <c:pt idx="66" formatCode="0.00">
                  <c:v>334.98896999999999</c:v>
                </c:pt>
                <c:pt idx="67" formatCode="0.00">
                  <c:v>335.76058</c:v>
                </c:pt>
              </c:numCache>
            </c:numRef>
          </c:val>
          <c:smooth val="0"/>
          <c:extLst>
            <c:ext xmlns:c16="http://schemas.microsoft.com/office/drawing/2014/chart" uri="{C3380CC4-5D6E-409C-BE32-E72D297353CC}">
              <c16:uniqueId val="{00000000-85B7-40D5-816F-6B3727FA1C3A}"/>
            </c:ext>
          </c:extLst>
        </c:ser>
        <c:dLbls>
          <c:showLegendKey val="0"/>
          <c:showVal val="0"/>
          <c:showCatName val="0"/>
          <c:showSerName val="0"/>
          <c:showPercent val="0"/>
          <c:showBubbleSize val="0"/>
        </c:dLbls>
        <c:smooth val="0"/>
        <c:axId val="955159552"/>
        <c:axId val="948932544"/>
        <c:extLst>
          <c:ext xmlns:c15="http://schemas.microsoft.com/office/drawing/2012/chart" uri="{02D57815-91ED-43cb-92C2-25804820EDAC}">
            <c15:filteredLineSeries>
              <c15:ser>
                <c:idx val="2"/>
                <c:order val="2"/>
                <c:tx>
                  <c:strRef>
                    <c:extLst>
                      <c:ext uri="{02D57815-91ED-43cb-92C2-25804820EDAC}">
                        <c15:formulaRef>
                          <c15:sqref>'58'!$Y$1</c15:sqref>
                        </c15:formulaRef>
                      </c:ext>
                    </c:extLst>
                    <c:strCache>
                      <c:ptCount val="1"/>
                      <c:pt idx="0">
                        <c:v>mar-24</c:v>
                      </c:pt>
                    </c:strCache>
                  </c:strRef>
                </c:tx>
                <c:marker>
                  <c:symbol val="none"/>
                </c:marker>
                <c:cat>
                  <c:numRef>
                    <c:extLst>
                      <c:ext uri="{02D57815-91ED-43cb-92C2-25804820EDAC}">
                        <c15:formulaRef>
                          <c15:sqref>'58'!$G$98:$G$165</c15:sqref>
                        </c15:formulaRef>
                      </c:ext>
                    </c:extLst>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extLst>
                      <c:ext uri="{02D57815-91ED-43cb-92C2-25804820EDAC}">
                        <c15:formulaRef>
                          <c15:sqref>'58'!$Y$98:$Y$151</c15:sqref>
                        </c15:formulaRef>
                      </c:ext>
                    </c:extLst>
                    <c:numCache>
                      <c:formatCode>0.00</c:formatCode>
                      <c:ptCount val="54"/>
                      <c:pt idx="0">
                        <c:v>350.42116999999996</c:v>
                      </c:pt>
                      <c:pt idx="1">
                        <c:v>351.74392999999998</c:v>
                      </c:pt>
                      <c:pt idx="2">
                        <c:v>348.65749</c:v>
                      </c:pt>
                      <c:pt idx="3">
                        <c:v>341.60277000000002</c:v>
                      </c:pt>
                      <c:pt idx="4">
                        <c:v>336.97311000000002</c:v>
                      </c:pt>
                      <c:pt idx="5">
                        <c:v>343.91760000000005</c:v>
                      </c:pt>
                      <c:pt idx="6">
                        <c:v>344.24829</c:v>
                      </c:pt>
                      <c:pt idx="7" formatCode="0.000">
                        <c:v>353.72807</c:v>
                      </c:pt>
                      <c:pt idx="8" formatCode="0.000">
                        <c:v>353.61783999999994</c:v>
                      </c:pt>
                      <c:pt idx="9" formatCode="0.000">
                        <c:v>340.94139000000001</c:v>
                      </c:pt>
                      <c:pt idx="10" formatCode="0.000">
                        <c:v>336.97311000000002</c:v>
                      </c:pt>
                      <c:pt idx="11" formatCode="0.000">
                        <c:v>347.77564999999998</c:v>
                      </c:pt>
                      <c:pt idx="12">
                        <c:v>363.76</c:v>
                      </c:pt>
                      <c:pt idx="13">
                        <c:v>351.08255000000003</c:v>
                      </c:pt>
                      <c:pt idx="14">
                        <c:v>364.19991999999996</c:v>
                      </c:pt>
                      <c:pt idx="15">
                        <c:v>356.59404999999998</c:v>
                      </c:pt>
                      <c:pt idx="16">
                        <c:v>359.46002999999996</c:v>
                      </c:pt>
                      <c:pt idx="17">
                        <c:v>373.01832000000002</c:v>
                      </c:pt>
                      <c:pt idx="18">
                        <c:v>360.78279000000003</c:v>
                      </c:pt>
                      <c:pt idx="19">
                        <c:v>365.74313999999998</c:v>
                      </c:pt>
                      <c:pt idx="20">
                        <c:v>361.33393999999998</c:v>
                      </c:pt>
                      <c:pt idx="21">
                        <c:v>362.98739</c:v>
                      </c:pt>
                      <c:pt idx="22">
                        <c:v>363.31808000000001</c:v>
                      </c:pt>
                      <c:pt idx="23">
                        <c:v>363.42830999999995</c:v>
                      </c:pt>
                      <c:pt idx="24">
                        <c:v>369.93188000000004</c:v>
                      </c:pt>
                      <c:pt idx="25">
                        <c:v>362.21578</c:v>
                      </c:pt>
                      <c:pt idx="26">
                        <c:v>354.38944999999995</c:v>
                      </c:pt>
                      <c:pt idx="27">
                        <c:v>373.90016000000003</c:v>
                      </c:pt>
                      <c:pt idx="28">
                        <c:v>384.48223999999999</c:v>
                      </c:pt>
                      <c:pt idx="29">
                        <c:v>378.41958999999997</c:v>
                      </c:pt>
                      <c:pt idx="30">
                        <c:v>382.05718000000002</c:v>
                      </c:pt>
                      <c:pt idx="31">
                        <c:v>389.55282000000005</c:v>
                      </c:pt>
                      <c:pt idx="32">
                        <c:v>388.11982999999998</c:v>
                      </c:pt>
                      <c:pt idx="33">
                        <c:v>397.48938000000004</c:v>
                      </c:pt>
                      <c:pt idx="34">
                        <c:v>385.58454000000006</c:v>
                      </c:pt>
                      <c:pt idx="35">
                        <c:v>389.55282000000005</c:v>
                      </c:pt>
                      <c:pt idx="36">
                        <c:v>396.49730999999997</c:v>
                      </c:pt>
                      <c:pt idx="37">
                        <c:v>403.66225999999995</c:v>
                      </c:pt>
                      <c:pt idx="38">
                        <c:v>410.60674999999998</c:v>
                      </c:pt>
                    </c:numCache>
                  </c:numRef>
                </c:val>
                <c:smooth val="0"/>
                <c:extLst>
                  <c:ext xmlns:c16="http://schemas.microsoft.com/office/drawing/2014/chart" uri="{C3380CC4-5D6E-409C-BE32-E72D297353CC}">
                    <c16:uniqueId val="{00000001-C043-4104-87C9-9768D160F96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'58'!$Z$1</c15:sqref>
                        </c15:formulaRef>
                      </c:ext>
                    </c:extLst>
                    <c:strCache>
                      <c:ptCount val="1"/>
                      <c:pt idx="0">
                        <c:v>may-24</c:v>
                      </c:pt>
                    </c:strCache>
                  </c:strRef>
                </c:tx>
                <c:marker>
                  <c:symbol val="none"/>
                </c:marker>
                <c:cat>
                  <c:numRef>
                    <c:extLst xmlns:c15="http://schemas.microsoft.com/office/drawing/2012/chart">
                      <c:ext xmlns:c15="http://schemas.microsoft.com/office/drawing/2012/chart" uri="{02D57815-91ED-43cb-92C2-25804820EDAC}">
                        <c15:formulaRef>
                          <c15:sqref>'58'!$G$98:$G$165</c15:sqref>
                        </c15:formulaRef>
                      </c:ext>
                    </c:extLst>
                    <c:numCache>
                      <c:formatCode>m/d/yyyy</c:formatCode>
                      <c:ptCount val="68"/>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pt idx="37">
                        <c:v>45327</c:v>
                      </c:pt>
                      <c:pt idx="38">
                        <c:v>45334</c:v>
                      </c:pt>
                      <c:pt idx="39">
                        <c:v>45341</c:v>
                      </c:pt>
                      <c:pt idx="40">
                        <c:v>45348</c:v>
                      </c:pt>
                      <c:pt idx="41">
                        <c:v>45355</c:v>
                      </c:pt>
                      <c:pt idx="42">
                        <c:v>45358</c:v>
                      </c:pt>
                      <c:pt idx="43">
                        <c:v>45362</c:v>
                      </c:pt>
                      <c:pt idx="44">
                        <c:v>45371</c:v>
                      </c:pt>
                      <c:pt idx="45">
                        <c:v>45383</c:v>
                      </c:pt>
                      <c:pt idx="46">
                        <c:v>45390</c:v>
                      </c:pt>
                      <c:pt idx="47">
                        <c:v>45398</c:v>
                      </c:pt>
                      <c:pt idx="48">
                        <c:v>45404</c:v>
                      </c:pt>
                      <c:pt idx="49">
                        <c:v>45407</c:v>
                      </c:pt>
                      <c:pt idx="50">
                        <c:v>45411</c:v>
                      </c:pt>
                      <c:pt idx="51">
                        <c:v>45418</c:v>
                      </c:pt>
                      <c:pt idx="52">
                        <c:v>45425</c:v>
                      </c:pt>
                      <c:pt idx="53">
                        <c:v>45436</c:v>
                      </c:pt>
                      <c:pt idx="54">
                        <c:v>45443</c:v>
                      </c:pt>
                      <c:pt idx="55">
                        <c:v>45450</c:v>
                      </c:pt>
                      <c:pt idx="56">
                        <c:v>45457</c:v>
                      </c:pt>
                      <c:pt idx="57">
                        <c:v>45463</c:v>
                      </c:pt>
                      <c:pt idx="58">
                        <c:v>45467</c:v>
                      </c:pt>
                      <c:pt idx="59">
                        <c:v>45474</c:v>
                      </c:pt>
                      <c:pt idx="60">
                        <c:v>45481</c:v>
                      </c:pt>
                      <c:pt idx="61">
                        <c:v>45488</c:v>
                      </c:pt>
                      <c:pt idx="62">
                        <c:v>45495</c:v>
                      </c:pt>
                      <c:pt idx="63">
                        <c:v>45502</c:v>
                      </c:pt>
                      <c:pt idx="64">
                        <c:v>45509</c:v>
                      </c:pt>
                      <c:pt idx="65">
                        <c:v>45516</c:v>
                      </c:pt>
                      <c:pt idx="66">
                        <c:v>45523</c:v>
                      </c:pt>
                      <c:pt idx="67">
                        <c:v>45530</c:v>
                      </c:pt>
                    </c:numCache>
                  </c:numRef>
                </c:cat>
                <c:val>
                  <c:numRef>
                    <c:extLst xmlns:c15="http://schemas.microsoft.com/office/drawing/2012/chart">
                      <c:ext xmlns:c15="http://schemas.microsoft.com/office/drawing/2012/chart" uri="{02D57815-91ED-43cb-92C2-25804820EDAC}">
                        <c15:formulaRef>
                          <c15:sqref>'58'!$Z$98:$Z$151</c15:sqref>
                        </c15:formulaRef>
                      </c:ext>
                    </c:extLst>
                    <c:numCache>
                      <c:formatCode>General</c:formatCode>
                      <c:ptCount val="54"/>
                      <c:pt idx="2" formatCode="0.00">
                        <c:v>354.16899000000001</c:v>
                      </c:pt>
                      <c:pt idx="3" formatCode="0.00">
                        <c:v>347.11427000000003</c:v>
                      </c:pt>
                      <c:pt idx="4" formatCode="0.00">
                        <c:v>342.48460999999998</c:v>
                      </c:pt>
                      <c:pt idx="5" formatCode="0.00">
                        <c:v>349.42910000000001</c:v>
                      </c:pt>
                      <c:pt idx="6" formatCode="0.00">
                        <c:v>349.75979000000001</c:v>
                      </c:pt>
                      <c:pt idx="7" formatCode="0.000">
                        <c:v>359.23957000000001</c:v>
                      </c:pt>
                      <c:pt idx="8" formatCode="0.000">
                        <c:v>359.12933999999996</c:v>
                      </c:pt>
                      <c:pt idx="9" formatCode="0.000">
                        <c:v>346.67334999999997</c:v>
                      </c:pt>
                      <c:pt idx="10" formatCode="0.000">
                        <c:v>342.70506999999998</c:v>
                      </c:pt>
                      <c:pt idx="11" formatCode="0.000">
                        <c:v>353.50761</c:v>
                      </c:pt>
                      <c:pt idx="12" formatCode="0.00">
                        <c:v>369.49</c:v>
                      </c:pt>
                      <c:pt idx="13" formatCode="0.00">
                        <c:v>356.81450999999998</c:v>
                      </c:pt>
                      <c:pt idx="14" formatCode="0.00">
                        <c:v>369.93188000000004</c:v>
                      </c:pt>
                      <c:pt idx="15" formatCode="0.00">
                        <c:v>362.76693</c:v>
                      </c:pt>
                      <c:pt idx="16" formatCode="0.00">
                        <c:v>364.31014999999996</c:v>
                      </c:pt>
                      <c:pt idx="17" formatCode="0.00">
                        <c:v>376.54568</c:v>
                      </c:pt>
                      <c:pt idx="18" formatCode="0.00">
                        <c:v>364.64083999999997</c:v>
                      </c:pt>
                      <c:pt idx="19" formatCode="0.00">
                        <c:v>370.59325999999999</c:v>
                      </c:pt>
                      <c:pt idx="20" formatCode="0.00">
                        <c:v>365.63290999999998</c:v>
                      </c:pt>
                      <c:pt idx="21" formatCode="0.00">
                        <c:v>367.39658999999995</c:v>
                      </c:pt>
                      <c:pt idx="22" formatCode="0.00">
                        <c:v>368.82958000000002</c:v>
                      </c:pt>
                      <c:pt idx="23" formatCode="0.00">
                        <c:v>368.60911999999996</c:v>
                      </c:pt>
                      <c:pt idx="24" formatCode="0.00">
                        <c:v>374.78199999999998</c:v>
                      </c:pt>
                      <c:pt idx="25" formatCode="0.00">
                        <c:v>366.95567</c:v>
                      </c:pt>
                      <c:pt idx="26" formatCode="0.00">
                        <c:v>358.68842000000001</c:v>
                      </c:pt>
                      <c:pt idx="27" formatCode="0.00">
                        <c:v>377.20705999999996</c:v>
                      </c:pt>
                      <c:pt idx="28" formatCode="0.00">
                        <c:v>388.56074999999998</c:v>
                      </c:pt>
                      <c:pt idx="29" formatCode="0.00">
                        <c:v>380.51396</c:v>
                      </c:pt>
                      <c:pt idx="30" formatCode="0.00">
                        <c:v>386.57661000000002</c:v>
                      </c:pt>
                      <c:pt idx="31" formatCode="0.00">
                        <c:v>392.96994999999998</c:v>
                      </c:pt>
                      <c:pt idx="32" formatCode="0.00">
                        <c:v>391.75741999999997</c:v>
                      </c:pt>
                      <c:pt idx="33" formatCode="0.00">
                        <c:v>402.00880999999998</c:v>
                      </c:pt>
                      <c:pt idx="34" formatCode="0.00">
                        <c:v>390.76535000000001</c:v>
                      </c:pt>
                      <c:pt idx="35" formatCode="0.00">
                        <c:v>394.73363000000001</c:v>
                      </c:pt>
                      <c:pt idx="36" formatCode="0.00">
                        <c:v>402.44972999999999</c:v>
                      </c:pt>
                      <c:pt idx="37" formatCode="0.00">
                        <c:v>409.06352999999996</c:v>
                      </c:pt>
                      <c:pt idx="38" formatCode="0.00">
                        <c:v>415.45686999999998</c:v>
                      </c:pt>
                      <c:pt idx="39" formatCode="0.00">
                        <c:v>409.28399000000002</c:v>
                      </c:pt>
                      <c:pt idx="40" formatCode="0.00">
                        <c:v>411.04766999999998</c:v>
                      </c:pt>
                      <c:pt idx="41" formatCode="0.00">
                        <c:v>404.21341000000001</c:v>
                      </c:pt>
                      <c:pt idx="42" formatCode="0.00">
                        <c:v>392.85971999999998</c:v>
                      </c:pt>
                      <c:pt idx="43" formatCode="0.00">
                        <c:v>393.08018000000004</c:v>
                      </c:pt>
                      <c:pt idx="44" formatCode="0.00">
                        <c:v>390.10397</c:v>
                      </c:pt>
                      <c:pt idx="45" formatCode="0.00">
                        <c:v>359.23957000000001</c:v>
                      </c:pt>
                      <c:pt idx="46" formatCode="0.00">
                        <c:v>355.27129000000002</c:v>
                      </c:pt>
                      <c:pt idx="47" formatCode="0.00">
                        <c:v>404.87479000000002</c:v>
                      </c:pt>
                      <c:pt idx="48" formatCode="0.00">
                        <c:v>418.10238999999996</c:v>
                      </c:pt>
                      <c:pt idx="49" formatCode="0.00">
                        <c:v>420.74790999999999</c:v>
                      </c:pt>
                    </c:numCache>
                  </c:numRef>
                </c:val>
                <c:smooth val="0"/>
                <c:extLst xmlns:c15="http://schemas.microsoft.com/office/drawing/2012/chart">
                  <c:ext xmlns:c16="http://schemas.microsoft.com/office/drawing/2014/chart" uri="{C3380CC4-5D6E-409C-BE32-E72D297353CC}">
                    <c16:uniqueId val="{00000000-331D-4D71-BAA3-7C11406A2097}"/>
                  </c:ext>
                </c:extLst>
              </c15:ser>
            </c15:filteredLineSeries>
          </c:ext>
        </c:extLst>
      </c:lineChart>
      <c:dateAx>
        <c:axId val="9551595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a:pPr>
            <a:endParaRPr lang="es-CL"/>
          </a:p>
        </c:txPr>
        <c:crossAx val="948932544"/>
        <c:crosses val="autoZero"/>
        <c:auto val="0"/>
        <c:lblOffset val="20"/>
        <c:baseTimeUnit val="days"/>
        <c:majorUnit val="15"/>
        <c:majorTimeUnit val="days"/>
        <c:minorUnit val="1"/>
        <c:minorTimeUnit val="days"/>
      </c:dateAx>
      <c:valAx>
        <c:axId val="948932544"/>
        <c:scaling>
          <c:orientation val="minMax"/>
          <c:max val="440"/>
          <c:min val="3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USD/ton</a:t>
                </a:r>
              </a:p>
            </c:rich>
          </c:tx>
          <c:layout>
            <c:manualLayout>
              <c:xMode val="edge"/>
              <c:yMode val="edge"/>
              <c:x val="1.0384460667757956E-2"/>
              <c:y val="0.40822367543040172"/>
            </c:manualLayout>
          </c:layout>
          <c:overlay val="0"/>
          <c:spPr>
            <a:noFill/>
            <a:ln w="25400">
              <a:noFill/>
            </a:ln>
          </c:spPr>
        </c:title>
        <c:numFmt formatCode="#,##0" sourceLinked="0"/>
        <c:majorTickMark val="none"/>
        <c:minorTickMark val="none"/>
        <c:tickLblPos val="nextTo"/>
        <c:spPr>
          <a:ln w="9525">
            <a:noFill/>
          </a:ln>
        </c:spPr>
        <c:txPr>
          <a:bodyPr rot="0" vert="horz"/>
          <a:lstStyle/>
          <a:p>
            <a:pPr>
              <a:defRPr/>
            </a:pPr>
            <a:endParaRPr lang="es-CL"/>
          </a:p>
        </c:txPr>
        <c:crossAx val="955159552"/>
        <c:crosses val="autoZero"/>
        <c:crossBetween val="midCat"/>
      </c:valAx>
      <c:spPr>
        <a:noFill/>
        <a:ln w="25400">
          <a:noFill/>
        </a:ln>
      </c:spPr>
    </c:plotArea>
    <c:legend>
      <c:legendPos val="r"/>
      <c:layout>
        <c:manualLayout>
          <c:xMode val="edge"/>
          <c:yMode val="edge"/>
          <c:x val="7.3572824795513539E-2"/>
          <c:y val="0.83737657988577741"/>
          <c:w val="0.87960415629087685"/>
          <c:h val="8.5455302461507079E-2"/>
        </c:manualLayout>
      </c:layout>
      <c:overlay val="0"/>
      <c:txPr>
        <a:bodyPr/>
        <a:lstStyle/>
        <a:p>
          <a:pPr>
            <a:defRPr sz="1000"/>
          </a:pPr>
          <a:endParaRPr lang="es-CL"/>
        </a:p>
      </c:txPr>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L" sz="1300" b="1" i="0" u="none" strike="noStrike" baseline="0">
                <a:solidFill>
                  <a:srgbClr val="000000"/>
                </a:solidFill>
                <a:latin typeface="Arial"/>
                <a:cs typeface="Arial"/>
              </a:rPr>
              <a:t>Gráfico N</a:t>
            </a:r>
            <a:r>
              <a:rPr lang="es-CL" sz="1300" b="1" i="0" u="none" strike="noStrike" baseline="0">
                <a:solidFill>
                  <a:srgbClr val="000000"/>
                </a:solidFill>
                <a:latin typeface="+mn-ea"/>
                <a:ea typeface="+mn-ea"/>
                <a:cs typeface="+mn-ea"/>
              </a:rPr>
              <a:t>°</a:t>
            </a:r>
            <a:r>
              <a:rPr lang="es-CL" sz="1300" b="1" i="0" u="none" strike="noStrike" baseline="0">
                <a:solidFill>
                  <a:srgbClr val="000000"/>
                </a:solidFill>
                <a:latin typeface="Arial"/>
                <a:ea typeface="+mn-ea"/>
                <a:cs typeface="Arial"/>
              </a:rPr>
              <a:t> 12. Evolución de los precios a consumidor del arroz grado 2 en supermercados en la Región Metropolitana</a:t>
            </a:r>
            <a:endParaRPr lang="es-CL" sz="1300" b="1" i="0" u="none" strike="noStrike" baseline="0">
              <a:solidFill>
                <a:srgbClr val="000000"/>
              </a:solidFill>
              <a:latin typeface="Arial"/>
              <a:cs typeface="Arial"/>
            </a:endParaRPr>
          </a:p>
        </c:rich>
      </c:tx>
      <c:layout>
        <c:manualLayout>
          <c:xMode val="edge"/>
          <c:yMode val="edge"/>
          <c:x val="0.13474501045323381"/>
          <c:y val="2.3323694987509219E-2"/>
        </c:manualLayout>
      </c:layout>
      <c:overlay val="0"/>
      <c:spPr>
        <a:noFill/>
        <a:ln w="25400">
          <a:noFill/>
        </a:ln>
      </c:spPr>
    </c:title>
    <c:autoTitleDeleted val="0"/>
    <c:plotArea>
      <c:layout>
        <c:manualLayout>
          <c:layoutTarget val="inner"/>
          <c:xMode val="edge"/>
          <c:yMode val="edge"/>
          <c:x val="9.519560678356602E-2"/>
          <c:y val="0.12613039714555171"/>
          <c:w val="0.88651677891884462"/>
          <c:h val="0.58512749158029509"/>
        </c:manualLayout>
      </c:layout>
      <c:lineChart>
        <c:grouping val="standard"/>
        <c:varyColors val="0"/>
        <c:ser>
          <c:idx val="4"/>
          <c:order val="4"/>
          <c:tx>
            <c:strRef>
              <c:f>'59'!$G$5</c:f>
              <c:strCache>
                <c:ptCount val="1"/>
                <c:pt idx="0">
                  <c:v>Precio promedio arroz grano ancho</c:v>
                </c:pt>
              </c:strCache>
            </c:strRef>
          </c:tx>
          <c:spPr>
            <a:ln>
              <a:solidFill>
                <a:sysClr val="windowText" lastClr="000000"/>
              </a:solidFill>
            </a:ln>
          </c:spPr>
          <c:marker>
            <c:spPr>
              <a:solidFill>
                <a:schemeClr val="tx1"/>
              </a:solidFill>
              <a:ln>
                <a:solidFill>
                  <a:sysClr val="windowText" lastClr="000000"/>
                </a:solidFill>
              </a:ln>
            </c:spPr>
          </c:marker>
          <c:cat>
            <c:numRef>
              <c:f>'59'!$B$6:$B$59</c:f>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f>'59'!$G$6:$G$59</c:f>
              <c:numCache>
                <c:formatCode>_-* #,##0_-;\-* #,##0_-;_-* \-_-;_-@_-</c:formatCode>
                <c:ptCount val="54"/>
                <c:pt idx="0">
                  <c:v>1020</c:v>
                </c:pt>
                <c:pt idx="1">
                  <c:v>1027</c:v>
                </c:pt>
                <c:pt idx="2">
                  <c:v>1046</c:v>
                </c:pt>
                <c:pt idx="3">
                  <c:v>1056</c:v>
                </c:pt>
                <c:pt idx="4">
                  <c:v>1091</c:v>
                </c:pt>
                <c:pt idx="5">
                  <c:v>1072</c:v>
                </c:pt>
                <c:pt idx="6">
                  <c:v>1050</c:v>
                </c:pt>
                <c:pt idx="7">
                  <c:v>1041</c:v>
                </c:pt>
                <c:pt idx="8">
                  <c:v>1051</c:v>
                </c:pt>
                <c:pt idx="9">
                  <c:v>1158</c:v>
                </c:pt>
                <c:pt idx="10">
                  <c:v>1069</c:v>
                </c:pt>
                <c:pt idx="11">
                  <c:v>1063</c:v>
                </c:pt>
                <c:pt idx="12">
                  <c:v>1062</c:v>
                </c:pt>
                <c:pt idx="13">
                  <c:v>1072</c:v>
                </c:pt>
                <c:pt idx="14">
                  <c:v>1070</c:v>
                </c:pt>
                <c:pt idx="15">
                  <c:v>1088</c:v>
                </c:pt>
                <c:pt idx="16">
                  <c:v>1081</c:v>
                </c:pt>
                <c:pt idx="17">
                  <c:v>1057</c:v>
                </c:pt>
                <c:pt idx="18">
                  <c:v>1082</c:v>
                </c:pt>
                <c:pt idx="19">
                  <c:v>1108</c:v>
                </c:pt>
                <c:pt idx="20">
                  <c:v>1130</c:v>
                </c:pt>
                <c:pt idx="21">
                  <c:v>1139</c:v>
                </c:pt>
                <c:pt idx="22">
                  <c:v>1158</c:v>
                </c:pt>
                <c:pt idx="23">
                  <c:v>1184</c:v>
                </c:pt>
                <c:pt idx="24">
                  <c:v>1195</c:v>
                </c:pt>
                <c:pt idx="25">
                  <c:v>1158</c:v>
                </c:pt>
                <c:pt idx="26">
                  <c:v>1224</c:v>
                </c:pt>
                <c:pt idx="27">
                  <c:v>1341</c:v>
                </c:pt>
                <c:pt idx="28">
                  <c:v>1353</c:v>
                </c:pt>
                <c:pt idx="29">
                  <c:v>1360</c:v>
                </c:pt>
                <c:pt idx="30">
                  <c:v>1393</c:v>
                </c:pt>
                <c:pt idx="31">
                  <c:v>1431</c:v>
                </c:pt>
                <c:pt idx="32">
                  <c:v>1449</c:v>
                </c:pt>
                <c:pt idx="33">
                  <c:v>1467</c:v>
                </c:pt>
                <c:pt idx="34">
                  <c:v>1496</c:v>
                </c:pt>
                <c:pt idx="35">
                  <c:v>1526.902</c:v>
                </c:pt>
                <c:pt idx="36">
                  <c:v>1539.2929999999999</c:v>
                </c:pt>
                <c:pt idx="37">
                  <c:v>1532.9649999999999</c:v>
                </c:pt>
                <c:pt idx="38">
                  <c:v>1517.896</c:v>
                </c:pt>
                <c:pt idx="39">
                  <c:v>1508</c:v>
                </c:pt>
                <c:pt idx="40">
                  <c:v>1510</c:v>
                </c:pt>
                <c:pt idx="41">
                  <c:v>1532.239</c:v>
                </c:pt>
                <c:pt idx="42">
                  <c:v>1614</c:v>
                </c:pt>
                <c:pt idx="43">
                  <c:v>1606.0409999999999</c:v>
                </c:pt>
                <c:pt idx="44">
                  <c:v>1619</c:v>
                </c:pt>
                <c:pt idx="45">
                  <c:v>1699.701</c:v>
                </c:pt>
                <c:pt idx="46">
                  <c:v>1759.376</c:v>
                </c:pt>
                <c:pt idx="47">
                  <c:v>1740.4849999999999</c:v>
                </c:pt>
                <c:pt idx="48">
                  <c:v>1746.952</c:v>
                </c:pt>
                <c:pt idx="49">
                  <c:v>1731.751</c:v>
                </c:pt>
                <c:pt idx="50">
                  <c:v>1809.8589999999999</c:v>
                </c:pt>
                <c:pt idx="51">
                  <c:v>1908.271</c:v>
                </c:pt>
                <c:pt idx="52">
                  <c:v>2001</c:v>
                </c:pt>
                <c:pt idx="53">
                  <c:v>2081</c:v>
                </c:pt>
              </c:numCache>
            </c:numRef>
          </c:val>
          <c:smooth val="0"/>
          <c:extLst>
            <c:ext xmlns:c16="http://schemas.microsoft.com/office/drawing/2014/chart" uri="{C3380CC4-5D6E-409C-BE32-E72D297353CC}">
              <c16:uniqueId val="{00000006-8216-4C40-A015-924B1E46517D}"/>
            </c:ext>
          </c:extLst>
        </c:ser>
        <c:ser>
          <c:idx val="5"/>
          <c:order val="5"/>
          <c:tx>
            <c:strRef>
              <c:f>'59'!$H$5</c:f>
              <c:strCache>
                <c:ptCount val="1"/>
                <c:pt idx="0">
                  <c:v>Precio promedio arroz grano delgado</c:v>
                </c:pt>
              </c:strCache>
            </c:strRef>
          </c:tx>
          <c:spPr>
            <a:ln>
              <a:solidFill>
                <a:srgbClr val="FF0000"/>
              </a:solidFill>
            </a:ln>
          </c:spPr>
          <c:marker>
            <c:spPr>
              <a:solidFill>
                <a:srgbClr val="FF0000"/>
              </a:solidFill>
              <a:ln>
                <a:solidFill>
                  <a:srgbClr val="FF0000"/>
                </a:solidFill>
              </a:ln>
            </c:spPr>
          </c:marker>
          <c:cat>
            <c:numRef>
              <c:f>'59'!$B$6:$B$59</c:f>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f>'59'!$H$6:$H$59</c:f>
              <c:numCache>
                <c:formatCode>_-* #,##0_-;\-* #,##0_-;_-* \-_-;_-@_-</c:formatCode>
                <c:ptCount val="54"/>
                <c:pt idx="0">
                  <c:v>891</c:v>
                </c:pt>
                <c:pt idx="1">
                  <c:v>886</c:v>
                </c:pt>
                <c:pt idx="2">
                  <c:v>912</c:v>
                </c:pt>
                <c:pt idx="3">
                  <c:v>913</c:v>
                </c:pt>
                <c:pt idx="4">
                  <c:v>927</c:v>
                </c:pt>
                <c:pt idx="5">
                  <c:v>914</c:v>
                </c:pt>
                <c:pt idx="6">
                  <c:v>906</c:v>
                </c:pt>
                <c:pt idx="7">
                  <c:v>895</c:v>
                </c:pt>
                <c:pt idx="8">
                  <c:v>901</c:v>
                </c:pt>
                <c:pt idx="9">
                  <c:v>910</c:v>
                </c:pt>
                <c:pt idx="10">
                  <c:v>898</c:v>
                </c:pt>
                <c:pt idx="11">
                  <c:v>896</c:v>
                </c:pt>
                <c:pt idx="12">
                  <c:v>901</c:v>
                </c:pt>
                <c:pt idx="13">
                  <c:v>900</c:v>
                </c:pt>
                <c:pt idx="14">
                  <c:v>911</c:v>
                </c:pt>
                <c:pt idx="15">
                  <c:v>920</c:v>
                </c:pt>
                <c:pt idx="16">
                  <c:v>918</c:v>
                </c:pt>
                <c:pt idx="17">
                  <c:v>911</c:v>
                </c:pt>
                <c:pt idx="18">
                  <c:v>916</c:v>
                </c:pt>
                <c:pt idx="19">
                  <c:v>911</c:v>
                </c:pt>
                <c:pt idx="20">
                  <c:v>913</c:v>
                </c:pt>
                <c:pt idx="21">
                  <c:v>916</c:v>
                </c:pt>
                <c:pt idx="22">
                  <c:v>922</c:v>
                </c:pt>
                <c:pt idx="23">
                  <c:v>929</c:v>
                </c:pt>
                <c:pt idx="24">
                  <c:v>901</c:v>
                </c:pt>
                <c:pt idx="25">
                  <c:v>922</c:v>
                </c:pt>
                <c:pt idx="26">
                  <c:v>951</c:v>
                </c:pt>
                <c:pt idx="27">
                  <c:v>951</c:v>
                </c:pt>
                <c:pt idx="28">
                  <c:v>992</c:v>
                </c:pt>
                <c:pt idx="29">
                  <c:v>1020</c:v>
                </c:pt>
                <c:pt idx="30">
                  <c:v>1000</c:v>
                </c:pt>
                <c:pt idx="31">
                  <c:v>1059</c:v>
                </c:pt>
                <c:pt idx="32">
                  <c:v>1077</c:v>
                </c:pt>
                <c:pt idx="33">
                  <c:v>1120</c:v>
                </c:pt>
                <c:pt idx="34">
                  <c:v>1174</c:v>
                </c:pt>
                <c:pt idx="35">
                  <c:v>1240.8989999999999</c:v>
                </c:pt>
                <c:pt idx="36">
                  <c:v>1260.5730000000001</c:v>
                </c:pt>
                <c:pt idx="37">
                  <c:v>1253.2049999999999</c:v>
                </c:pt>
                <c:pt idx="38">
                  <c:v>1232.818</c:v>
                </c:pt>
                <c:pt idx="39">
                  <c:v>1220</c:v>
                </c:pt>
                <c:pt idx="40">
                  <c:v>1239</c:v>
                </c:pt>
                <c:pt idx="41">
                  <c:v>1257.5419999999999</c:v>
                </c:pt>
                <c:pt idx="42">
                  <c:v>1217</c:v>
                </c:pt>
                <c:pt idx="43">
                  <c:v>1243.1220000000001</c:v>
                </c:pt>
                <c:pt idx="44">
                  <c:v>1276</c:v>
                </c:pt>
                <c:pt idx="45">
                  <c:v>1356.3710000000001</c:v>
                </c:pt>
                <c:pt idx="46">
                  <c:v>1358.972</c:v>
                </c:pt>
                <c:pt idx="47">
                  <c:v>1346.6420000000001</c:v>
                </c:pt>
                <c:pt idx="48">
                  <c:v>1342.7860000000001</c:v>
                </c:pt>
                <c:pt idx="49">
                  <c:v>1362.027</c:v>
                </c:pt>
                <c:pt idx="50">
                  <c:v>1449.0350000000001</c:v>
                </c:pt>
                <c:pt idx="51">
                  <c:v>1496.7629999999999</c:v>
                </c:pt>
                <c:pt idx="52">
                  <c:v>1606</c:v>
                </c:pt>
                <c:pt idx="53">
                  <c:v>1668</c:v>
                </c:pt>
              </c:numCache>
            </c:numRef>
          </c:val>
          <c:smooth val="0"/>
          <c:extLst>
            <c:ext xmlns:c16="http://schemas.microsoft.com/office/drawing/2014/chart" uri="{C3380CC4-5D6E-409C-BE32-E72D297353CC}">
              <c16:uniqueId val="{00000007-8216-4C40-A015-924B1E46517D}"/>
            </c:ext>
          </c:extLst>
        </c:ser>
        <c:dLbls>
          <c:showLegendKey val="0"/>
          <c:showVal val="0"/>
          <c:showCatName val="0"/>
          <c:showSerName val="0"/>
          <c:showPercent val="0"/>
          <c:showBubbleSize val="0"/>
        </c:dLbls>
        <c:marker val="1"/>
        <c:smooth val="0"/>
        <c:axId val="955673088"/>
        <c:axId val="948934272"/>
        <c:extLst>
          <c:ext xmlns:c15="http://schemas.microsoft.com/office/drawing/2012/chart" uri="{02D57815-91ED-43cb-92C2-25804820EDAC}">
            <c15:filteredLineSeries>
              <c15:ser>
                <c:idx val="0"/>
                <c:order val="0"/>
                <c:tx>
                  <c:strRef>
                    <c:extLst>
                      <c:ext uri="{02D57815-91ED-43cb-92C2-25804820EDAC}">
                        <c15:formulaRef>
                          <c15:sqref>'59'!$C$5</c15:sqref>
                        </c15:formulaRef>
                      </c:ext>
                    </c:extLst>
                    <c:strCache>
                      <c:ptCount val="1"/>
                      <c:pt idx="0">
                        <c:v>Precio mínimo arroz grano ancho</c:v>
                      </c:pt>
                    </c:strCache>
                  </c:strRef>
                </c:tx>
                <c:cat>
                  <c:numRef>
                    <c:extLst>
                      <c:ext uri="{02D57815-91ED-43cb-92C2-25804820EDAC}">
                        <c15:formulaRef>
                          <c15:sqref>'59'!$B$6:$B$59</c15:sqref>
                        </c15:formulaRef>
                      </c:ext>
                    </c:extLst>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extLst>
                      <c:ext uri="{02D57815-91ED-43cb-92C2-25804820EDAC}">
                        <c15:formulaRef>
                          <c15:sqref>'59'!$C$6:$C$59</c15:sqref>
                        </c15:formulaRef>
                      </c:ext>
                    </c:extLst>
                    <c:numCache>
                      <c:formatCode>_-* #,##0_-;\-* #,##0_-;_-* \-_-;_-@_-</c:formatCode>
                      <c:ptCount val="54"/>
                      <c:pt idx="0">
                        <c:v>790</c:v>
                      </c:pt>
                      <c:pt idx="1">
                        <c:v>829</c:v>
                      </c:pt>
                      <c:pt idx="2">
                        <c:v>890</c:v>
                      </c:pt>
                      <c:pt idx="3">
                        <c:v>910</c:v>
                      </c:pt>
                      <c:pt idx="4">
                        <c:v>910</c:v>
                      </c:pt>
                      <c:pt idx="5">
                        <c:v>910</c:v>
                      </c:pt>
                      <c:pt idx="6">
                        <c:v>910</c:v>
                      </c:pt>
                      <c:pt idx="7">
                        <c:v>910</c:v>
                      </c:pt>
                      <c:pt idx="8">
                        <c:v>910</c:v>
                      </c:pt>
                      <c:pt idx="9">
                        <c:v>850</c:v>
                      </c:pt>
                      <c:pt idx="10">
                        <c:v>910</c:v>
                      </c:pt>
                      <c:pt idx="11">
                        <c:v>910</c:v>
                      </c:pt>
                      <c:pt idx="12">
                        <c:v>910</c:v>
                      </c:pt>
                      <c:pt idx="13">
                        <c:v>989</c:v>
                      </c:pt>
                      <c:pt idx="14">
                        <c:v>989</c:v>
                      </c:pt>
                      <c:pt idx="15">
                        <c:v>910</c:v>
                      </c:pt>
                      <c:pt idx="16">
                        <c:v>950</c:v>
                      </c:pt>
                      <c:pt idx="17">
                        <c:v>950</c:v>
                      </c:pt>
                      <c:pt idx="18">
                        <c:v>910</c:v>
                      </c:pt>
                      <c:pt idx="19">
                        <c:v>910</c:v>
                      </c:pt>
                      <c:pt idx="20">
                        <c:v>850</c:v>
                      </c:pt>
                      <c:pt idx="21">
                        <c:v>850</c:v>
                      </c:pt>
                      <c:pt idx="22">
                        <c:v>799</c:v>
                      </c:pt>
                      <c:pt idx="23">
                        <c:v>850</c:v>
                      </c:pt>
                      <c:pt idx="24">
                        <c:v>980</c:v>
                      </c:pt>
                      <c:pt idx="25">
                        <c:v>830</c:v>
                      </c:pt>
                      <c:pt idx="26">
                        <c:v>980</c:v>
                      </c:pt>
                      <c:pt idx="27">
                        <c:v>780</c:v>
                      </c:pt>
                      <c:pt idx="28">
                        <c:v>1000</c:v>
                      </c:pt>
                      <c:pt idx="29">
                        <c:v>1000</c:v>
                      </c:pt>
                      <c:pt idx="30">
                        <c:v>1059</c:v>
                      </c:pt>
                      <c:pt idx="31">
                        <c:v>999</c:v>
                      </c:pt>
                      <c:pt idx="32">
                        <c:v>1190</c:v>
                      </c:pt>
                      <c:pt idx="33">
                        <c:v>1000</c:v>
                      </c:pt>
                      <c:pt idx="34">
                        <c:v>1000</c:v>
                      </c:pt>
                      <c:pt idx="35">
                        <c:v>1159</c:v>
                      </c:pt>
                      <c:pt idx="36">
                        <c:v>1139</c:v>
                      </c:pt>
                      <c:pt idx="37">
                        <c:v>990</c:v>
                      </c:pt>
                      <c:pt idx="38">
                        <c:v>990</c:v>
                      </c:pt>
                      <c:pt idx="39">
                        <c:v>1090</c:v>
                      </c:pt>
                      <c:pt idx="40">
                        <c:v>1000</c:v>
                      </c:pt>
                      <c:pt idx="41">
                        <c:v>990</c:v>
                      </c:pt>
                      <c:pt idx="42">
                        <c:v>1000</c:v>
                      </c:pt>
                      <c:pt idx="43">
                        <c:v>1000</c:v>
                      </c:pt>
                      <c:pt idx="44">
                        <c:v>1000</c:v>
                      </c:pt>
                      <c:pt idx="45">
                        <c:v>1250</c:v>
                      </c:pt>
                      <c:pt idx="46">
                        <c:v>1000</c:v>
                      </c:pt>
                      <c:pt idx="47">
                        <c:v>1090</c:v>
                      </c:pt>
                      <c:pt idx="48">
                        <c:v>1000</c:v>
                      </c:pt>
                      <c:pt idx="49">
                        <c:v>1150</c:v>
                      </c:pt>
                      <c:pt idx="50">
                        <c:v>1090</c:v>
                      </c:pt>
                      <c:pt idx="51">
                        <c:v>1090</c:v>
                      </c:pt>
                      <c:pt idx="52">
                        <c:v>1090</c:v>
                      </c:pt>
                      <c:pt idx="53">
                        <c:v>1090</c:v>
                      </c:pt>
                    </c:numCache>
                  </c:numRef>
                </c:val>
                <c:smooth val="0"/>
                <c:extLst>
                  <c:ext xmlns:c16="http://schemas.microsoft.com/office/drawing/2014/chart" uri="{C3380CC4-5D6E-409C-BE32-E72D297353CC}">
                    <c16:uniqueId val="{00000001-8216-4C40-A015-924B1E46517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'59'!$D$5</c15:sqref>
                        </c15:formulaRef>
                      </c:ext>
                    </c:extLst>
                    <c:strCache>
                      <c:ptCount val="1"/>
                      <c:pt idx="0">
                        <c:v>Precio mínimo arroz grano delgado</c:v>
                      </c:pt>
                    </c:strCache>
                  </c:strRef>
                </c:tx>
                <c:cat>
                  <c:numRef>
                    <c:extLst xmlns:c15="http://schemas.microsoft.com/office/drawing/2012/chart">
                      <c:ext xmlns:c15="http://schemas.microsoft.com/office/drawing/2012/chart" uri="{02D57815-91ED-43cb-92C2-25804820EDAC}">
                        <c15:formulaRef>
                          <c15:sqref>'59'!$B$6:$B$59</c15:sqref>
                        </c15:formulaRef>
                      </c:ext>
                    </c:extLst>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extLst xmlns:c15="http://schemas.microsoft.com/office/drawing/2012/chart">
                      <c:ext xmlns:c15="http://schemas.microsoft.com/office/drawing/2012/chart" uri="{02D57815-91ED-43cb-92C2-25804820EDAC}">
                        <c15:formulaRef>
                          <c15:sqref>'59'!$D$6:$D$59</c15:sqref>
                        </c15:formulaRef>
                      </c:ext>
                    </c:extLst>
                    <c:numCache>
                      <c:formatCode>_-* #,##0_-;\-* #,##0_-;_-* \-_-;_-@_-</c:formatCode>
                      <c:ptCount val="54"/>
                      <c:pt idx="0">
                        <c:v>540</c:v>
                      </c:pt>
                      <c:pt idx="1">
                        <c:v>540</c:v>
                      </c:pt>
                      <c:pt idx="2">
                        <c:v>575</c:v>
                      </c:pt>
                      <c:pt idx="3">
                        <c:v>575</c:v>
                      </c:pt>
                      <c:pt idx="4">
                        <c:v>790</c:v>
                      </c:pt>
                      <c:pt idx="5">
                        <c:v>799</c:v>
                      </c:pt>
                      <c:pt idx="6">
                        <c:v>799</c:v>
                      </c:pt>
                      <c:pt idx="7">
                        <c:v>799</c:v>
                      </c:pt>
                      <c:pt idx="8">
                        <c:v>699</c:v>
                      </c:pt>
                      <c:pt idx="9">
                        <c:v>560</c:v>
                      </c:pt>
                      <c:pt idx="10">
                        <c:v>779</c:v>
                      </c:pt>
                      <c:pt idx="11">
                        <c:v>699</c:v>
                      </c:pt>
                      <c:pt idx="12">
                        <c:v>699</c:v>
                      </c:pt>
                      <c:pt idx="13">
                        <c:v>799</c:v>
                      </c:pt>
                      <c:pt idx="14">
                        <c:v>790</c:v>
                      </c:pt>
                      <c:pt idx="15">
                        <c:v>799</c:v>
                      </c:pt>
                      <c:pt idx="16">
                        <c:v>849</c:v>
                      </c:pt>
                      <c:pt idx="17">
                        <c:v>849</c:v>
                      </c:pt>
                      <c:pt idx="18">
                        <c:v>820</c:v>
                      </c:pt>
                      <c:pt idx="19">
                        <c:v>800</c:v>
                      </c:pt>
                      <c:pt idx="20">
                        <c:v>790</c:v>
                      </c:pt>
                      <c:pt idx="21">
                        <c:v>790</c:v>
                      </c:pt>
                      <c:pt idx="22">
                        <c:v>810</c:v>
                      </c:pt>
                      <c:pt idx="23">
                        <c:v>850</c:v>
                      </c:pt>
                      <c:pt idx="24">
                        <c:v>830</c:v>
                      </c:pt>
                      <c:pt idx="25">
                        <c:v>750</c:v>
                      </c:pt>
                      <c:pt idx="26">
                        <c:v>780</c:v>
                      </c:pt>
                      <c:pt idx="27">
                        <c:v>780</c:v>
                      </c:pt>
                      <c:pt idx="28">
                        <c:v>820</c:v>
                      </c:pt>
                      <c:pt idx="29">
                        <c:v>820</c:v>
                      </c:pt>
                      <c:pt idx="30">
                        <c:v>850</c:v>
                      </c:pt>
                      <c:pt idx="31">
                        <c:v>750</c:v>
                      </c:pt>
                      <c:pt idx="32">
                        <c:v>790</c:v>
                      </c:pt>
                      <c:pt idx="33">
                        <c:v>790</c:v>
                      </c:pt>
                      <c:pt idx="34">
                        <c:v>830</c:v>
                      </c:pt>
                      <c:pt idx="35">
                        <c:v>949</c:v>
                      </c:pt>
                      <c:pt idx="36">
                        <c:v>860</c:v>
                      </c:pt>
                      <c:pt idx="37">
                        <c:v>990</c:v>
                      </c:pt>
                      <c:pt idx="38">
                        <c:v>990</c:v>
                      </c:pt>
                      <c:pt idx="39">
                        <c:v>1000</c:v>
                      </c:pt>
                      <c:pt idx="40">
                        <c:v>990</c:v>
                      </c:pt>
                      <c:pt idx="41">
                        <c:v>950</c:v>
                      </c:pt>
                      <c:pt idx="42">
                        <c:v>899</c:v>
                      </c:pt>
                      <c:pt idx="43">
                        <c:v>899</c:v>
                      </c:pt>
                      <c:pt idx="44">
                        <c:v>850</c:v>
                      </c:pt>
                      <c:pt idx="45">
                        <c:v>970</c:v>
                      </c:pt>
                      <c:pt idx="46">
                        <c:v>915</c:v>
                      </c:pt>
                      <c:pt idx="47">
                        <c:v>890</c:v>
                      </c:pt>
                      <c:pt idx="48">
                        <c:v>930</c:v>
                      </c:pt>
                      <c:pt idx="49">
                        <c:v>990</c:v>
                      </c:pt>
                      <c:pt idx="50">
                        <c:v>890</c:v>
                      </c:pt>
                      <c:pt idx="51">
                        <c:v>1050</c:v>
                      </c:pt>
                      <c:pt idx="52">
                        <c:v>1000</c:v>
                      </c:pt>
                      <c:pt idx="53">
                        <c:v>1000</c:v>
                      </c:pt>
                    </c:numCache>
                  </c:numRef>
                </c:val>
                <c:smooth val="0"/>
                <c:extLst xmlns:c15="http://schemas.microsoft.com/office/drawing/2012/chart">
                  <c:ext xmlns:c16="http://schemas.microsoft.com/office/drawing/2014/chart" uri="{C3380CC4-5D6E-409C-BE32-E72D297353CC}">
                    <c16:uniqueId val="{00000002-8216-4C40-A015-924B1E465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'59'!$E$5</c15:sqref>
                        </c15:formulaRef>
                      </c:ext>
                    </c:extLst>
                    <c:strCache>
                      <c:ptCount val="1"/>
                      <c:pt idx="0">
                        <c:v>Precio máximo arroz grano ancho</c:v>
                      </c:pt>
                    </c:strCache>
                  </c:strRef>
                </c:tx>
                <c:cat>
                  <c:numRef>
                    <c:extLst xmlns:c15="http://schemas.microsoft.com/office/drawing/2012/chart">
                      <c:ext xmlns:c15="http://schemas.microsoft.com/office/drawing/2012/chart" uri="{02D57815-91ED-43cb-92C2-25804820EDAC}">
                        <c15:formulaRef>
                          <c15:sqref>'59'!$B$6:$B$59</c15:sqref>
                        </c15:formulaRef>
                      </c:ext>
                    </c:extLst>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extLst xmlns:c15="http://schemas.microsoft.com/office/drawing/2012/chart">
                      <c:ext xmlns:c15="http://schemas.microsoft.com/office/drawing/2012/chart" uri="{02D57815-91ED-43cb-92C2-25804820EDAC}">
                        <c15:formulaRef>
                          <c15:sqref>'59'!$E$6:$E$59</c15:sqref>
                        </c15:formulaRef>
                      </c:ext>
                    </c:extLst>
                    <c:numCache>
                      <c:formatCode>_-* #,##0_-;\-* #,##0_-;_-* \-_-;_-@_-</c:formatCode>
                      <c:ptCount val="54"/>
                      <c:pt idx="0">
                        <c:v>1350</c:v>
                      </c:pt>
                      <c:pt idx="1">
                        <c:v>1350</c:v>
                      </c:pt>
                      <c:pt idx="2">
                        <c:v>1450</c:v>
                      </c:pt>
                      <c:pt idx="3">
                        <c:v>1450</c:v>
                      </c:pt>
                      <c:pt idx="4">
                        <c:v>1595</c:v>
                      </c:pt>
                      <c:pt idx="5">
                        <c:v>1595</c:v>
                      </c:pt>
                      <c:pt idx="6">
                        <c:v>1595</c:v>
                      </c:pt>
                      <c:pt idx="7">
                        <c:v>1169</c:v>
                      </c:pt>
                      <c:pt idx="8">
                        <c:v>1249</c:v>
                      </c:pt>
                      <c:pt idx="9">
                        <c:v>1249</c:v>
                      </c:pt>
                      <c:pt idx="10">
                        <c:v>1339</c:v>
                      </c:pt>
                      <c:pt idx="11">
                        <c:v>1399</c:v>
                      </c:pt>
                      <c:pt idx="12">
                        <c:v>1139</c:v>
                      </c:pt>
                      <c:pt idx="13">
                        <c:v>1399</c:v>
                      </c:pt>
                      <c:pt idx="14">
                        <c:v>1399</c:v>
                      </c:pt>
                      <c:pt idx="15">
                        <c:v>1399</c:v>
                      </c:pt>
                      <c:pt idx="16">
                        <c:v>1399</c:v>
                      </c:pt>
                      <c:pt idx="17">
                        <c:v>1320</c:v>
                      </c:pt>
                      <c:pt idx="18">
                        <c:v>1320</c:v>
                      </c:pt>
                      <c:pt idx="19">
                        <c:v>1320</c:v>
                      </c:pt>
                      <c:pt idx="20">
                        <c:v>1399</c:v>
                      </c:pt>
                      <c:pt idx="21">
                        <c:v>1399</c:v>
                      </c:pt>
                      <c:pt idx="22">
                        <c:v>1459</c:v>
                      </c:pt>
                      <c:pt idx="23">
                        <c:v>1399</c:v>
                      </c:pt>
                      <c:pt idx="24">
                        <c:v>1439</c:v>
                      </c:pt>
                      <c:pt idx="25">
                        <c:v>1399</c:v>
                      </c:pt>
                      <c:pt idx="26">
                        <c:v>1499</c:v>
                      </c:pt>
                      <c:pt idx="27">
                        <c:v>1650</c:v>
                      </c:pt>
                      <c:pt idx="28">
                        <c:v>1590</c:v>
                      </c:pt>
                      <c:pt idx="29">
                        <c:v>1599</c:v>
                      </c:pt>
                      <c:pt idx="30">
                        <c:v>1569</c:v>
                      </c:pt>
                      <c:pt idx="31">
                        <c:v>1740</c:v>
                      </c:pt>
                      <c:pt idx="32">
                        <c:v>1740</c:v>
                      </c:pt>
                      <c:pt idx="33">
                        <c:v>1880</c:v>
                      </c:pt>
                      <c:pt idx="34">
                        <c:v>1880</c:v>
                      </c:pt>
                      <c:pt idx="35">
                        <c:v>1990</c:v>
                      </c:pt>
                      <c:pt idx="36">
                        <c:v>1999</c:v>
                      </c:pt>
                      <c:pt idx="37">
                        <c:v>1999</c:v>
                      </c:pt>
                      <c:pt idx="38">
                        <c:v>1999</c:v>
                      </c:pt>
                      <c:pt idx="39">
                        <c:v>1820</c:v>
                      </c:pt>
                      <c:pt idx="40">
                        <c:v>1969</c:v>
                      </c:pt>
                      <c:pt idx="41">
                        <c:v>2150</c:v>
                      </c:pt>
                      <c:pt idx="42">
                        <c:v>2190</c:v>
                      </c:pt>
                      <c:pt idx="43">
                        <c:v>2290</c:v>
                      </c:pt>
                      <c:pt idx="44">
                        <c:v>2175</c:v>
                      </c:pt>
                      <c:pt idx="45">
                        <c:v>2290</c:v>
                      </c:pt>
                      <c:pt idx="46">
                        <c:v>2290</c:v>
                      </c:pt>
                      <c:pt idx="47">
                        <c:v>2290</c:v>
                      </c:pt>
                      <c:pt idx="48">
                        <c:v>2180</c:v>
                      </c:pt>
                      <c:pt idx="49">
                        <c:v>2290</c:v>
                      </c:pt>
                      <c:pt idx="50">
                        <c:v>2260</c:v>
                      </c:pt>
                      <c:pt idx="51">
                        <c:v>2330</c:v>
                      </c:pt>
                      <c:pt idx="52">
                        <c:v>2580</c:v>
                      </c:pt>
                      <c:pt idx="53">
                        <c:v>2580</c:v>
                      </c:pt>
                    </c:numCache>
                  </c:numRef>
                </c:val>
                <c:smooth val="0"/>
                <c:extLst xmlns:c15="http://schemas.microsoft.com/office/drawing/2012/chart">
                  <c:ext xmlns:c16="http://schemas.microsoft.com/office/drawing/2014/chart" uri="{C3380CC4-5D6E-409C-BE32-E72D297353CC}">
                    <c16:uniqueId val="{00000004-8216-4C40-A015-924B1E46517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'59'!$F$5</c15:sqref>
                        </c15:formulaRef>
                      </c:ext>
                    </c:extLst>
                    <c:strCache>
                      <c:ptCount val="1"/>
                      <c:pt idx="0">
                        <c:v>Precio máximo arroz grano delgado</c:v>
                      </c:pt>
                    </c:strCache>
                  </c:strRef>
                </c:tx>
                <c:cat>
                  <c:numRef>
                    <c:extLst xmlns:c15="http://schemas.microsoft.com/office/drawing/2012/chart">
                      <c:ext xmlns:c15="http://schemas.microsoft.com/office/drawing/2012/chart" uri="{02D57815-91ED-43cb-92C2-25804820EDAC}">
                        <c15:formulaRef>
                          <c15:sqref>'59'!$B$6:$B$59</c15:sqref>
                        </c15:formulaRef>
                      </c:ext>
                    </c:extLst>
                    <c:numCache>
                      <c:formatCode>mmm\-yy</c:formatCode>
                      <c:ptCount val="5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numCache>
                  </c:numRef>
                </c:cat>
                <c:val>
                  <c:numRef>
                    <c:extLst xmlns:c15="http://schemas.microsoft.com/office/drawing/2012/chart">
                      <c:ext xmlns:c15="http://schemas.microsoft.com/office/drawing/2012/chart" uri="{02D57815-91ED-43cb-92C2-25804820EDAC}">
                        <c15:formulaRef>
                          <c15:sqref>'59'!$F$6:$F$59</c15:sqref>
                        </c15:formulaRef>
                      </c:ext>
                    </c:extLst>
                    <c:numCache>
                      <c:formatCode>_-* #,##0_-;\-* #,##0_-;_-* \-_-;_-@_-</c:formatCode>
                      <c:ptCount val="54"/>
                      <c:pt idx="0">
                        <c:v>1099</c:v>
                      </c:pt>
                      <c:pt idx="1">
                        <c:v>1190</c:v>
                      </c:pt>
                      <c:pt idx="2">
                        <c:v>1190</c:v>
                      </c:pt>
                      <c:pt idx="3">
                        <c:v>1229</c:v>
                      </c:pt>
                      <c:pt idx="4">
                        <c:v>1190</c:v>
                      </c:pt>
                      <c:pt idx="5">
                        <c:v>1190</c:v>
                      </c:pt>
                      <c:pt idx="6">
                        <c:v>1190</c:v>
                      </c:pt>
                      <c:pt idx="7">
                        <c:v>1079</c:v>
                      </c:pt>
                      <c:pt idx="8">
                        <c:v>1079</c:v>
                      </c:pt>
                      <c:pt idx="9">
                        <c:v>1150</c:v>
                      </c:pt>
                      <c:pt idx="10">
                        <c:v>1150</c:v>
                      </c:pt>
                      <c:pt idx="11">
                        <c:v>1060</c:v>
                      </c:pt>
                      <c:pt idx="12">
                        <c:v>1090</c:v>
                      </c:pt>
                      <c:pt idx="13">
                        <c:v>1039</c:v>
                      </c:pt>
                      <c:pt idx="14">
                        <c:v>1090</c:v>
                      </c:pt>
                      <c:pt idx="15">
                        <c:v>1039</c:v>
                      </c:pt>
                      <c:pt idx="16">
                        <c:v>1039</c:v>
                      </c:pt>
                      <c:pt idx="17">
                        <c:v>1050</c:v>
                      </c:pt>
                      <c:pt idx="18">
                        <c:v>1070</c:v>
                      </c:pt>
                      <c:pt idx="19">
                        <c:v>1110</c:v>
                      </c:pt>
                      <c:pt idx="20">
                        <c:v>1090</c:v>
                      </c:pt>
                      <c:pt idx="21">
                        <c:v>1289</c:v>
                      </c:pt>
                      <c:pt idx="22">
                        <c:v>1090</c:v>
                      </c:pt>
                      <c:pt idx="23">
                        <c:v>1359</c:v>
                      </c:pt>
                      <c:pt idx="24">
                        <c:v>1199</c:v>
                      </c:pt>
                      <c:pt idx="25">
                        <c:v>1290</c:v>
                      </c:pt>
                      <c:pt idx="26">
                        <c:v>1280</c:v>
                      </c:pt>
                      <c:pt idx="27">
                        <c:v>1090</c:v>
                      </c:pt>
                      <c:pt idx="28">
                        <c:v>1349</c:v>
                      </c:pt>
                      <c:pt idx="29">
                        <c:v>1650</c:v>
                      </c:pt>
                      <c:pt idx="30">
                        <c:v>1270</c:v>
                      </c:pt>
                      <c:pt idx="31">
                        <c:v>1350</c:v>
                      </c:pt>
                      <c:pt idx="32">
                        <c:v>1569</c:v>
                      </c:pt>
                      <c:pt idx="33">
                        <c:v>1450</c:v>
                      </c:pt>
                      <c:pt idx="34">
                        <c:v>1890</c:v>
                      </c:pt>
                      <c:pt idx="35">
                        <c:v>1600</c:v>
                      </c:pt>
                      <c:pt idx="36">
                        <c:v>1649</c:v>
                      </c:pt>
                      <c:pt idx="37">
                        <c:v>1629</c:v>
                      </c:pt>
                      <c:pt idx="38">
                        <c:v>1490</c:v>
                      </c:pt>
                      <c:pt idx="39">
                        <c:v>1600</c:v>
                      </c:pt>
                      <c:pt idx="40">
                        <c:v>1650</c:v>
                      </c:pt>
                      <c:pt idx="41">
                        <c:v>1790</c:v>
                      </c:pt>
                      <c:pt idx="42">
                        <c:v>1690</c:v>
                      </c:pt>
                      <c:pt idx="43">
                        <c:v>2150</c:v>
                      </c:pt>
                      <c:pt idx="44">
                        <c:v>1519</c:v>
                      </c:pt>
                      <c:pt idx="45">
                        <c:v>1790</c:v>
                      </c:pt>
                      <c:pt idx="46">
                        <c:v>1879</c:v>
                      </c:pt>
                      <c:pt idx="47">
                        <c:v>1999</c:v>
                      </c:pt>
                      <c:pt idx="48">
                        <c:v>2150</c:v>
                      </c:pt>
                      <c:pt idx="49">
                        <c:v>2150</c:v>
                      </c:pt>
                      <c:pt idx="50">
                        <c:v>2050</c:v>
                      </c:pt>
                      <c:pt idx="51">
                        <c:v>2270</c:v>
                      </c:pt>
                      <c:pt idx="52">
                        <c:v>2270</c:v>
                      </c:pt>
                      <c:pt idx="53">
                        <c:v>2110</c:v>
                      </c:pt>
                    </c:numCache>
                  </c:numRef>
                </c:val>
                <c:smooth val="0"/>
                <c:extLst xmlns:c15="http://schemas.microsoft.com/office/drawing/2012/chart">
                  <c:ext xmlns:c16="http://schemas.microsoft.com/office/drawing/2014/chart" uri="{C3380CC4-5D6E-409C-BE32-E72D297353CC}">
                    <c16:uniqueId val="{00000005-8216-4C40-A015-924B1E46517D}"/>
                  </c:ext>
                </c:extLst>
              </c15:ser>
            </c15:filteredLineSeries>
          </c:ext>
        </c:extLst>
      </c:lineChart>
      <c:dateAx>
        <c:axId val="95567308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800" b="0" i="0" u="none" strike="noStrike" baseline="0">
                <a:solidFill>
                  <a:srgbClr val="000000"/>
                </a:solidFill>
                <a:latin typeface="Arial"/>
                <a:ea typeface="Arial"/>
                <a:cs typeface="Arial"/>
              </a:defRPr>
            </a:pPr>
            <a:endParaRPr lang="es-CL"/>
          </a:p>
        </c:txPr>
        <c:crossAx val="948934272"/>
        <c:crosses val="autoZero"/>
        <c:auto val="1"/>
        <c:lblOffset val="100"/>
        <c:baseTimeUnit val="months"/>
        <c:majorUnit val="1"/>
        <c:majorTimeUnit val="months"/>
        <c:minorUnit val="1"/>
        <c:minorTimeUnit val="months"/>
      </c:dateAx>
      <c:valAx>
        <c:axId val="948934272"/>
        <c:scaling>
          <c:orientation val="minMax"/>
          <c:max val="2800"/>
          <c:min val="4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1050" b="0" i="0" u="none" strike="noStrike" baseline="0">
                <a:solidFill>
                  <a:srgbClr val="000000"/>
                </a:solidFill>
                <a:latin typeface="Arial"/>
                <a:ea typeface="Arial"/>
                <a:cs typeface="Arial"/>
              </a:defRPr>
            </a:pPr>
            <a:endParaRPr lang="es-CL"/>
          </a:p>
        </c:txPr>
        <c:crossAx val="955673088"/>
        <c:crosses val="autoZero"/>
        <c:crossBetween val="between"/>
        <c:majorUnit val="200"/>
      </c:valAx>
      <c:spPr>
        <a:noFill/>
        <a:ln w="25400">
          <a:noFill/>
        </a:ln>
      </c:spPr>
    </c:plotArea>
    <c:legend>
      <c:legendPos val="r"/>
      <c:layout>
        <c:manualLayout>
          <c:xMode val="edge"/>
          <c:yMode val="edge"/>
          <c:x val="3.782006646950431E-2"/>
          <c:y val="0.79878154234870014"/>
          <c:w val="0.90898218525287378"/>
          <c:h val="0.15285424670422598"/>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b="1"/>
              <a:t>Gráfico N° 13. Índice de precios a consumidor arroz grado 2 largo ancho y delgado en supermercados de la RM, Costo de Importación (CIF) y Costo Alternativo de Importación (CAI) </a:t>
            </a:r>
          </a:p>
          <a:p>
            <a:pPr>
              <a:defRPr sz="1200" b="1"/>
            </a:pPr>
            <a:r>
              <a:rPr lang="en-US" sz="1200" b="1"/>
              <a:t>2018 - 2024 </a:t>
            </a:r>
          </a:p>
          <a:p>
            <a:pPr>
              <a:defRPr sz="1200" b="1"/>
            </a:pPr>
            <a:r>
              <a:rPr lang="en-US" sz="1200" b="1"/>
              <a:t>Base enero 2018 = 100</a:t>
            </a:r>
          </a:p>
        </c:rich>
      </c:tx>
      <c:layout>
        <c:manualLayout>
          <c:xMode val="edge"/>
          <c:yMode val="edge"/>
          <c:x val="0.12514302931449309"/>
          <c:y val="1.768812895344609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s-CL"/>
        </a:p>
      </c:txPr>
    </c:title>
    <c:autoTitleDeleted val="0"/>
    <c:plotArea>
      <c:layout>
        <c:manualLayout>
          <c:layoutTarget val="inner"/>
          <c:xMode val="edge"/>
          <c:yMode val="edge"/>
          <c:x val="0.11931251919998706"/>
          <c:y val="0.23552311381659816"/>
          <c:w val="0.79381563018037504"/>
          <c:h val="0.48062839665578777"/>
        </c:manualLayout>
      </c:layout>
      <c:lineChart>
        <c:grouping val="standard"/>
        <c:varyColors val="0"/>
        <c:ser>
          <c:idx val="0"/>
          <c:order val="0"/>
          <c:tx>
            <c:strRef>
              <c:f>'61'!$O$1</c:f>
              <c:strCache>
                <c:ptCount val="1"/>
                <c:pt idx="0">
                  <c:v>Indice  Costo importación CIF (Aduanas)</c:v>
                </c:pt>
              </c:strCache>
            </c:strRef>
          </c:tx>
          <c:spPr>
            <a:ln w="28575" cap="rnd">
              <a:solidFill>
                <a:schemeClr val="accent1"/>
              </a:solidFill>
              <a:round/>
            </a:ln>
            <a:effectLst/>
          </c:spPr>
          <c:marker>
            <c:symbol val="none"/>
          </c:marker>
          <c:cat>
            <c:numRef>
              <c:f>'61'!$A$2:$A$79</c:f>
              <c:numCache>
                <c:formatCode>m/d/yyyy</c:formatCode>
                <c:ptCount val="7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numCache>
            </c:numRef>
          </c:cat>
          <c:val>
            <c:numRef>
              <c:f>'61'!$O$2:$O$79</c:f>
              <c:numCache>
                <c:formatCode>0.00</c:formatCode>
                <c:ptCount val="78"/>
                <c:pt idx="0" formatCode="General">
                  <c:v>100</c:v>
                </c:pt>
                <c:pt idx="1">
                  <c:v>92.727206501426906</c:v>
                </c:pt>
                <c:pt idx="2">
                  <c:v>97.266465124183966</c:v>
                </c:pt>
                <c:pt idx="3">
                  <c:v>92.187443984034871</c:v>
                </c:pt>
                <c:pt idx="4">
                  <c:v>92.790892363085234</c:v>
                </c:pt>
                <c:pt idx="5">
                  <c:v>97.027385976477348</c:v>
                </c:pt>
                <c:pt idx="6">
                  <c:v>99.128578691676609</c:v>
                </c:pt>
                <c:pt idx="7">
                  <c:v>99.284750212495325</c:v>
                </c:pt>
                <c:pt idx="8">
                  <c:v>117.02524627432133</c:v>
                </c:pt>
                <c:pt idx="9">
                  <c:v>103.82964878165541</c:v>
                </c:pt>
                <c:pt idx="10">
                  <c:v>102.60893739515757</c:v>
                </c:pt>
                <c:pt idx="11">
                  <c:v>106.33683071664667</c:v>
                </c:pt>
                <c:pt idx="12">
                  <c:v>102.35960302356295</c:v>
                </c:pt>
                <c:pt idx="13">
                  <c:v>98.32614685089068</c:v>
                </c:pt>
                <c:pt idx="14">
                  <c:v>97.874478331197821</c:v>
                </c:pt>
                <c:pt idx="15">
                  <c:v>97.942680959636533</c:v>
                </c:pt>
                <c:pt idx="16">
                  <c:v>103.02543592912869</c:v>
                </c:pt>
                <c:pt idx="17">
                  <c:v>103.24355516899215</c:v>
                </c:pt>
                <c:pt idx="18">
                  <c:v>102.2854128857379</c:v>
                </c:pt>
                <c:pt idx="19">
                  <c:v>102.39655389100109</c:v>
                </c:pt>
                <c:pt idx="20">
                  <c:v>101.55016303222904</c:v>
                </c:pt>
                <c:pt idx="21">
                  <c:v>107.57490751917425</c:v>
                </c:pt>
                <c:pt idx="22">
                  <c:v>119.05714676301284</c:v>
                </c:pt>
                <c:pt idx="23">
                  <c:v>115.64684092590514</c:v>
                </c:pt>
                <c:pt idx="24">
                  <c:v>117.68492767288677</c:v>
                </c:pt>
                <c:pt idx="25">
                  <c:v>121.78051691479719</c:v>
                </c:pt>
                <c:pt idx="26">
                  <c:v>130.22153705358124</c:v>
                </c:pt>
                <c:pt idx="27">
                  <c:v>130.00636289225284</c:v>
                </c:pt>
                <c:pt idx="28">
                  <c:v>125.88586832986917</c:v>
                </c:pt>
                <c:pt idx="29">
                  <c:v>125.9601656586325</c:v>
                </c:pt>
                <c:pt idx="30">
                  <c:v>131.56004648601211</c:v>
                </c:pt>
                <c:pt idx="31">
                  <c:v>134.55439599610321</c:v>
                </c:pt>
                <c:pt idx="32">
                  <c:v>132.70213861439109</c:v>
                </c:pt>
                <c:pt idx="33">
                  <c:v>149.19123748776013</c:v>
                </c:pt>
                <c:pt idx="34">
                  <c:v>157.31643738599007</c:v>
                </c:pt>
                <c:pt idx="35">
                  <c:v>120.36680511884921</c:v>
                </c:pt>
                <c:pt idx="36">
                  <c:v>118.93412262889538</c:v>
                </c:pt>
                <c:pt idx="37">
                  <c:v>129.16495900339544</c:v>
                </c:pt>
                <c:pt idx="38">
                  <c:v>131.00338279315935</c:v>
                </c:pt>
                <c:pt idx="39">
                  <c:v>132.24202918534391</c:v>
                </c:pt>
                <c:pt idx="40">
                  <c:v>122.90822503396272</c:v>
                </c:pt>
                <c:pt idx="41">
                  <c:v>143.10881773250418</c:v>
                </c:pt>
                <c:pt idx="42">
                  <c:v>138.81239854322553</c:v>
                </c:pt>
                <c:pt idx="43">
                  <c:v>147.37230228116925</c:v>
                </c:pt>
                <c:pt idx="44">
                  <c:v>144.6470897349254</c:v>
                </c:pt>
                <c:pt idx="45">
                  <c:v>144.42505863704702</c:v>
                </c:pt>
                <c:pt idx="46">
                  <c:v>157.79301684509758</c:v>
                </c:pt>
                <c:pt idx="47">
                  <c:v>157.18019524573151</c:v>
                </c:pt>
                <c:pt idx="48">
                  <c:v>143.87690949808567</c:v>
                </c:pt>
                <c:pt idx="49">
                  <c:v>138.22757196192839</c:v>
                </c:pt>
                <c:pt idx="50">
                  <c:v>136.7532414346432</c:v>
                </c:pt>
                <c:pt idx="51">
                  <c:v>140.48014232224889</c:v>
                </c:pt>
                <c:pt idx="52">
                  <c:v>150.40514429072135</c:v>
                </c:pt>
                <c:pt idx="53">
                  <c:v>151.78815273620754</c:v>
                </c:pt>
                <c:pt idx="54">
                  <c:v>172.71716525788952</c:v>
                </c:pt>
                <c:pt idx="55">
                  <c:v>160.2997738440491</c:v>
                </c:pt>
                <c:pt idx="56">
                  <c:v>163.97080472754854</c:v>
                </c:pt>
                <c:pt idx="57">
                  <c:v>167.09334421614676</c:v>
                </c:pt>
                <c:pt idx="58">
                  <c:v>163.6082598637027</c:v>
                </c:pt>
                <c:pt idx="59">
                  <c:v>163.58616117040771</c:v>
                </c:pt>
                <c:pt idx="60">
                  <c:v>150.61079631252875</c:v>
                </c:pt>
                <c:pt idx="61">
                  <c:v>153.95559146157825</c:v>
                </c:pt>
                <c:pt idx="62">
                  <c:v>149.16829635373907</c:v>
                </c:pt>
                <c:pt idx="63">
                  <c:v>149.28665022332558</c:v>
                </c:pt>
                <c:pt idx="64">
                  <c:v>151.82144946366276</c:v>
                </c:pt>
                <c:pt idx="65">
                  <c:v>152.51038687530848</c:v>
                </c:pt>
                <c:pt idx="66">
                  <c:v>160.62180855963487</c:v>
                </c:pt>
                <c:pt idx="67">
                  <c:v>175.48443780463762</c:v>
                </c:pt>
                <c:pt idx="68">
                  <c:v>180.3855452536863</c:v>
                </c:pt>
                <c:pt idx="69">
                  <c:v>200.22279018994567</c:v>
                </c:pt>
                <c:pt idx="70">
                  <c:v>198.55526642819711</c:v>
                </c:pt>
                <c:pt idx="71">
                  <c:v>187.83093001130575</c:v>
                </c:pt>
                <c:pt idx="72">
                  <c:v>194.46343731773894</c:v>
                </c:pt>
                <c:pt idx="73">
                  <c:v>219.4071405658313</c:v>
                </c:pt>
                <c:pt idx="74">
                  <c:v>227.13129422297447</c:v>
                </c:pt>
                <c:pt idx="75">
                  <c:v>229.19221305551062</c:v>
                </c:pt>
                <c:pt idx="76">
                  <c:v>223.80529620846204</c:v>
                </c:pt>
                <c:pt idx="77">
                  <c:v>233.35072703431058</c:v>
                </c:pt>
              </c:numCache>
            </c:numRef>
          </c:val>
          <c:smooth val="0"/>
          <c:extLst>
            <c:ext xmlns:c16="http://schemas.microsoft.com/office/drawing/2014/chart" uri="{C3380CC4-5D6E-409C-BE32-E72D297353CC}">
              <c16:uniqueId val="{00000000-1BE3-4631-8AF3-2CB7803F8B40}"/>
            </c:ext>
          </c:extLst>
        </c:ser>
        <c:ser>
          <c:idx val="1"/>
          <c:order val="1"/>
          <c:tx>
            <c:strRef>
              <c:f>'61'!$P$1</c:f>
              <c:strCache>
                <c:ptCount val="1"/>
                <c:pt idx="0">
                  <c:v>Indice Costo alternativo de importación CAI (Odepa)</c:v>
                </c:pt>
              </c:strCache>
            </c:strRef>
          </c:tx>
          <c:spPr>
            <a:ln w="28575" cap="rnd">
              <a:solidFill>
                <a:schemeClr val="accent2"/>
              </a:solidFill>
              <a:round/>
            </a:ln>
            <a:effectLst/>
          </c:spPr>
          <c:marker>
            <c:symbol val="none"/>
          </c:marker>
          <c:cat>
            <c:numRef>
              <c:f>'61'!$A$2:$A$79</c:f>
              <c:numCache>
                <c:formatCode>m/d/yyyy</c:formatCode>
                <c:ptCount val="7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numCache>
            </c:numRef>
          </c:cat>
          <c:val>
            <c:numRef>
              <c:f>'61'!$P$2:$P$79</c:f>
              <c:numCache>
                <c:formatCode>0.00</c:formatCode>
                <c:ptCount val="78"/>
                <c:pt idx="0" formatCode="General">
                  <c:v>100</c:v>
                </c:pt>
                <c:pt idx="1">
                  <c:v>98.175250735260704</c:v>
                </c:pt>
                <c:pt idx="2">
                  <c:v>98.297260169931434</c:v>
                </c:pt>
                <c:pt idx="3">
                  <c:v>96.047209714831482</c:v>
                </c:pt>
                <c:pt idx="4">
                  <c:v>99.188879729727176</c:v>
                </c:pt>
                <c:pt idx="5">
                  <c:v>100.8319201606144</c:v>
                </c:pt>
                <c:pt idx="6">
                  <c:v>103.88149344218694</c:v>
                </c:pt>
                <c:pt idx="7">
                  <c:v>103.44292259837661</c:v>
                </c:pt>
                <c:pt idx="8">
                  <c:v>107.44400912227354</c:v>
                </c:pt>
                <c:pt idx="9">
                  <c:v>107.45853383409008</c:v>
                </c:pt>
                <c:pt idx="10">
                  <c:v>106.32847981599515</c:v>
                </c:pt>
                <c:pt idx="11">
                  <c:v>105.59691849750345</c:v>
                </c:pt>
                <c:pt idx="12">
                  <c:v>101.85821994940873</c:v>
                </c:pt>
                <c:pt idx="13">
                  <c:v>98.243837035428172</c:v>
                </c:pt>
                <c:pt idx="14">
                  <c:v>99.659243744384966</c:v>
                </c:pt>
                <c:pt idx="15">
                  <c:v>100.22114602548496</c:v>
                </c:pt>
                <c:pt idx="16">
                  <c:v>103.66622734612912</c:v>
                </c:pt>
                <c:pt idx="17">
                  <c:v>103.05947020642068</c:v>
                </c:pt>
                <c:pt idx="18">
                  <c:v>101.72127266656732</c:v>
                </c:pt>
                <c:pt idx="19">
                  <c:v>104.15406757952279</c:v>
                </c:pt>
                <c:pt idx="20">
                  <c:v>104.28279048008888</c:v>
                </c:pt>
                <c:pt idx="21">
                  <c:v>107.3200774902807</c:v>
                </c:pt>
                <c:pt idx="22">
                  <c:v>117.67810849268074</c:v>
                </c:pt>
                <c:pt idx="23">
                  <c:v>121.04045981087694</c:v>
                </c:pt>
                <c:pt idx="24">
                  <c:v>121.83441451263931</c:v>
                </c:pt>
                <c:pt idx="25">
                  <c:v>125.90411127399285</c:v>
                </c:pt>
                <c:pt idx="26">
                  <c:v>131.59313452712632</c:v>
                </c:pt>
                <c:pt idx="27">
                  <c:v>136.78381381205776</c:v>
                </c:pt>
                <c:pt idx="28">
                  <c:v>136.63735944511828</c:v>
                </c:pt>
                <c:pt idx="29">
                  <c:v>133.91926398066389</c:v>
                </c:pt>
                <c:pt idx="30">
                  <c:v>136.705833086539</c:v>
                </c:pt>
                <c:pt idx="31">
                  <c:v>148.46141802686506</c:v>
                </c:pt>
                <c:pt idx="32">
                  <c:v>180.78786815585832</c:v>
                </c:pt>
                <c:pt idx="33">
                  <c:v>184.24502622936598</c:v>
                </c:pt>
                <c:pt idx="34">
                  <c:v>172.31584897569343</c:v>
                </c:pt>
                <c:pt idx="35">
                  <c:v>163.54278470793068</c:v>
                </c:pt>
                <c:pt idx="36">
                  <c:v>150.0481956346639</c:v>
                </c:pt>
                <c:pt idx="37">
                  <c:v>146.4807126288911</c:v>
                </c:pt>
                <c:pt idx="38">
                  <c:v>137.47417305030893</c:v>
                </c:pt>
                <c:pt idx="39">
                  <c:v>134.03379919302967</c:v>
                </c:pt>
                <c:pt idx="40">
                  <c:v>130.75805791398727</c:v>
                </c:pt>
                <c:pt idx="41">
                  <c:v>132.13710699179384</c:v>
                </c:pt>
                <c:pt idx="42">
                  <c:v>134.54693273926631</c:v>
                </c:pt>
                <c:pt idx="43">
                  <c:v>139.01022122118286</c:v>
                </c:pt>
                <c:pt idx="44">
                  <c:v>137.63853965655028</c:v>
                </c:pt>
                <c:pt idx="45">
                  <c:v>140.35587430276667</c:v>
                </c:pt>
                <c:pt idx="46">
                  <c:v>134.34769896497284</c:v>
                </c:pt>
                <c:pt idx="47">
                  <c:v>136.65678860508061</c:v>
                </c:pt>
                <c:pt idx="48">
                  <c:v>128.06015242773327</c:v>
                </c:pt>
                <c:pt idx="49">
                  <c:v>129.42517981404595</c:v>
                </c:pt>
                <c:pt idx="50">
                  <c:v>137.58429520250655</c:v>
                </c:pt>
                <c:pt idx="51">
                  <c:v>145.10084885500075</c:v>
                </c:pt>
                <c:pt idx="52">
                  <c:v>147.23624468465857</c:v>
                </c:pt>
                <c:pt idx="53">
                  <c:v>147.61501460691105</c:v>
                </c:pt>
                <c:pt idx="54">
                  <c:v>162.88741240897153</c:v>
                </c:pt>
                <c:pt idx="55">
                  <c:v>156.33739642542906</c:v>
                </c:pt>
                <c:pt idx="56">
                  <c:v>158.21527997850978</c:v>
                </c:pt>
                <c:pt idx="57">
                  <c:v>173.58619033731011</c:v>
                </c:pt>
                <c:pt idx="58">
                  <c:v>173.61499908639598</c:v>
                </c:pt>
                <c:pt idx="59">
                  <c:v>172.49171160029246</c:v>
                </c:pt>
                <c:pt idx="60">
                  <c:v>166.62347032380268</c:v>
                </c:pt>
                <c:pt idx="61">
                  <c:v>161.56853992231214</c:v>
                </c:pt>
                <c:pt idx="62">
                  <c:v>164.85992604523673</c:v>
                </c:pt>
                <c:pt idx="63">
                  <c:v>166.54123280424142</c:v>
                </c:pt>
                <c:pt idx="64">
                  <c:v>166.04612214803274</c:v>
                </c:pt>
                <c:pt idx="65">
                  <c:v>166.19035354105196</c:v>
                </c:pt>
                <c:pt idx="66">
                  <c:v>173.04377084831128</c:v>
                </c:pt>
                <c:pt idx="67">
                  <c:v>200.67531270267341</c:v>
                </c:pt>
                <c:pt idx="68">
                  <c:v>223.19863152788463</c:v>
                </c:pt>
                <c:pt idx="69">
                  <c:v>240.81768778456785</c:v>
                </c:pt>
                <c:pt idx="70">
                  <c:v>233.62082522745285</c:v>
                </c:pt>
                <c:pt idx="71">
                  <c:v>236.14817627814006</c:v>
                </c:pt>
                <c:pt idx="72">
                  <c:v>249.2300147080135</c:v>
                </c:pt>
                <c:pt idx="73">
                  <c:v>247.0034141943926</c:v>
                </c:pt>
                <c:pt idx="74">
                  <c:v>237.51607354756879</c:v>
                </c:pt>
                <c:pt idx="75">
                  <c:v>238.96163658006486</c:v>
                </c:pt>
                <c:pt idx="76">
                  <c:v>244.9254597690684</c:v>
                </c:pt>
                <c:pt idx="77">
                  <c:v>251.85766980275886</c:v>
                </c:pt>
              </c:numCache>
            </c:numRef>
          </c:val>
          <c:smooth val="0"/>
          <c:extLst>
            <c:ext xmlns:c16="http://schemas.microsoft.com/office/drawing/2014/chart" uri="{C3380CC4-5D6E-409C-BE32-E72D297353CC}">
              <c16:uniqueId val="{00000001-1BE3-4631-8AF3-2CB7803F8B40}"/>
            </c:ext>
          </c:extLst>
        </c:ser>
        <c:ser>
          <c:idx val="2"/>
          <c:order val="2"/>
          <c:tx>
            <c:strRef>
              <c:f>'61'!$Q$1</c:f>
              <c:strCache>
                <c:ptCount val="1"/>
                <c:pt idx="0">
                  <c:v>Indice Precio promedio arroz grano ancho grado 2 en RM</c:v>
                </c:pt>
              </c:strCache>
            </c:strRef>
          </c:tx>
          <c:spPr>
            <a:ln w="28575" cap="rnd">
              <a:solidFill>
                <a:schemeClr val="accent3"/>
              </a:solidFill>
              <a:round/>
            </a:ln>
            <a:effectLst/>
          </c:spPr>
          <c:marker>
            <c:symbol val="none"/>
          </c:marker>
          <c:cat>
            <c:numRef>
              <c:f>'61'!$A$2:$A$79</c:f>
              <c:numCache>
                <c:formatCode>m/d/yyyy</c:formatCode>
                <c:ptCount val="7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numCache>
            </c:numRef>
          </c:cat>
          <c:val>
            <c:numRef>
              <c:f>'61'!$Q$2:$Q$79</c:f>
              <c:numCache>
                <c:formatCode>0.00</c:formatCode>
                <c:ptCount val="78"/>
                <c:pt idx="0" formatCode="General">
                  <c:v>100</c:v>
                </c:pt>
                <c:pt idx="1">
                  <c:v>98.418604651162795</c:v>
                </c:pt>
                <c:pt idx="2">
                  <c:v>98.139534883720927</c:v>
                </c:pt>
                <c:pt idx="3">
                  <c:v>96.651162790697668</c:v>
                </c:pt>
                <c:pt idx="4">
                  <c:v>97.023255813953497</c:v>
                </c:pt>
                <c:pt idx="5">
                  <c:v>95.906976744186039</c:v>
                </c:pt>
                <c:pt idx="6">
                  <c:v>98.232558139534888</c:v>
                </c:pt>
                <c:pt idx="7">
                  <c:v>98.511627906976742</c:v>
                </c:pt>
                <c:pt idx="8">
                  <c:v>95.069767441860463</c:v>
                </c:pt>
                <c:pt idx="9">
                  <c:v>96.186046511627907</c:v>
                </c:pt>
                <c:pt idx="10">
                  <c:v>97.488372093023258</c:v>
                </c:pt>
                <c:pt idx="11">
                  <c:v>95.255813953488371</c:v>
                </c:pt>
                <c:pt idx="12">
                  <c:v>95.813953488372093</c:v>
                </c:pt>
                <c:pt idx="13">
                  <c:v>96.651162790697668</c:v>
                </c:pt>
                <c:pt idx="14">
                  <c:v>95.720930232558146</c:v>
                </c:pt>
                <c:pt idx="15">
                  <c:v>93.023255813953483</c:v>
                </c:pt>
                <c:pt idx="16">
                  <c:v>93.302325581395351</c:v>
                </c:pt>
                <c:pt idx="17">
                  <c:v>92.744186046511629</c:v>
                </c:pt>
                <c:pt idx="18">
                  <c:v>94.883720930232556</c:v>
                </c:pt>
                <c:pt idx="19">
                  <c:v>94.790697674418595</c:v>
                </c:pt>
                <c:pt idx="20">
                  <c:v>96.372093023255815</c:v>
                </c:pt>
                <c:pt idx="21">
                  <c:v>94.511627906976742</c:v>
                </c:pt>
                <c:pt idx="22">
                  <c:v>94.697674418604649</c:v>
                </c:pt>
                <c:pt idx="23">
                  <c:v>94.139534883720927</c:v>
                </c:pt>
                <c:pt idx="24">
                  <c:v>94.883720930232556</c:v>
                </c:pt>
                <c:pt idx="25">
                  <c:v>95.534883720930225</c:v>
                </c:pt>
                <c:pt idx="26">
                  <c:v>97.302325581395337</c:v>
                </c:pt>
                <c:pt idx="27">
                  <c:v>98.232558139534888</c:v>
                </c:pt>
                <c:pt idx="28">
                  <c:v>101.48837209302326</c:v>
                </c:pt>
                <c:pt idx="29">
                  <c:v>99.720930232558132</c:v>
                </c:pt>
                <c:pt idx="30">
                  <c:v>97.674418604651152</c:v>
                </c:pt>
                <c:pt idx="31">
                  <c:v>96.837209302325576</c:v>
                </c:pt>
                <c:pt idx="32">
                  <c:v>98.139534883720927</c:v>
                </c:pt>
                <c:pt idx="33">
                  <c:v>107.72093023255813</c:v>
                </c:pt>
                <c:pt idx="34">
                  <c:v>99.441860465116278</c:v>
                </c:pt>
                <c:pt idx="35">
                  <c:v>98.883720930232556</c:v>
                </c:pt>
                <c:pt idx="36">
                  <c:v>98.79069767441861</c:v>
                </c:pt>
                <c:pt idx="37">
                  <c:v>99.720930232558132</c:v>
                </c:pt>
                <c:pt idx="38">
                  <c:v>99.534883720930239</c:v>
                </c:pt>
                <c:pt idx="39">
                  <c:v>101.20930232558139</c:v>
                </c:pt>
                <c:pt idx="40">
                  <c:v>100.55813953488372</c:v>
                </c:pt>
                <c:pt idx="41">
                  <c:v>98.325581395348834</c:v>
                </c:pt>
                <c:pt idx="42">
                  <c:v>100.65116279069768</c:v>
                </c:pt>
                <c:pt idx="43">
                  <c:v>103.06976744186048</c:v>
                </c:pt>
                <c:pt idx="44">
                  <c:v>105.11627906976744</c:v>
                </c:pt>
                <c:pt idx="45">
                  <c:v>105.95348837209302</c:v>
                </c:pt>
                <c:pt idx="46">
                  <c:v>107.72093023255813</c:v>
                </c:pt>
                <c:pt idx="47">
                  <c:v>110.13953488372093</c:v>
                </c:pt>
                <c:pt idx="48">
                  <c:v>111.16279069767442</c:v>
                </c:pt>
                <c:pt idx="49">
                  <c:v>107.72093023255813</c:v>
                </c:pt>
                <c:pt idx="50">
                  <c:v>113.86046511627907</c:v>
                </c:pt>
                <c:pt idx="51">
                  <c:v>124.74418604651163</c:v>
                </c:pt>
                <c:pt idx="52">
                  <c:v>125.86046511627906</c:v>
                </c:pt>
                <c:pt idx="53">
                  <c:v>126.51162790697674</c:v>
                </c:pt>
                <c:pt idx="54">
                  <c:v>129.58139534883722</c:v>
                </c:pt>
                <c:pt idx="55">
                  <c:v>133.11627906976744</c:v>
                </c:pt>
                <c:pt idx="56">
                  <c:v>134.7906976744186</c:v>
                </c:pt>
                <c:pt idx="57">
                  <c:v>136.46511627906978</c:v>
                </c:pt>
                <c:pt idx="58">
                  <c:v>139.16279069767441</c:v>
                </c:pt>
                <c:pt idx="59">
                  <c:v>142.03739534883721</c:v>
                </c:pt>
                <c:pt idx="60">
                  <c:v>143.19004651162788</c:v>
                </c:pt>
                <c:pt idx="61">
                  <c:v>142.6013953488372</c:v>
                </c:pt>
                <c:pt idx="62">
                  <c:v>141.19962790697673</c:v>
                </c:pt>
                <c:pt idx="63">
                  <c:v>140.27906976744185</c:v>
                </c:pt>
                <c:pt idx="64">
                  <c:v>140.46511627906978</c:v>
                </c:pt>
                <c:pt idx="65">
                  <c:v>142.53386046511628</c:v>
                </c:pt>
                <c:pt idx="66">
                  <c:v>150.13953488372096</c:v>
                </c:pt>
                <c:pt idx="67">
                  <c:v>149.39916279069769</c:v>
                </c:pt>
                <c:pt idx="68">
                  <c:v>150.6046511627907</c:v>
                </c:pt>
                <c:pt idx="69">
                  <c:v>158.11172093023256</c:v>
                </c:pt>
                <c:pt idx="70">
                  <c:v>163.66288372093024</c:v>
                </c:pt>
                <c:pt idx="71">
                  <c:v>161.90558139534883</c:v>
                </c:pt>
                <c:pt idx="72">
                  <c:v>162.50716279069769</c:v>
                </c:pt>
                <c:pt idx="73">
                  <c:v>161.09311627906976</c:v>
                </c:pt>
                <c:pt idx="74">
                  <c:v>168.35897674418601</c:v>
                </c:pt>
                <c:pt idx="75">
                  <c:v>177.51358139534884</c:v>
                </c:pt>
                <c:pt idx="76">
                  <c:v>186.13953488372093</c:v>
                </c:pt>
                <c:pt idx="77">
                  <c:v>193.58139534883719</c:v>
                </c:pt>
              </c:numCache>
            </c:numRef>
          </c:val>
          <c:smooth val="0"/>
          <c:extLst>
            <c:ext xmlns:c16="http://schemas.microsoft.com/office/drawing/2014/chart" uri="{C3380CC4-5D6E-409C-BE32-E72D297353CC}">
              <c16:uniqueId val="{00000002-1BE3-4631-8AF3-2CB7803F8B40}"/>
            </c:ext>
          </c:extLst>
        </c:ser>
        <c:ser>
          <c:idx val="3"/>
          <c:order val="3"/>
          <c:tx>
            <c:strRef>
              <c:f>'61'!$R$1</c:f>
              <c:strCache>
                <c:ptCount val="1"/>
                <c:pt idx="0">
                  <c:v>Indice Precio promedio arroz grano delgado grano 2 en RM</c:v>
                </c:pt>
              </c:strCache>
            </c:strRef>
          </c:tx>
          <c:spPr>
            <a:ln w="28575" cap="rnd">
              <a:solidFill>
                <a:schemeClr val="accent4"/>
              </a:solidFill>
              <a:round/>
            </a:ln>
            <a:effectLst/>
          </c:spPr>
          <c:marker>
            <c:symbol val="none"/>
          </c:marker>
          <c:cat>
            <c:numRef>
              <c:f>'61'!$A$2:$A$79</c:f>
              <c:numCache>
                <c:formatCode>m/d/yyyy</c:formatCode>
                <c:ptCount val="7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numCache>
            </c:numRef>
          </c:cat>
          <c:val>
            <c:numRef>
              <c:f>'61'!$R$2:$R$79</c:f>
              <c:numCache>
                <c:formatCode>0.00</c:formatCode>
                <c:ptCount val="78"/>
                <c:pt idx="0" formatCode="General">
                  <c:v>100</c:v>
                </c:pt>
                <c:pt idx="1">
                  <c:v>99.174528301886795</c:v>
                </c:pt>
                <c:pt idx="2">
                  <c:v>102.47641509433963</c:v>
                </c:pt>
                <c:pt idx="3">
                  <c:v>101.06132075471699</c:v>
                </c:pt>
                <c:pt idx="4">
                  <c:v>100.8254716981132</c:v>
                </c:pt>
                <c:pt idx="5">
                  <c:v>101.17924528301887</c:v>
                </c:pt>
                <c:pt idx="6">
                  <c:v>100.11792452830188</c:v>
                </c:pt>
                <c:pt idx="7">
                  <c:v>100.11792452830188</c:v>
                </c:pt>
                <c:pt idx="8">
                  <c:v>100.8254716981132</c:v>
                </c:pt>
                <c:pt idx="9">
                  <c:v>98.820754716981128</c:v>
                </c:pt>
                <c:pt idx="10">
                  <c:v>100</c:v>
                </c:pt>
                <c:pt idx="11">
                  <c:v>101.41509433962264</c:v>
                </c:pt>
                <c:pt idx="12">
                  <c:v>102.59433962264151</c:v>
                </c:pt>
                <c:pt idx="13">
                  <c:v>100.47169811320755</c:v>
                </c:pt>
                <c:pt idx="14">
                  <c:v>101.41509433962264</c:v>
                </c:pt>
                <c:pt idx="15">
                  <c:v>100.47169811320755</c:v>
                </c:pt>
                <c:pt idx="16">
                  <c:v>100.47169811320755</c:v>
                </c:pt>
                <c:pt idx="17">
                  <c:v>100.70754716981132</c:v>
                </c:pt>
                <c:pt idx="18">
                  <c:v>101.17924528301887</c:v>
                </c:pt>
                <c:pt idx="19">
                  <c:v>100.23584905660377</c:v>
                </c:pt>
                <c:pt idx="20">
                  <c:v>101.41509433962264</c:v>
                </c:pt>
                <c:pt idx="21">
                  <c:v>99.528301886792448</c:v>
                </c:pt>
                <c:pt idx="22">
                  <c:v>101.41509433962264</c:v>
                </c:pt>
                <c:pt idx="23">
                  <c:v>104.59905660377358</c:v>
                </c:pt>
                <c:pt idx="24">
                  <c:v>105.07075471698113</c:v>
                </c:pt>
                <c:pt idx="25">
                  <c:v>104.48113207547169</c:v>
                </c:pt>
                <c:pt idx="26">
                  <c:v>107.54716981132076</c:v>
                </c:pt>
                <c:pt idx="27">
                  <c:v>107.66509433962264</c:v>
                </c:pt>
                <c:pt idx="28">
                  <c:v>109.31603773584905</c:v>
                </c:pt>
                <c:pt idx="29">
                  <c:v>107.78301886792451</c:v>
                </c:pt>
                <c:pt idx="30">
                  <c:v>106.83962264150944</c:v>
                </c:pt>
                <c:pt idx="31">
                  <c:v>105.54245283018868</c:v>
                </c:pt>
                <c:pt idx="32">
                  <c:v>106.13207547169812</c:v>
                </c:pt>
                <c:pt idx="33">
                  <c:v>107.31132075471699</c:v>
                </c:pt>
                <c:pt idx="34">
                  <c:v>105.89622641509433</c:v>
                </c:pt>
                <c:pt idx="35">
                  <c:v>105.66037735849056</c:v>
                </c:pt>
                <c:pt idx="36">
                  <c:v>106.25</c:v>
                </c:pt>
                <c:pt idx="37">
                  <c:v>106.13207547169812</c:v>
                </c:pt>
                <c:pt idx="38">
                  <c:v>107.42924528301887</c:v>
                </c:pt>
                <c:pt idx="39">
                  <c:v>108.49056603773586</c:v>
                </c:pt>
                <c:pt idx="40">
                  <c:v>108.25471698113208</c:v>
                </c:pt>
                <c:pt idx="41">
                  <c:v>107.42924528301887</c:v>
                </c:pt>
                <c:pt idx="42">
                  <c:v>108.01886792452831</c:v>
                </c:pt>
                <c:pt idx="43">
                  <c:v>107.42924528301887</c:v>
                </c:pt>
                <c:pt idx="44">
                  <c:v>107.66509433962264</c:v>
                </c:pt>
                <c:pt idx="45">
                  <c:v>108.01886792452831</c:v>
                </c:pt>
                <c:pt idx="46">
                  <c:v>108.72641509433963</c:v>
                </c:pt>
                <c:pt idx="47">
                  <c:v>109.55188679245282</c:v>
                </c:pt>
                <c:pt idx="48">
                  <c:v>106.25</c:v>
                </c:pt>
                <c:pt idx="49">
                  <c:v>108.72641509433963</c:v>
                </c:pt>
                <c:pt idx="50">
                  <c:v>112.14622641509433</c:v>
                </c:pt>
                <c:pt idx="51">
                  <c:v>112.14622641509433</c:v>
                </c:pt>
                <c:pt idx="52">
                  <c:v>116.98113207547169</c:v>
                </c:pt>
                <c:pt idx="53">
                  <c:v>120.28301886792451</c:v>
                </c:pt>
                <c:pt idx="54">
                  <c:v>117.9245283018868</c:v>
                </c:pt>
                <c:pt idx="55">
                  <c:v>124.88207547169812</c:v>
                </c:pt>
                <c:pt idx="56">
                  <c:v>127.00471698113208</c:v>
                </c:pt>
                <c:pt idx="57">
                  <c:v>132.0754716981132</c:v>
                </c:pt>
                <c:pt idx="58">
                  <c:v>138.4433962264151</c:v>
                </c:pt>
                <c:pt idx="59">
                  <c:v>146.33242924528301</c:v>
                </c:pt>
                <c:pt idx="60">
                  <c:v>148.65247641509436</c:v>
                </c:pt>
                <c:pt idx="61">
                  <c:v>147.78360849056602</c:v>
                </c:pt>
                <c:pt idx="62">
                  <c:v>145.37948113207545</c:v>
                </c:pt>
                <c:pt idx="63">
                  <c:v>143.8679245283019</c:v>
                </c:pt>
                <c:pt idx="64">
                  <c:v>146.10849056603774</c:v>
                </c:pt>
                <c:pt idx="65">
                  <c:v>148.29504716981131</c:v>
                </c:pt>
                <c:pt idx="66">
                  <c:v>143.51415094339623</c:v>
                </c:pt>
                <c:pt idx="67">
                  <c:v>146.59457547169814</c:v>
                </c:pt>
                <c:pt idx="68">
                  <c:v>150.47169811320754</c:v>
                </c:pt>
                <c:pt idx="69">
                  <c:v>159.9494103773585</c:v>
                </c:pt>
                <c:pt idx="70">
                  <c:v>160.2561320754717</c:v>
                </c:pt>
                <c:pt idx="71">
                  <c:v>158.80212264150944</c:v>
                </c:pt>
                <c:pt idx="72">
                  <c:v>158.34740566037738</c:v>
                </c:pt>
                <c:pt idx="73">
                  <c:v>160.61639150943398</c:v>
                </c:pt>
                <c:pt idx="74">
                  <c:v>170.87676886792454</c:v>
                </c:pt>
                <c:pt idx="75">
                  <c:v>176.50507075471697</c:v>
                </c:pt>
                <c:pt idx="76">
                  <c:v>189.38679245283021</c:v>
                </c:pt>
                <c:pt idx="77">
                  <c:v>196.69811320754718</c:v>
                </c:pt>
              </c:numCache>
            </c:numRef>
          </c:val>
          <c:smooth val="0"/>
          <c:extLst>
            <c:ext xmlns:c16="http://schemas.microsoft.com/office/drawing/2014/chart" uri="{C3380CC4-5D6E-409C-BE32-E72D297353CC}">
              <c16:uniqueId val="{00000003-1BE3-4631-8AF3-2CB7803F8B40}"/>
            </c:ext>
          </c:extLst>
        </c:ser>
        <c:dLbls>
          <c:showLegendKey val="0"/>
          <c:showVal val="0"/>
          <c:showCatName val="0"/>
          <c:showSerName val="0"/>
          <c:showPercent val="0"/>
          <c:showBubbleSize val="0"/>
        </c:dLbls>
        <c:smooth val="0"/>
        <c:axId val="1865813151"/>
        <c:axId val="1802194095"/>
      </c:lineChart>
      <c:dateAx>
        <c:axId val="1865813151"/>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802194095"/>
        <c:crosses val="autoZero"/>
        <c:auto val="1"/>
        <c:lblOffset val="100"/>
        <c:baseTimeUnit val="months"/>
      </c:dateAx>
      <c:valAx>
        <c:axId val="1802194095"/>
        <c:scaling>
          <c:orientation val="minMax"/>
          <c:max val="2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000"/>
                  <a:t>Indice de precios de arroz base enero 2018 = 100</a:t>
                </a:r>
              </a:p>
            </c:rich>
          </c:tx>
          <c:layout>
            <c:manualLayout>
              <c:xMode val="edge"/>
              <c:yMode val="edge"/>
              <c:x val="4.0391289074535805E-2"/>
              <c:y val="0.2463889071833337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865813151"/>
        <c:crosses val="autoZero"/>
        <c:crossBetween val="between"/>
      </c:valAx>
      <c:spPr>
        <a:noFill/>
        <a:ln>
          <a:noFill/>
        </a:ln>
        <a:effectLst/>
      </c:spPr>
    </c:plotArea>
    <c:legend>
      <c:legendPos val="r"/>
      <c:layout>
        <c:manualLayout>
          <c:xMode val="edge"/>
          <c:yMode val="edge"/>
          <c:x val="3.4419811249901705E-2"/>
          <c:y val="0.87980070062496896"/>
          <c:w val="0.86834909525198234"/>
          <c:h val="6.34222590939840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L"/>
    </a:p>
  </c:txPr>
  <c:printSettings>
    <c:headerFooter/>
    <c:pageMargins b="0.74803149606299213" l="0.70866141732283472" r="0.70866141732283472" t="0.74803149606299213" header="0.31496062992125984" footer="0.31496062992125984"/>
    <c:pageSetup paperSize="126"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2019 - 2024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2019</c:v>
                </c:pt>
              </c:strCache>
            </c:strRef>
          </c:tx>
          <c:invertIfNegative val="0"/>
          <c:val>
            <c:numRef>
              <c:f>'12'!$C$7:$C$18</c:f>
              <c:numCache>
                <c:formatCode>#,##0</c:formatCode>
                <c:ptCount val="12"/>
                <c:pt idx="0">
                  <c:v>110928.26</c:v>
                </c:pt>
                <c:pt idx="1">
                  <c:v>130574.61</c:v>
                </c:pt>
                <c:pt idx="2">
                  <c:v>58957.94</c:v>
                </c:pt>
                <c:pt idx="3">
                  <c:v>117091.58500000001</c:v>
                </c:pt>
                <c:pt idx="4">
                  <c:v>90954.182000000001</c:v>
                </c:pt>
                <c:pt idx="5">
                  <c:v>47586.582000000002</c:v>
                </c:pt>
                <c:pt idx="6">
                  <c:v>112338.01</c:v>
                </c:pt>
                <c:pt idx="7">
                  <c:v>92228.86</c:v>
                </c:pt>
                <c:pt idx="8">
                  <c:v>139531.95000000001</c:v>
                </c:pt>
                <c:pt idx="9">
                  <c:v>45828.93</c:v>
                </c:pt>
                <c:pt idx="10">
                  <c:v>84061.69</c:v>
                </c:pt>
                <c:pt idx="11">
                  <c:v>85715.07</c:v>
                </c:pt>
              </c:numCache>
            </c:numRef>
          </c:val>
          <c:extLst>
            <c:ext xmlns:c16="http://schemas.microsoft.com/office/drawing/2014/chart" uri="{C3380CC4-5D6E-409C-BE32-E72D297353CC}">
              <c16:uniqueId val="{00000001-00F9-4C08-8774-7E1232E762A3}"/>
            </c:ext>
          </c:extLst>
        </c:ser>
        <c:ser>
          <c:idx val="0"/>
          <c:order val="1"/>
          <c:tx>
            <c:strRef>
              <c:f>'12'!$D$6</c:f>
              <c:strCache>
                <c:ptCount val="1"/>
                <c:pt idx="0">
                  <c:v>2020</c:v>
                </c:pt>
              </c:strCache>
            </c:strRef>
          </c:tx>
          <c:invertIfNegative val="0"/>
          <c:val>
            <c:numRef>
              <c:f>'12'!$D$7:$D$18</c:f>
              <c:numCache>
                <c:formatCode>#,##0</c:formatCode>
                <c:ptCount val="12"/>
                <c:pt idx="0">
                  <c:v>96514.718999999997</c:v>
                </c:pt>
                <c:pt idx="1">
                  <c:v>69539.14</c:v>
                </c:pt>
                <c:pt idx="2">
                  <c:v>119307.88800000001</c:v>
                </c:pt>
                <c:pt idx="3">
                  <c:v>124223.18</c:v>
                </c:pt>
                <c:pt idx="4">
                  <c:v>62552.36</c:v>
                </c:pt>
                <c:pt idx="5">
                  <c:v>13641.522000000001</c:v>
                </c:pt>
                <c:pt idx="6">
                  <c:v>123117.16</c:v>
                </c:pt>
                <c:pt idx="7">
                  <c:v>92572.023770000014</c:v>
                </c:pt>
                <c:pt idx="8">
                  <c:v>98529.35</c:v>
                </c:pt>
                <c:pt idx="9">
                  <c:v>155516.505</c:v>
                </c:pt>
                <c:pt idx="10">
                  <c:v>85724.653000000006</c:v>
                </c:pt>
                <c:pt idx="11">
                  <c:v>95680.2693</c:v>
                </c:pt>
              </c:numCache>
            </c:numRef>
          </c:val>
          <c:extLst>
            <c:ext xmlns:c16="http://schemas.microsoft.com/office/drawing/2014/chart" uri="{C3380CC4-5D6E-409C-BE32-E72D297353CC}">
              <c16:uniqueId val="{00000003-BF06-4A3D-95C4-F679E17186F0}"/>
            </c:ext>
          </c:extLst>
        </c:ser>
        <c:ser>
          <c:idx val="2"/>
          <c:order val="2"/>
          <c:tx>
            <c:strRef>
              <c:f>'12'!$E$6</c:f>
              <c:strCache>
                <c:ptCount val="1"/>
                <c:pt idx="0">
                  <c:v>2021</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'12'!$E$7:$E$18</c:f>
              <c:numCache>
                <c:formatCode>#,##0</c:formatCode>
                <c:ptCount val="12"/>
                <c:pt idx="0">
                  <c:v>63398.959000000003</c:v>
                </c:pt>
                <c:pt idx="1">
                  <c:v>79487.328999999998</c:v>
                </c:pt>
                <c:pt idx="2">
                  <c:v>53003.621999999996</c:v>
                </c:pt>
                <c:pt idx="3">
                  <c:v>94189.157999999996</c:v>
                </c:pt>
                <c:pt idx="4">
                  <c:v>82688.937090000007</c:v>
                </c:pt>
                <c:pt idx="5">
                  <c:v>45958.144</c:v>
                </c:pt>
                <c:pt idx="6">
                  <c:v>99473.799999999988</c:v>
                </c:pt>
                <c:pt idx="7">
                  <c:v>113069.762</c:v>
                </c:pt>
                <c:pt idx="8">
                  <c:v>52095.76</c:v>
                </c:pt>
                <c:pt idx="9">
                  <c:v>46526.400000000001</c:v>
                </c:pt>
                <c:pt idx="10">
                  <c:v>93586.786000000007</c:v>
                </c:pt>
                <c:pt idx="11">
                  <c:v>118216.40100000001</c:v>
                </c:pt>
              </c:numCache>
            </c:numRef>
          </c:val>
          <c:extLst>
            <c:ext xmlns:c16="http://schemas.microsoft.com/office/drawing/2014/chart" uri="{C3380CC4-5D6E-409C-BE32-E72D297353CC}">
              <c16:uniqueId val="{00000001-BF06-4A3D-95C4-F679E17186F0}"/>
            </c:ext>
          </c:extLst>
        </c:ser>
        <c:ser>
          <c:idx val="3"/>
          <c:order val="3"/>
          <c:tx>
            <c:strRef>
              <c:f>'12'!$F$6</c:f>
              <c:strCache>
                <c:ptCount val="1"/>
                <c:pt idx="0">
                  <c:v>2022</c:v>
                </c:pt>
              </c:strCache>
            </c:strRef>
          </c:tx>
          <c:invertIfNegative val="0"/>
          <c:val>
            <c:numRef>
              <c:f>'12'!$F$7:$F$18</c:f>
              <c:numCache>
                <c:formatCode>#,##0</c:formatCode>
                <c:ptCount val="12"/>
                <c:pt idx="0">
                  <c:v>90745.256999999998</c:v>
                </c:pt>
                <c:pt idx="1">
                  <c:v>88361.55</c:v>
                </c:pt>
                <c:pt idx="2">
                  <c:v>71525.05</c:v>
                </c:pt>
                <c:pt idx="3">
                  <c:v>121250.43000000001</c:v>
                </c:pt>
                <c:pt idx="4">
                  <c:v>98007.858000000007</c:v>
                </c:pt>
                <c:pt idx="5">
                  <c:v>87959.180000000008</c:v>
                </c:pt>
                <c:pt idx="6">
                  <c:v>56062.34</c:v>
                </c:pt>
                <c:pt idx="7">
                  <c:v>78071.794999999998</c:v>
                </c:pt>
                <c:pt idx="8">
                  <c:v>69234.141000000003</c:v>
                </c:pt>
                <c:pt idx="9">
                  <c:v>181332.08900000001</c:v>
                </c:pt>
                <c:pt idx="10">
                  <c:v>79791.274000000005</c:v>
                </c:pt>
                <c:pt idx="11">
                  <c:v>87171.992000000013</c:v>
                </c:pt>
              </c:numCache>
            </c:numRef>
          </c:val>
          <c:extLst>
            <c:ext xmlns:c16="http://schemas.microsoft.com/office/drawing/2014/chart" uri="{C3380CC4-5D6E-409C-BE32-E72D297353CC}">
              <c16:uniqueId val="{00000001-B6D2-4F9E-9E06-31D915567960}"/>
            </c:ext>
          </c:extLst>
        </c:ser>
        <c:ser>
          <c:idx val="4"/>
          <c:order val="4"/>
          <c:tx>
            <c:strRef>
              <c:f>'12'!$G$6</c:f>
              <c:strCache>
                <c:ptCount val="1"/>
                <c:pt idx="0">
                  <c:v>2023</c:v>
                </c:pt>
              </c:strCache>
            </c:strRef>
          </c:tx>
          <c:invertIfNegative val="0"/>
          <c:val>
            <c:numRef>
              <c:f>'12'!$G$7:$G$18</c:f>
              <c:numCache>
                <c:formatCode>#,##0</c:formatCode>
                <c:ptCount val="12"/>
                <c:pt idx="0">
                  <c:v>92542.146000000008</c:v>
                </c:pt>
                <c:pt idx="1">
                  <c:v>84550.341</c:v>
                </c:pt>
                <c:pt idx="2">
                  <c:v>101274.17600000001</c:v>
                </c:pt>
                <c:pt idx="3">
                  <c:v>93983.53</c:v>
                </c:pt>
                <c:pt idx="4">
                  <c:v>59520.112000000001</c:v>
                </c:pt>
                <c:pt idx="5">
                  <c:v>72944.664000000004</c:v>
                </c:pt>
                <c:pt idx="6">
                  <c:v>69569.365999999995</c:v>
                </c:pt>
                <c:pt idx="7">
                  <c:v>60886.01</c:v>
                </c:pt>
                <c:pt idx="8">
                  <c:v>115171.121</c:v>
                </c:pt>
                <c:pt idx="9">
                  <c:v>100248.31200000001</c:v>
                </c:pt>
                <c:pt idx="10">
                  <c:v>59033.91</c:v>
                </c:pt>
                <c:pt idx="11">
                  <c:v>33840.864999999998</c:v>
                </c:pt>
              </c:numCache>
            </c:numRef>
          </c:val>
          <c:extLst>
            <c:ext xmlns:c16="http://schemas.microsoft.com/office/drawing/2014/chart" uri="{C3380CC4-5D6E-409C-BE32-E72D297353CC}">
              <c16:uniqueId val="{00000000-28D4-42D0-BFFD-C939450C9FA6}"/>
            </c:ext>
          </c:extLst>
        </c:ser>
        <c:ser>
          <c:idx val="5"/>
          <c:order val="5"/>
          <c:tx>
            <c:strRef>
              <c:f>'12'!$H$6</c:f>
              <c:strCache>
                <c:ptCount val="1"/>
                <c:pt idx="0">
                  <c:v>2024</c:v>
                </c:pt>
              </c:strCache>
            </c:strRef>
          </c:tx>
          <c:invertIfNegative val="0"/>
          <c:val>
            <c:numRef>
              <c:f>'12'!$H$7:$H$18</c:f>
              <c:numCache>
                <c:formatCode>#,##0</c:formatCode>
                <c:ptCount val="12"/>
                <c:pt idx="0">
                  <c:v>132048.49</c:v>
                </c:pt>
                <c:pt idx="1">
                  <c:v>48559.38</c:v>
                </c:pt>
                <c:pt idx="2">
                  <c:v>65310.86234</c:v>
                </c:pt>
                <c:pt idx="3">
                  <c:v>67970.542000000001</c:v>
                </c:pt>
                <c:pt idx="4">
                  <c:v>60540.59</c:v>
                </c:pt>
                <c:pt idx="5">
                  <c:v>70458.044249999992</c:v>
                </c:pt>
                <c:pt idx="6">
                  <c:v>82577.779500000004</c:v>
                </c:pt>
                <c:pt idx="8">
                  <c:v>0</c:v>
                </c:pt>
              </c:numCache>
            </c:numRef>
          </c:val>
          <c:extLst>
            <c:ext xmlns:c16="http://schemas.microsoft.com/office/drawing/2014/chart" uri="{C3380CC4-5D6E-409C-BE32-E72D297353CC}">
              <c16:uniqueId val="{00000000-2658-469F-AC46-B27076497E90}"/>
            </c:ext>
          </c:extLst>
        </c:ser>
        <c:dLbls>
          <c:showLegendKey val="0"/>
          <c:showVal val="0"/>
          <c:showCatName val="0"/>
          <c:showSerName val="0"/>
          <c:showPercent val="0"/>
          <c:showBubbleSize val="0"/>
        </c:dLbls>
        <c:gapWidth val="150"/>
        <c:axId val="242664448"/>
        <c:axId val="984106112"/>
      </c:barChart>
      <c:catAx>
        <c:axId val="24266444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6112"/>
        <c:crosses val="autoZero"/>
        <c:auto val="1"/>
        <c:lblAlgn val="ctr"/>
        <c:lblOffset val="100"/>
        <c:tickLblSkip val="1"/>
        <c:tickMarkSkip val="1"/>
        <c:noMultiLvlLbl val="0"/>
      </c:catAx>
      <c:valAx>
        <c:axId val="984106112"/>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2664448"/>
        <c:crosses val="autoZero"/>
        <c:crossBetween val="between"/>
      </c:valAx>
      <c:spPr>
        <a:noFill/>
        <a:ln w="25400">
          <a:noFill/>
        </a:ln>
      </c:spPr>
    </c:plotArea>
    <c:legend>
      <c:legendPos val="r"/>
      <c:layout>
        <c:manualLayout>
          <c:xMode val="edge"/>
          <c:yMode val="edge"/>
          <c:x val="9.7921989968645387E-2"/>
          <c:y val="0.8610287337223852"/>
          <c:w val="0.85637375848540331"/>
          <c:h val="7.6843165681806991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 6. Chile. Participación por país de origen en las </a:t>
            </a:r>
          </a:p>
          <a:p>
            <a:pPr>
              <a:defRPr sz="1000"/>
            </a:pPr>
            <a:r>
              <a:rPr lang="es-CL" sz="1000" b="1" i="0" u="none" strike="noStrike" baseline="0">
                <a:solidFill>
                  <a:srgbClr val="000000"/>
                </a:solidFill>
                <a:latin typeface="Arial"/>
                <a:cs typeface="Arial"/>
              </a:rPr>
              <a:t>importaciones de trigo panadero.</a:t>
            </a:r>
          </a:p>
          <a:p>
            <a:pPr>
              <a:defRPr sz="1000"/>
            </a:pPr>
            <a:r>
              <a:rPr lang="es-CL" sz="1000" b="1" i="0" u="none" strike="noStrike" baseline="0">
                <a:solidFill>
                  <a:srgbClr val="000000"/>
                </a:solidFill>
                <a:latin typeface="Arial"/>
                <a:cs typeface="Arial"/>
              </a:rPr>
              <a:t>enero - julio 2024</a:t>
            </a:r>
          </a:p>
          <a:p>
            <a:pPr>
              <a:defRPr sz="1000"/>
            </a:pPr>
            <a:endParaRPr lang="es-CL" sz="1000" b="1" i="0" u="none" strike="noStrike" baseline="0">
              <a:solidFill>
                <a:srgbClr val="000000"/>
              </a:solidFill>
              <a:latin typeface="Arial"/>
              <a:cs typeface="Arial"/>
            </a:endParaRPr>
          </a:p>
        </c:rich>
      </c:tx>
      <c:layout>
        <c:manualLayout>
          <c:xMode val="edge"/>
          <c:yMode val="edge"/>
          <c:x val="0.35013745566657184"/>
          <c:y val="2.3905407634409542E-2"/>
        </c:manualLayout>
      </c:layout>
      <c:overlay val="1"/>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s-CL"/>
        </a:p>
      </c:txPr>
    </c:title>
    <c:autoTitleDeleted val="0"/>
    <c:view3D>
      <c:rotX val="30"/>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955054756086518"/>
          <c:w val="1"/>
          <c:h val="0.48024334458192725"/>
        </c:manualLayout>
      </c:layout>
      <c:pie3DChart>
        <c:varyColors val="1"/>
        <c:ser>
          <c:idx val="0"/>
          <c:order val="0"/>
          <c:tx>
            <c:strRef>
              <c:f>'13'!$U$1</c:f>
              <c:strCache>
                <c:ptCount val="1"/>
              </c:strCache>
            </c:strRef>
          </c:tx>
          <c:dPt>
            <c:idx val="0"/>
            <c:bubble3D val="0"/>
            <c:spPr>
              <a:solidFill>
                <a:schemeClr val="accent6"/>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3E30-4D7B-9569-A3DA0EDAA388}"/>
              </c:ext>
            </c:extLst>
          </c:dPt>
          <c:dPt>
            <c:idx val="1"/>
            <c:bubble3D val="0"/>
            <c:spPr>
              <a:solidFill>
                <a:schemeClr val="accent5"/>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3E30-4D7B-9569-A3DA0EDAA388}"/>
              </c:ext>
            </c:extLst>
          </c:dPt>
          <c:dPt>
            <c:idx val="2"/>
            <c:bubble3D val="0"/>
            <c:spPr>
              <a:solidFill>
                <a:schemeClr val="accent4"/>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5-3E30-4D7B-9569-A3DA0EDAA388}"/>
              </c:ext>
            </c:extLst>
          </c:dPt>
          <c:dPt>
            <c:idx val="3"/>
            <c:bubble3D val="0"/>
            <c:spPr>
              <a:solidFill>
                <a:schemeClr val="accent6">
                  <a:lumMod val="60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7-3E30-4D7B-9569-A3DA0EDAA388}"/>
              </c:ext>
            </c:extLst>
          </c:dPt>
          <c:dLbls>
            <c:dLbl>
              <c:idx val="0"/>
              <c:layout>
                <c:manualLayout>
                  <c:x val="-2.2062417202359619E-3"/>
                  <c:y val="-8.890124433771682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30-4D7B-9569-A3DA0EDAA38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'13'!$V$1:$Y$1</c:f>
              <c:strCache>
                <c:ptCount val="4"/>
                <c:pt idx="0">
                  <c:v>Argentina</c:v>
                </c:pt>
                <c:pt idx="1">
                  <c:v>Canadá</c:v>
                </c:pt>
                <c:pt idx="2">
                  <c:v>EE.UU.</c:v>
                </c:pt>
                <c:pt idx="3">
                  <c:v>Otros</c:v>
                </c:pt>
              </c:strCache>
            </c:strRef>
          </c:cat>
          <c:val>
            <c:numRef>
              <c:f>'13'!$V$2:$Y$2</c:f>
              <c:numCache>
                <c:formatCode>#,##0.00</c:formatCode>
                <c:ptCount val="4"/>
                <c:pt idx="0">
                  <c:v>7.6737231146719903E-2</c:v>
                </c:pt>
                <c:pt idx="1">
                  <c:v>0.29140601844941622</c:v>
                </c:pt>
                <c:pt idx="2">
                  <c:v>0.28706336586876258</c:v>
                </c:pt>
                <c:pt idx="3" formatCode="#,##0.000">
                  <c:v>0.34479338453510133</c:v>
                </c:pt>
              </c:numCache>
            </c:numRef>
          </c:val>
          <c:extLst>
            <c:ext xmlns:c16="http://schemas.microsoft.com/office/drawing/2014/chart" uri="{C3380CC4-5D6E-409C-BE32-E72D297353CC}">
              <c16:uniqueId val="{00000009-3E30-4D7B-9569-A3DA0EDAA388}"/>
            </c:ext>
          </c:extLst>
        </c:ser>
        <c:dLbls>
          <c:showLegendKey val="0"/>
          <c:showVal val="0"/>
          <c:showCatName val="0"/>
          <c:showSerName val="0"/>
          <c:showPercent val="0"/>
          <c:showBubbleSize val="0"/>
          <c:showLeaderLines val="1"/>
        </c:dLbls>
      </c:pie3DChart>
      <c:spPr>
        <a:noFill/>
        <a:ln w="25400">
          <a:noFill/>
        </a:ln>
        <a:effectLst/>
      </c:spPr>
    </c:plotArea>
    <c:legend>
      <c:legendPos val="r"/>
      <c:overlay val="1"/>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s-CL"/>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t>Gráfico N° 7. Chile. Participación por tipo en las importaciones de trigo panadero  </a:t>
            </a:r>
          </a:p>
          <a:p>
            <a:pPr>
              <a:defRPr sz="900" b="1"/>
            </a:pPr>
            <a:r>
              <a:rPr lang="es-CL" sz="900" b="1"/>
              <a:t>2024</a:t>
            </a:r>
          </a:p>
          <a:p>
            <a:pPr>
              <a:defRPr sz="900" b="1"/>
            </a:pPr>
            <a:endParaRPr lang="es-CL" sz="900" b="1"/>
          </a:p>
          <a:p>
            <a:pPr>
              <a:defRPr sz="900" b="1"/>
            </a:pPr>
            <a:endParaRPr lang="es-CL" sz="900" b="1"/>
          </a:p>
        </c:rich>
      </c:tx>
      <c:layout>
        <c:manualLayout>
          <c:xMode val="edge"/>
          <c:yMode val="edge"/>
          <c:x val="0.29362437712907719"/>
          <c:y val="4.7016242152171095E-2"/>
        </c:manualLayout>
      </c:layout>
      <c:overlay val="1"/>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s-C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8847723514329494E-2"/>
          <c:y val="0.31345679351056727"/>
          <c:w val="0.97089603382910805"/>
          <c:h val="0.46595767579264064"/>
        </c:manualLayout>
      </c:layout>
      <c:pie3DChart>
        <c:varyColors val="1"/>
        <c:ser>
          <c:idx val="0"/>
          <c:order val="0"/>
          <c:explosion val="3"/>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3167-4BBE-A90A-21CF1A31E358}"/>
              </c:ext>
            </c:extLst>
          </c:dPt>
          <c:dPt>
            <c:idx val="1"/>
            <c:bubble3D val="0"/>
            <c:explosion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3167-4BBE-A90A-21CF1A31E35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3167-4BBE-A90A-21CF1A31E35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3167-4BBE-A90A-21CF1A31E358}"/>
              </c:ext>
            </c:extLst>
          </c:dPt>
          <c:dLbls>
            <c:dLbl>
              <c:idx val="0"/>
              <c:layout>
                <c:manualLayout>
                  <c:x val="4.2565958156964484E-2"/>
                  <c:y val="-3.0545516342831269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8.7702079423115281E-2"/>
                  <c:y val="-8.044592202334249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6.2296554845808962E-2"/>
                  <c:y val="2.132033469115734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3.4420227647859805E-2"/>
                  <c:y val="6.7072819965115535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'14'!$U$1:$X$1</c:f>
              <c:strCache>
                <c:ptCount val="4"/>
                <c:pt idx="1">
                  <c:v>Intermedio</c:v>
                </c:pt>
                <c:pt idx="2">
                  <c:v>Fuerte</c:v>
                </c:pt>
                <c:pt idx="3">
                  <c:v>Otros</c:v>
                </c:pt>
              </c:strCache>
            </c:strRef>
          </c:cat>
          <c:val>
            <c:numRef>
              <c:f>'14'!$U$10:$X$10</c:f>
              <c:numCache>
                <c:formatCode>0.0%</c:formatCode>
                <c:ptCount val="4"/>
                <c:pt idx="1">
                  <c:v>0.52264682700572196</c:v>
                </c:pt>
                <c:pt idx="2">
                  <c:v>0.37235687192876643</c:v>
                </c:pt>
                <c:pt idx="3">
                  <c:v>0.10499630106551161</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2021 - 2024</a:t>
            </a:r>
            <a:endParaRPr lang="es-CL" sz="1000" b="1" i="0" u="none" strike="noStrike" baseline="0">
              <a:solidFill>
                <a:srgbClr val="FF0000"/>
              </a:solidFill>
              <a:latin typeface="Arial"/>
              <a:cs typeface="Arial"/>
            </a:endParaRP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layout>
        <c:manualLayout>
          <c:xMode val="edge"/>
          <c:yMode val="edge"/>
          <c:x val="0.35201637551573889"/>
          <c:y val="9.5465932156349337E-5"/>
        </c:manualLayout>
      </c:layout>
      <c:overlay val="0"/>
      <c:spPr>
        <a:noFill/>
        <a:ln w="25400">
          <a:noFill/>
        </a:ln>
      </c:spPr>
    </c:title>
    <c:autoTitleDeleted val="0"/>
    <c:plotArea>
      <c:layout>
        <c:manualLayout>
          <c:layoutTarget val="inner"/>
          <c:xMode val="edge"/>
          <c:yMode val="edge"/>
          <c:x val="6.960601671164264E-2"/>
          <c:y val="0.25892757207002021"/>
          <c:w val="0.88982174890733379"/>
          <c:h val="0.45232804664653387"/>
        </c:manualLayout>
      </c:layout>
      <c:lineChart>
        <c:grouping val="standard"/>
        <c:varyColors val="0"/>
        <c:ser>
          <c:idx val="3"/>
          <c:order val="0"/>
          <c:tx>
            <c:strRef>
              <c:f>'16'!$C$6:$D$6</c:f>
              <c:strCache>
                <c:ptCount val="1"/>
                <c:pt idx="0">
                  <c:v>Trigo Pan Argentino</c:v>
                </c:pt>
              </c:strCache>
            </c:strRef>
          </c:tx>
          <c:cat>
            <c:numRef>
              <c:f>'16'!$T$8:$T$50</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'16'!$W$8:$W$50</c:f>
              <c:numCache>
                <c:formatCode>0</c:formatCode>
                <c:ptCount val="43"/>
                <c:pt idx="0">
                  <c:v>179.06751708119464</c:v>
                </c:pt>
                <c:pt idx="1">
                  <c:v>189.30695667784781</c:v>
                </c:pt>
                <c:pt idx="2">
                  <c:v>183.41406272080454</c:v>
                </c:pt>
                <c:pt idx="3">
                  <c:v>204.15279983555058</c:v>
                </c:pt>
                <c:pt idx="4">
                  <c:v>210.65756835698585</c:v>
                </c:pt>
                <c:pt idx="5">
                  <c:v>209.66826032490411</c:v>
                </c:pt>
                <c:pt idx="6">
                  <c:v>220.76350792425433</c:v>
                </c:pt>
                <c:pt idx="7">
                  <c:v>241.25919977991967</c:v>
                </c:pt>
                <c:pt idx="8">
                  <c:v>254.62518425105466</c:v>
                </c:pt>
                <c:pt idx="9">
                  <c:v>259.79918706588194</c:v>
                </c:pt>
                <c:pt idx="10">
                  <c:v>269.92286061216396</c:v>
                </c:pt>
                <c:pt idx="11">
                  <c:v>294.84701899390365</c:v>
                </c:pt>
                <c:pt idx="12">
                  <c:v>267.76866535875007</c:v>
                </c:pt>
                <c:pt idx="13">
                  <c:v>283.74659203941059</c:v>
                </c:pt>
                <c:pt idx="14">
                  <c:v>278.05501162064633</c:v>
                </c:pt>
                <c:pt idx="15">
                  <c:v>290.36895454054587</c:v>
                </c:pt>
                <c:pt idx="16">
                  <c:v>350.13848762681442</c:v>
                </c:pt>
                <c:pt idx="17">
                  <c:v>358.36082903826508</c:v>
                </c:pt>
                <c:pt idx="18">
                  <c:v>478.33443848605827</c:v>
                </c:pt>
                <c:pt idx="19">
                  <c:v>452.4490248681422</c:v>
                </c:pt>
                <c:pt idx="20">
                  <c:v>467.19882378305124</c:v>
                </c:pt>
                <c:pt idx="21">
                  <c:v>410.00199101717311</c:v>
                </c:pt>
                <c:pt idx="22">
                  <c:v>386.43928832892283</c:v>
                </c:pt>
                <c:pt idx="23">
                  <c:v>308.3459822919865</c:v>
                </c:pt>
                <c:pt idx="24">
                  <c:v>306.65763765337766</c:v>
                </c:pt>
                <c:pt idx="25">
                  <c:v>343.85586884912351</c:v>
                </c:pt>
                <c:pt idx="26">
                  <c:v>305.16560469823025</c:v>
                </c:pt>
                <c:pt idx="27">
                  <c:v>295.83677462236597</c:v>
                </c:pt>
                <c:pt idx="28">
                  <c:v>303.18345326983513</c:v>
                </c:pt>
                <c:pt idx="29">
                  <c:v>291.004170782676</c:v>
                </c:pt>
                <c:pt idx="30">
                  <c:v>304.47742072268699</c:v>
                </c:pt>
                <c:pt idx="34">
                  <c:v>292.51182373572721</c:v>
                </c:pt>
                <c:pt idx="36">
                  <c:v>277.22571833484852</c:v>
                </c:pt>
                <c:pt idx="37">
                  <c:v>291.77167307187551</c:v>
                </c:pt>
                <c:pt idx="38">
                  <c:v>294.52251426870703</c:v>
                </c:pt>
                <c:pt idx="39">
                  <c:v>267.27266562950297</c:v>
                </c:pt>
                <c:pt idx="42">
                  <c:v>241.83459870627155</c:v>
                </c:pt>
              </c:numCache>
            </c:numRef>
          </c:val>
          <c:smooth val="0"/>
          <c:extLst>
            <c:ext xmlns:c16="http://schemas.microsoft.com/office/drawing/2014/chart" uri="{C3380CC4-5D6E-409C-BE32-E72D297353CC}">
              <c16:uniqueId val="{00000007-9850-4FC7-9166-A5DFDC51C342}"/>
            </c:ext>
          </c:extLst>
        </c:ser>
        <c:ser>
          <c:idx val="4"/>
          <c:order val="1"/>
          <c:tx>
            <c:strRef>
              <c:f>'16'!$G$6:$H$6</c:f>
              <c:strCache>
                <c:ptCount val="1"/>
                <c:pt idx="0">
                  <c:v>Fuerte</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cat>
            <c:numRef>
              <c:f>'16'!$T$8:$T$50</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'16'!$U$8:$U$50</c:f>
              <c:numCache>
                <c:formatCode>0</c:formatCode>
                <c:ptCount val="43"/>
                <c:pt idx="0">
                  <c:v>177.09252557740888</c:v>
                </c:pt>
                <c:pt idx="1">
                  <c:v>186.40526781787636</c:v>
                </c:pt>
                <c:pt idx="2">
                  <c:v>195.4833534485978</c:v>
                </c:pt>
                <c:pt idx="3">
                  <c:v>217.17736414688881</c:v>
                </c:pt>
                <c:pt idx="4">
                  <c:v>204.15676618910891</c:v>
                </c:pt>
                <c:pt idx="5">
                  <c:v>214.82520559874493</c:v>
                </c:pt>
                <c:pt idx="6">
                  <c:v>224.71672620383583</c:v>
                </c:pt>
                <c:pt idx="7">
                  <c:v>251.7965352415338</c:v>
                </c:pt>
                <c:pt idx="8">
                  <c:v>291.05351928467002</c:v>
                </c:pt>
                <c:pt idx="10">
                  <c:v>314.47832685103737</c:v>
                </c:pt>
                <c:pt idx="11">
                  <c:v>365.18341981231845</c:v>
                </c:pt>
                <c:pt idx="12">
                  <c:v>334.78748379969153</c:v>
                </c:pt>
                <c:pt idx="13">
                  <c:v>320.85771562139672</c:v>
                </c:pt>
                <c:pt idx="14">
                  <c:v>321.00137457112265</c:v>
                </c:pt>
                <c:pt idx="15">
                  <c:v>397.65525544327801</c:v>
                </c:pt>
                <c:pt idx="16">
                  <c:v>399.84846382464059</c:v>
                </c:pt>
                <c:pt idx="17">
                  <c:v>438.76759809033916</c:v>
                </c:pt>
                <c:pt idx="18">
                  <c:v>508.83957840154892</c:v>
                </c:pt>
                <c:pt idx="19">
                  <c:v>509.76466956582243</c:v>
                </c:pt>
                <c:pt idx="20">
                  <c:v>514.83178169304335</c:v>
                </c:pt>
                <c:pt idx="21">
                  <c:v>496.90008536260228</c:v>
                </c:pt>
                <c:pt idx="22">
                  <c:v>396.71049736427381</c:v>
                </c:pt>
                <c:pt idx="23">
                  <c:v>389.95840335703673</c:v>
                </c:pt>
                <c:pt idx="24">
                  <c:v>360.2162358728981</c:v>
                </c:pt>
                <c:pt idx="25">
                  <c:v>344.6808349942998</c:v>
                </c:pt>
                <c:pt idx="26">
                  <c:v>347.55026126434643</c:v>
                </c:pt>
                <c:pt idx="27">
                  <c:v>332.38217737004913</c:v>
                </c:pt>
                <c:pt idx="28">
                  <c:v>318.988802797267</c:v>
                </c:pt>
                <c:pt idx="29">
                  <c:v>296.29013206855296</c:v>
                </c:pt>
                <c:pt idx="30">
                  <c:v>291.6779226907305</c:v>
                </c:pt>
                <c:pt idx="31">
                  <c:v>305.86555205119595</c:v>
                </c:pt>
                <c:pt idx="32">
                  <c:v>282.8232551661705</c:v>
                </c:pt>
                <c:pt idx="33">
                  <c:v>318.84289007071789</c:v>
                </c:pt>
                <c:pt idx="34">
                  <c:v>306.27310427693703</c:v>
                </c:pt>
                <c:pt idx="35">
                  <c:v>306.19489500944064</c:v>
                </c:pt>
                <c:pt idx="36">
                  <c:v>307.07892389822888</c:v>
                </c:pt>
                <c:pt idx="37">
                  <c:v>322.53435530016077</c:v>
                </c:pt>
                <c:pt idx="38">
                  <c:v>321.74351697872896</c:v>
                </c:pt>
                <c:pt idx="39">
                  <c:v>321.18277671133347</c:v>
                </c:pt>
                <c:pt idx="40">
                  <c:v>297.67302664396317</c:v>
                </c:pt>
                <c:pt idx="41">
                  <c:v>303.97703952563484</c:v>
                </c:pt>
                <c:pt idx="42">
                  <c:v>313.57168130186426</c:v>
                </c:pt>
              </c:numCache>
            </c:numRef>
          </c:val>
          <c:smooth val="0"/>
          <c:extLst>
            <c:ext xmlns:c16="http://schemas.microsoft.com/office/drawing/2014/chart" uri="{C3380CC4-5D6E-409C-BE32-E72D297353CC}">
              <c16:uniqueId val="{00000008-9850-4FC7-9166-A5DFDC51C342}"/>
            </c:ext>
          </c:extLst>
        </c:ser>
        <c:ser>
          <c:idx val="5"/>
          <c:order val="2"/>
          <c:tx>
            <c:strRef>
              <c:f>'16'!$K$6:$L$6</c:f>
              <c:strCache>
                <c:ptCount val="1"/>
                <c:pt idx="0">
                  <c:v>Canadian WRS</c:v>
                </c:pt>
              </c:strCache>
            </c:strRef>
          </c:tx>
          <c:cat>
            <c:numRef>
              <c:f>'16'!$T$8:$T$50</c:f>
              <c:numCache>
                <c:formatCode>mmm\-yy</c:formatCode>
                <c:ptCount val="43"/>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numCache>
            </c:numRef>
          </c:cat>
          <c:val>
            <c:numRef>
              <c:f>'16'!$V$8:$V$50</c:f>
              <c:numCache>
                <c:formatCode>0</c:formatCode>
                <c:ptCount val="43"/>
                <c:pt idx="0">
                  <c:v>165.35555572300007</c:v>
                </c:pt>
                <c:pt idx="1">
                  <c:v>190.02701916172467</c:v>
                </c:pt>
                <c:pt idx="2">
                  <c:v>195.2668893943185</c:v>
                </c:pt>
                <c:pt idx="3">
                  <c:v>195.18521229698376</c:v>
                </c:pt>
                <c:pt idx="4">
                  <c:v>206.0752893210522</c:v>
                </c:pt>
                <c:pt idx="5">
                  <c:v>215.4115169975104</c:v>
                </c:pt>
                <c:pt idx="6">
                  <c:v>224.52085389448848</c:v>
                </c:pt>
                <c:pt idx="7">
                  <c:v>242.16923152955016</c:v>
                </c:pt>
                <c:pt idx="8">
                  <c:v>236.72206263368295</c:v>
                </c:pt>
                <c:pt idx="9">
                  <c:v>246.77399957362135</c:v>
                </c:pt>
                <c:pt idx="10">
                  <c:v>297.82257417658997</c:v>
                </c:pt>
                <c:pt idx="11">
                  <c:v>349.62283716758714</c:v>
                </c:pt>
                <c:pt idx="12">
                  <c:v>329.87203343459709</c:v>
                </c:pt>
                <c:pt idx="13">
                  <c:v>321.81557368402815</c:v>
                </c:pt>
                <c:pt idx="14">
                  <c:v>348.01290512199125</c:v>
                </c:pt>
                <c:pt idx="15">
                  <c:v>386.44084813733855</c:v>
                </c:pt>
                <c:pt idx="16">
                  <c:v>389.23358922477922</c:v>
                </c:pt>
                <c:pt idx="17">
                  <c:v>438.76759809033916</c:v>
                </c:pt>
                <c:pt idx="18">
                  <c:v>492.85101014629925</c:v>
                </c:pt>
                <c:pt idx="19">
                  <c:v>470.01336496502705</c:v>
                </c:pt>
                <c:pt idx="20">
                  <c:v>497.88473608792003</c:v>
                </c:pt>
                <c:pt idx="21">
                  <c:v>496.90008536260228</c:v>
                </c:pt>
                <c:pt idx="22">
                  <c:v>398.89874211896216</c:v>
                </c:pt>
                <c:pt idx="23">
                  <c:v>387.80459059031227</c:v>
                </c:pt>
                <c:pt idx="24">
                  <c:v>359.12481606483522</c:v>
                </c:pt>
                <c:pt idx="25">
                  <c:v>347.3678893483297</c:v>
                </c:pt>
                <c:pt idx="26">
                  <c:v>342.31326281601133</c:v>
                </c:pt>
                <c:pt idx="27">
                  <c:v>329.14365214846009</c:v>
                </c:pt>
                <c:pt idx="28">
                  <c:v>314.1780727104782</c:v>
                </c:pt>
                <c:pt idx="29">
                  <c:v>300.19464978742968</c:v>
                </c:pt>
                <c:pt idx="30">
                  <c:v>291.6779226907305</c:v>
                </c:pt>
                <c:pt idx="31">
                  <c:v>306.24723725209492</c:v>
                </c:pt>
                <c:pt idx="32">
                  <c:v>311.39242146292196</c:v>
                </c:pt>
                <c:pt idx="33">
                  <c:v>319.41938306190679</c:v>
                </c:pt>
                <c:pt idx="34">
                  <c:v>311.87766284634108</c:v>
                </c:pt>
                <c:pt idx="35">
                  <c:v>306.24910927380921</c:v>
                </c:pt>
                <c:pt idx="36">
                  <c:v>307.07892389822888</c:v>
                </c:pt>
                <c:pt idx="37">
                  <c:v>331.91760968122014</c:v>
                </c:pt>
                <c:pt idx="38">
                  <c:v>309.08470959175116</c:v>
                </c:pt>
                <c:pt idx="39">
                  <c:v>315.25738713134439</c:v>
                </c:pt>
                <c:pt idx="40">
                  <c:v>288.15947397824829</c:v>
                </c:pt>
                <c:pt idx="41">
                  <c:v>303.19408411264385</c:v>
                </c:pt>
                <c:pt idx="42">
                  <c:v>300.08020795514011</c:v>
                </c:pt>
              </c:numCache>
            </c:numRef>
          </c:val>
          <c:smooth val="0"/>
          <c:extLst>
            <c:ext xmlns:c16="http://schemas.microsoft.com/office/drawing/2014/chart" uri="{C3380CC4-5D6E-409C-BE32-E72D297353CC}">
              <c16:uniqueId val="{00000009-9850-4FC7-9166-A5DFDC51C342}"/>
            </c:ext>
          </c:extLst>
        </c:ser>
        <c:dLbls>
          <c:showLegendKey val="0"/>
          <c:showVal val="0"/>
          <c:showCatName val="0"/>
          <c:showSerName val="0"/>
          <c:showPercent val="0"/>
          <c:showBubbleSize val="0"/>
        </c:dLbls>
        <c:marker val="1"/>
        <c:smooth val="0"/>
        <c:axId val="986326528"/>
        <c:axId val="984110720"/>
      </c:lineChart>
      <c:dateAx>
        <c:axId val="9863265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84110720"/>
        <c:crosses val="autoZero"/>
        <c:auto val="1"/>
        <c:lblOffset val="100"/>
        <c:baseTimeUnit val="months"/>
      </c:dateAx>
      <c:valAx>
        <c:axId val="98411072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layout>
            <c:manualLayout>
              <c:xMode val="edge"/>
              <c:yMode val="edge"/>
              <c:x val="3.2440788356794649E-3"/>
              <c:y val="0.27681996386484203"/>
            </c:manualLayout>
          </c:layout>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6326528"/>
        <c:crosses val="autoZero"/>
        <c:crossBetween val="between"/>
      </c:valAx>
      <c:spPr>
        <a:noFill/>
        <a:ln w="25400">
          <a:noFill/>
        </a:ln>
      </c:spPr>
    </c:plotArea>
    <c:legend>
      <c:legendPos val="r"/>
      <c:layout>
        <c:manualLayout>
          <c:xMode val="edge"/>
          <c:yMode val="edge"/>
          <c:x val="0.13981245263160952"/>
          <c:y val="0.90243898584462112"/>
          <c:w val="0.74466900928799562"/>
          <c:h val="9.444983238481329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r>
              <a:rPr lang="es-CL" sz="900" b="1">
                <a:solidFill>
                  <a:sysClr val="windowText" lastClr="000000"/>
                </a:solidFill>
              </a:rPr>
              <a:t>Gráfico Nº 9. Chile. Precios promedio nacionales informados por la industria</a:t>
            </a:r>
          </a:p>
          <a:p>
            <a:pPr>
              <a:defRPr sz="900" b="1">
                <a:solidFill>
                  <a:sysClr val="windowText" lastClr="000000"/>
                </a:solidFill>
              </a:defRPr>
            </a:pPr>
            <a:r>
              <a:rPr lang="es-CL" sz="900" b="1">
                <a:solidFill>
                  <a:sysClr val="windowText" lastClr="000000"/>
                </a:solidFill>
              </a:rPr>
              <a:t>por tipo de trigo, 2021-2024</a:t>
            </a:r>
          </a:p>
          <a:p>
            <a:pPr>
              <a:defRPr sz="900" b="1">
                <a:solidFill>
                  <a:sysClr val="windowText" lastClr="000000"/>
                </a:solidFill>
              </a:defRPr>
            </a:pPr>
            <a:r>
              <a:rPr lang="es-CL" sz="900" b="1">
                <a:solidFill>
                  <a:sysClr val="windowText" lastClr="000000"/>
                </a:solidFill>
              </a:rPr>
              <a:t>($ / kilo nominal)  </a:t>
            </a:r>
          </a:p>
        </c:rich>
      </c:tx>
      <c:layout>
        <c:manualLayout>
          <c:xMode val="edge"/>
          <c:yMode val="edge"/>
          <c:x val="0.31175671316949105"/>
          <c:y val="3.7037037037037035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endParaRPr lang="es-CL"/>
        </a:p>
      </c:txPr>
    </c:title>
    <c:autoTitleDeleted val="0"/>
    <c:plotArea>
      <c:layout/>
      <c:barChart>
        <c:barDir val="col"/>
        <c:grouping val="clustered"/>
        <c:varyColors val="0"/>
        <c:ser>
          <c:idx val="0"/>
          <c:order val="0"/>
          <c:tx>
            <c:strRef>
              <c:f>'18 '!$V$8</c:f>
              <c:strCache>
                <c:ptCount val="1"/>
                <c:pt idx="0">
                  <c:v>Suave </c:v>
                </c:pt>
              </c:strCache>
            </c:strRef>
          </c:tx>
          <c:spPr>
            <a:solidFill>
              <a:schemeClr val="accent1"/>
            </a:solidFill>
            <a:ln>
              <a:noFill/>
            </a:ln>
            <a:effectLst/>
          </c:spPr>
          <c:invertIfNegative val="0"/>
          <c:cat>
            <c:strRef>
              <c:f>'18 '!$U$9:$U$51</c:f>
              <c:strCache>
                <c:ptCount val="43"/>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pt idx="36">
                  <c:v>ene-24</c:v>
                </c:pt>
                <c:pt idx="37">
                  <c:v>feb-24</c:v>
                </c:pt>
                <c:pt idx="38">
                  <c:v>mar-24</c:v>
                </c:pt>
                <c:pt idx="39">
                  <c:v>abr-24</c:v>
                </c:pt>
                <c:pt idx="40">
                  <c:v>may-24</c:v>
                </c:pt>
                <c:pt idx="41">
                  <c:v>jun-24</c:v>
                </c:pt>
                <c:pt idx="42">
                  <c:v>jul-24</c:v>
                </c:pt>
              </c:strCache>
            </c:strRef>
          </c:cat>
          <c:val>
            <c:numRef>
              <c:f>'18 '!$V$9:$V$51</c:f>
              <c:numCache>
                <c:formatCode>_-* #,##0_-;\-* #,##0_-;_-* \-??_-;_-@_-</c:formatCode>
                <c:ptCount val="43"/>
                <c:pt idx="0">
                  <c:v>190.7912081790758</c:v>
                </c:pt>
                <c:pt idx="1">
                  <c:v>0</c:v>
                </c:pt>
                <c:pt idx="2">
                  <c:v>195.93255131964807</c:v>
                </c:pt>
                <c:pt idx="3">
                  <c:v>200.89111111111114</c:v>
                </c:pt>
                <c:pt idx="4">
                  <c:v>203.28819444444446</c:v>
                </c:pt>
                <c:pt idx="5">
                  <c:v>209.24126984126983</c:v>
                </c:pt>
                <c:pt idx="6">
                  <c:v>218.50952380952384</c:v>
                </c:pt>
                <c:pt idx="7">
                  <c:v>241.22043010752685</c:v>
                </c:pt>
                <c:pt idx="8">
                  <c:v>0</c:v>
                </c:pt>
                <c:pt idx="9">
                  <c:v>265.85483870967744</c:v>
                </c:pt>
                <c:pt idx="10">
                  <c:v>264.04166666666669</c:v>
                </c:pt>
                <c:pt idx="11">
                  <c:v>296.86307435254804</c:v>
                </c:pt>
                <c:pt idx="12">
                  <c:v>296.72220207125514</c:v>
                </c:pt>
                <c:pt idx="13">
                  <c:v>298.88499861003208</c:v>
                </c:pt>
                <c:pt idx="14">
                  <c:v>304.3157952781043</c:v>
                </c:pt>
                <c:pt idx="15">
                  <c:v>318.56333333333328</c:v>
                </c:pt>
                <c:pt idx="16">
                  <c:v>398.56896551724139</c:v>
                </c:pt>
                <c:pt idx="23">
                  <c:v>347.56858974358977</c:v>
                </c:pt>
                <c:pt idx="24">
                  <c:v>320.87073742540497</c:v>
                </c:pt>
                <c:pt idx="25">
                  <c:v>279.98397435897436</c:v>
                </c:pt>
                <c:pt idx="26">
                  <c:v>289.67391304347825</c:v>
                </c:pt>
                <c:pt idx="27">
                  <c:v>292.33333333333331</c:v>
                </c:pt>
                <c:pt idx="28">
                  <c:v>290</c:v>
                </c:pt>
                <c:pt idx="30">
                  <c:v>237.5</c:v>
                </c:pt>
                <c:pt idx="31">
                  <c:v>230</c:v>
                </c:pt>
                <c:pt idx="32">
                  <c:v>0</c:v>
                </c:pt>
                <c:pt idx="33">
                  <c:v>0</c:v>
                </c:pt>
                <c:pt idx="34">
                  <c:v>0</c:v>
                </c:pt>
                <c:pt idx="35">
                  <c:v>234.16666666666663</c:v>
                </c:pt>
                <c:pt idx="36">
                  <c:v>223.30016887137634</c:v>
                </c:pt>
                <c:pt idx="37">
                  <c:v>225.27457264957266</c:v>
                </c:pt>
                <c:pt idx="38">
                  <c:v>227.52167080231595</c:v>
                </c:pt>
                <c:pt idx="39">
                  <c:v>228.20079365079368</c:v>
                </c:pt>
                <c:pt idx="40">
                  <c:v>236.91258741258741</c:v>
                </c:pt>
                <c:pt idx="41">
                  <c:v>244.29005050505054</c:v>
                </c:pt>
                <c:pt idx="42">
                  <c:v>252.18700396825392</c:v>
                </c:pt>
              </c:numCache>
            </c:numRef>
          </c:val>
          <c:extLst>
            <c:ext xmlns:c16="http://schemas.microsoft.com/office/drawing/2014/chart" uri="{C3380CC4-5D6E-409C-BE32-E72D297353CC}">
              <c16:uniqueId val="{00000000-061A-45FD-8039-F2C5E827372C}"/>
            </c:ext>
          </c:extLst>
        </c:ser>
        <c:ser>
          <c:idx val="1"/>
          <c:order val="1"/>
          <c:tx>
            <c:strRef>
              <c:f>'18 '!$W$8</c:f>
              <c:strCache>
                <c:ptCount val="1"/>
                <c:pt idx="0">
                  <c:v>Intermedio</c:v>
                </c:pt>
              </c:strCache>
            </c:strRef>
          </c:tx>
          <c:spPr>
            <a:solidFill>
              <a:schemeClr val="accent2"/>
            </a:solidFill>
            <a:ln>
              <a:noFill/>
            </a:ln>
            <a:effectLst/>
          </c:spPr>
          <c:invertIfNegative val="0"/>
          <c:cat>
            <c:strRef>
              <c:f>'18 '!$U$9:$U$51</c:f>
              <c:strCache>
                <c:ptCount val="43"/>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pt idx="36">
                  <c:v>ene-24</c:v>
                </c:pt>
                <c:pt idx="37">
                  <c:v>feb-24</c:v>
                </c:pt>
                <c:pt idx="38">
                  <c:v>mar-24</c:v>
                </c:pt>
                <c:pt idx="39">
                  <c:v>abr-24</c:v>
                </c:pt>
                <c:pt idx="40">
                  <c:v>may-24</c:v>
                </c:pt>
                <c:pt idx="41">
                  <c:v>jun-24</c:v>
                </c:pt>
                <c:pt idx="42">
                  <c:v>jul-24</c:v>
                </c:pt>
              </c:strCache>
            </c:strRef>
          </c:cat>
          <c:val>
            <c:numRef>
              <c:f>'18 '!$W$9:$W$51</c:f>
              <c:numCache>
                <c:formatCode>_-* #,##0_-;\-* #,##0_-;_-* \-??_-;_-@_-</c:formatCode>
                <c:ptCount val="43"/>
                <c:pt idx="0">
                  <c:v>0</c:v>
                </c:pt>
                <c:pt idx="1">
                  <c:v>197.594057537743</c:v>
                </c:pt>
                <c:pt idx="2">
                  <c:v>201.09551971326164</c:v>
                </c:pt>
                <c:pt idx="3">
                  <c:v>205.39523809523808</c:v>
                </c:pt>
                <c:pt idx="4">
                  <c:v>208.30208333333331</c:v>
                </c:pt>
                <c:pt idx="5">
                  <c:v>212.06726190476192</c:v>
                </c:pt>
                <c:pt idx="6">
                  <c:v>221.21300563236045</c:v>
                </c:pt>
                <c:pt idx="7">
                  <c:v>239.81566820276501</c:v>
                </c:pt>
                <c:pt idx="8">
                  <c:v>0</c:v>
                </c:pt>
                <c:pt idx="9">
                  <c:v>264.58774845226452</c:v>
                </c:pt>
                <c:pt idx="10">
                  <c:v>265.03777777777776</c:v>
                </c:pt>
                <c:pt idx="11">
                  <c:v>302.93791341508734</c:v>
                </c:pt>
                <c:pt idx="12">
                  <c:v>302.83298429290295</c:v>
                </c:pt>
                <c:pt idx="13">
                  <c:v>302.96309112589893</c:v>
                </c:pt>
                <c:pt idx="14">
                  <c:v>308.17002688172045</c:v>
                </c:pt>
                <c:pt idx="15">
                  <c:v>319.00555555555559</c:v>
                </c:pt>
                <c:pt idx="16">
                  <c:v>400.54597701149424</c:v>
                </c:pt>
                <c:pt idx="23">
                  <c:v>358.37573099415204</c:v>
                </c:pt>
                <c:pt idx="24">
                  <c:v>337.47900883838383</c:v>
                </c:pt>
                <c:pt idx="25">
                  <c:v>313.37179487179486</c:v>
                </c:pt>
                <c:pt idx="26">
                  <c:v>304.89130434782606</c:v>
                </c:pt>
                <c:pt idx="27">
                  <c:v>300.33333333333331</c:v>
                </c:pt>
                <c:pt idx="28">
                  <c:v>301.66666666666669</c:v>
                </c:pt>
                <c:pt idx="29">
                  <c:v>240</c:v>
                </c:pt>
                <c:pt idx="30">
                  <c:v>260.41666666666669</c:v>
                </c:pt>
                <c:pt idx="31">
                  <c:v>275</c:v>
                </c:pt>
                <c:pt idx="32">
                  <c:v>0</c:v>
                </c:pt>
                <c:pt idx="33">
                  <c:v>0</c:v>
                </c:pt>
                <c:pt idx="34">
                  <c:v>0</c:v>
                </c:pt>
                <c:pt idx="35">
                  <c:v>238.5</c:v>
                </c:pt>
                <c:pt idx="36">
                  <c:v>230.93741919844859</c:v>
                </c:pt>
                <c:pt idx="37">
                  <c:v>225.32874060565868</c:v>
                </c:pt>
                <c:pt idx="38">
                  <c:v>233.87344086021506</c:v>
                </c:pt>
                <c:pt idx="39">
                  <c:v>235.85624999999999</c:v>
                </c:pt>
                <c:pt idx="40">
                  <c:v>241.84615384615384</c:v>
                </c:pt>
                <c:pt idx="41">
                  <c:v>251.24188034188035</c:v>
                </c:pt>
                <c:pt idx="42">
                  <c:v>259.38988095238096</c:v>
                </c:pt>
              </c:numCache>
            </c:numRef>
          </c:val>
          <c:extLst>
            <c:ext xmlns:c16="http://schemas.microsoft.com/office/drawing/2014/chart" uri="{C3380CC4-5D6E-409C-BE32-E72D297353CC}">
              <c16:uniqueId val="{00000001-061A-45FD-8039-F2C5E827372C}"/>
            </c:ext>
          </c:extLst>
        </c:ser>
        <c:ser>
          <c:idx val="2"/>
          <c:order val="2"/>
          <c:tx>
            <c:strRef>
              <c:f>'18 '!$X$8</c:f>
              <c:strCache>
                <c:ptCount val="1"/>
                <c:pt idx="0">
                  <c:v>Fuerte</c:v>
                </c:pt>
              </c:strCache>
            </c:strRef>
          </c:tx>
          <c:spPr>
            <a:solidFill>
              <a:schemeClr val="accent3"/>
            </a:solidFill>
            <a:ln>
              <a:solidFill>
                <a:srgbClr val="92D050"/>
              </a:solidFill>
            </a:ln>
            <a:effectLst/>
          </c:spPr>
          <c:invertIfNegative val="0"/>
          <c:cat>
            <c:strRef>
              <c:f>'18 '!$U$9:$U$51</c:f>
              <c:strCache>
                <c:ptCount val="43"/>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pt idx="36">
                  <c:v>ene-24</c:v>
                </c:pt>
                <c:pt idx="37">
                  <c:v>feb-24</c:v>
                </c:pt>
                <c:pt idx="38">
                  <c:v>mar-24</c:v>
                </c:pt>
                <c:pt idx="39">
                  <c:v>abr-24</c:v>
                </c:pt>
                <c:pt idx="40">
                  <c:v>may-24</c:v>
                </c:pt>
                <c:pt idx="41">
                  <c:v>jun-24</c:v>
                </c:pt>
                <c:pt idx="42">
                  <c:v>jul-24</c:v>
                </c:pt>
              </c:strCache>
            </c:strRef>
          </c:cat>
          <c:val>
            <c:numRef>
              <c:f>'18 '!$X$9:$X$51</c:f>
              <c:numCache>
                <c:formatCode>_-* #,##0_-;\-* #,##0_-;_-* \-??_-;_-@_-</c:formatCode>
                <c:ptCount val="43"/>
                <c:pt idx="0">
                  <c:v>199.09104166666665</c:v>
                </c:pt>
                <c:pt idx="1">
                  <c:v>201.98578373015877</c:v>
                </c:pt>
                <c:pt idx="2">
                  <c:v>203.53825475599669</c:v>
                </c:pt>
                <c:pt idx="3">
                  <c:v>208.02047619047619</c:v>
                </c:pt>
                <c:pt idx="4">
                  <c:v>211.36904761904759</c:v>
                </c:pt>
                <c:pt idx="5">
                  <c:v>216.07428571428574</c:v>
                </c:pt>
                <c:pt idx="6">
                  <c:v>224.66666666666663</c:v>
                </c:pt>
                <c:pt idx="7">
                  <c:v>246.98306451612902</c:v>
                </c:pt>
                <c:pt idx="8">
                  <c:v>256.52333333333331</c:v>
                </c:pt>
                <c:pt idx="9">
                  <c:v>274.62598566308242</c:v>
                </c:pt>
                <c:pt idx="10">
                  <c:v>279.125</c:v>
                </c:pt>
                <c:pt idx="11">
                  <c:v>305.78578042328041</c:v>
                </c:pt>
                <c:pt idx="12">
                  <c:v>304.37498602402354</c:v>
                </c:pt>
                <c:pt idx="13">
                  <c:v>306.50197736556436</c:v>
                </c:pt>
                <c:pt idx="14">
                  <c:v>310.54892473118281</c:v>
                </c:pt>
                <c:pt idx="15">
                  <c:v>309.75833333333333</c:v>
                </c:pt>
                <c:pt idx="16">
                  <c:v>399.67241379310349</c:v>
                </c:pt>
                <c:pt idx="23">
                  <c:v>361.29665242165242</c:v>
                </c:pt>
                <c:pt idx="24">
                  <c:v>343.68229166666674</c:v>
                </c:pt>
                <c:pt idx="25">
                  <c:v>318.10683760683759</c:v>
                </c:pt>
                <c:pt idx="26">
                  <c:v>310.21739130434781</c:v>
                </c:pt>
                <c:pt idx="27">
                  <c:v>300.66666666666669</c:v>
                </c:pt>
                <c:pt idx="28">
                  <c:v>306.66666666666669</c:v>
                </c:pt>
                <c:pt idx="29">
                  <c:v>0</c:v>
                </c:pt>
                <c:pt idx="30">
                  <c:v>0</c:v>
                </c:pt>
                <c:pt idx="31">
                  <c:v>0</c:v>
                </c:pt>
                <c:pt idx="32">
                  <c:v>0</c:v>
                </c:pt>
                <c:pt idx="33">
                  <c:v>0</c:v>
                </c:pt>
                <c:pt idx="34">
                  <c:v>0</c:v>
                </c:pt>
                <c:pt idx="35">
                  <c:v>241.875</c:v>
                </c:pt>
                <c:pt idx="36">
                  <c:v>237.07555555555555</c:v>
                </c:pt>
                <c:pt idx="37">
                  <c:v>234.6451461169668</c:v>
                </c:pt>
                <c:pt idx="38">
                  <c:v>240.35405913978494</c:v>
                </c:pt>
                <c:pt idx="39">
                  <c:v>240.85763888888894</c:v>
                </c:pt>
                <c:pt idx="40">
                  <c:v>247.76282051282055</c:v>
                </c:pt>
                <c:pt idx="41">
                  <c:v>252.65555555555551</c:v>
                </c:pt>
                <c:pt idx="42">
                  <c:v>263.46726190476187</c:v>
                </c:pt>
              </c:numCache>
            </c:numRef>
          </c:val>
          <c:extLst>
            <c:ext xmlns:c16="http://schemas.microsoft.com/office/drawing/2014/chart" uri="{C3380CC4-5D6E-409C-BE32-E72D297353CC}">
              <c16:uniqueId val="{00000002-061A-45FD-8039-F2C5E827372C}"/>
            </c:ext>
          </c:extLst>
        </c:ser>
        <c:dLbls>
          <c:showLegendKey val="0"/>
          <c:showVal val="0"/>
          <c:showCatName val="0"/>
          <c:showSerName val="0"/>
          <c:showPercent val="0"/>
          <c:showBubbleSize val="0"/>
        </c:dLbls>
        <c:gapWidth val="150"/>
        <c:axId val="423244783"/>
        <c:axId val="423247279"/>
      </c:barChart>
      <c:catAx>
        <c:axId val="4232447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crossAx val="423247279"/>
        <c:crosses val="autoZero"/>
        <c:auto val="1"/>
        <c:lblAlgn val="ctr"/>
        <c:lblOffset val="100"/>
        <c:noMultiLvlLbl val="1"/>
      </c:catAx>
      <c:valAx>
        <c:axId val="423247279"/>
        <c:scaling>
          <c:orientation val="minMax"/>
          <c:max val="410"/>
          <c:min val="1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j-lt"/>
                    <a:ea typeface="+mn-ea"/>
                    <a:cs typeface="+mn-cs"/>
                  </a:defRPr>
                </a:pPr>
                <a:r>
                  <a:rPr lang="es-CL" b="1">
                    <a:latin typeface="+mj-lt"/>
                  </a:rPr>
                  <a:t> $ / kilo nominal</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j-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crossAx val="423244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mj-l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66675</xdr:rowOff>
    </xdr:from>
    <xdr:to>
      <xdr:col>1</xdr:col>
      <xdr:colOff>466725</xdr:colOff>
      <xdr:row>85</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xdr:colOff>
      <xdr:row>0</xdr:row>
      <xdr:rowOff>38100</xdr:rowOff>
    </xdr:from>
    <xdr:to>
      <xdr:col>0</xdr:col>
      <xdr:colOff>666750</xdr:colOff>
      <xdr:row>5</xdr:row>
      <xdr:rowOff>76200</xdr:rowOff>
    </xdr:to>
    <xdr:pic>
      <xdr:nvPicPr>
        <xdr:cNvPr id="5" name="Imagen 4">
          <a:extLst>
            <a:ext uri="{FF2B5EF4-FFF2-40B4-BE49-F238E27FC236}">
              <a16:creationId xmlns:a16="http://schemas.microsoft.com/office/drawing/2014/main" id="{3F579069-C9C0-480C-A3DE-8C4D4B9AFF2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5381"/>
        <a:stretch/>
      </xdr:blipFill>
      <xdr:spPr bwMode="auto">
        <a:xfrm>
          <a:off x="38098" y="38100"/>
          <a:ext cx="1295402" cy="11811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255789</xdr:colOff>
      <xdr:row>20</xdr:row>
      <xdr:rowOff>114300</xdr:rowOff>
    </xdr:from>
    <xdr:to>
      <xdr:col>10</xdr:col>
      <xdr:colOff>74814</xdr:colOff>
      <xdr:row>38</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133003</xdr:colOff>
      <xdr:row>20</xdr:row>
      <xdr:rowOff>123825</xdr:rowOff>
    </xdr:from>
    <xdr:to>
      <xdr:col>8</xdr:col>
      <xdr:colOff>8312</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57150</xdr:colOff>
      <xdr:row>23</xdr:row>
      <xdr:rowOff>76200</xdr:rowOff>
    </xdr:from>
    <xdr:to>
      <xdr:col>18</xdr:col>
      <xdr:colOff>571500</xdr:colOff>
      <xdr:row>38</xdr:row>
      <xdr:rowOff>98425</xdr:rowOff>
    </xdr:to>
    <xdr:graphicFrame macro="">
      <xdr:nvGraphicFramePr>
        <xdr:cNvPr id="4" name="3 Gráfico">
          <a:extLst>
            <a:ext uri="{FF2B5EF4-FFF2-40B4-BE49-F238E27FC236}">
              <a16:creationId xmlns:a16="http://schemas.microsoft.com/office/drawing/2014/main" id="{1B40EAA3-7CFE-4024-B6CA-5F91C5BAD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0.02018</cdr:x>
      <cdr:y>0.83592</cdr:y>
    </cdr:from>
    <cdr:to>
      <cdr:x>0.83925</cdr:x>
      <cdr:y>0.97665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233488" y="2407228"/>
          <a:ext cx="9476816" cy="40524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1000" i="0">
              <a:latin typeface="Arial"/>
            </a:rPr>
            <a:t>Fuente</a:t>
          </a:r>
          <a:r>
            <a:rPr lang="es-ES" sz="1000">
              <a:latin typeface="Arial"/>
            </a:rPr>
            <a:t>: </a:t>
          </a:r>
          <a:r>
            <a:rPr lang="es-ES" sz="1000">
              <a:latin typeface="Arial"/>
              <a:ea typeface="+mn-ea"/>
              <a:cs typeface="+mn-cs"/>
            </a:rPr>
            <a:t>elaborado por Odepa con antecedentes</a:t>
          </a:r>
          <a:r>
            <a:rPr lang="es-ES" sz="1000" baseline="0">
              <a:latin typeface="Arial"/>
              <a:ea typeface="+mn-ea"/>
              <a:cs typeface="+mn-cs"/>
            </a:rPr>
            <a:t> </a:t>
          </a:r>
          <a:r>
            <a:rPr lang="es-ES" sz="1000">
              <a:latin typeface="Arial"/>
              <a:ea typeface="+mn-ea"/>
              <a:cs typeface="+mn-cs"/>
            </a:rPr>
            <a:t>del Servicio Nacional de Aduanas.</a:t>
          </a:r>
        </a:p>
        <a:p xmlns:a="http://schemas.openxmlformats.org/drawingml/2006/main">
          <a:r>
            <a:rPr lang="es-ES" sz="1000">
              <a:latin typeface="Arial"/>
              <a:ea typeface="+mn-ea"/>
              <a:cs typeface="+mn-cs"/>
            </a:rPr>
            <a:t>Otros: 34% corresponde a Uruguay equivalente a 179.957</a:t>
          </a:r>
          <a:r>
            <a:rPr lang="es-ES" sz="1000" baseline="0">
              <a:latin typeface="Arial"/>
              <a:ea typeface="+mn-ea"/>
              <a:cs typeface="+mn-cs"/>
            </a:rPr>
            <a:t> toneladas en el periodo enero-junio 2024</a:t>
          </a:r>
          <a:endParaRPr lang="es-ES" sz="10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19</xdr:col>
      <xdr:colOff>18473</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4234</xdr:colOff>
      <xdr:row>20</xdr:row>
      <xdr:rowOff>158750</xdr:rowOff>
    </xdr:from>
    <xdr:to>
      <xdr:col>19</xdr:col>
      <xdr:colOff>0</xdr:colOff>
      <xdr:row>32</xdr:row>
      <xdr:rowOff>168275</xdr:rowOff>
    </xdr:to>
    <xdr:graphicFrame macro="">
      <xdr:nvGraphicFramePr>
        <xdr:cNvPr id="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363682</xdr:colOff>
      <xdr:row>21</xdr:row>
      <xdr:rowOff>41564</xdr:rowOff>
    </xdr:from>
    <xdr:to>
      <xdr:col>18</xdr:col>
      <xdr:colOff>467592</xdr:colOff>
      <xdr:row>31</xdr:row>
      <xdr:rowOff>218209</xdr:rowOff>
    </xdr:to>
    <xdr:graphicFrame macro="">
      <xdr:nvGraphicFramePr>
        <xdr:cNvPr id="3" name="Gráfico 2">
          <a:extLst>
            <a:ext uri="{FF2B5EF4-FFF2-40B4-BE49-F238E27FC236}">
              <a16:creationId xmlns:a16="http://schemas.microsoft.com/office/drawing/2014/main" id="{94466C66-8888-ACCA-97E7-6753ED3002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0</xdr:colOff>
      <xdr:row>35</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0</xdr:rowOff>
    </xdr:from>
    <xdr:to>
      <xdr:col>1</xdr:col>
      <xdr:colOff>0</xdr:colOff>
      <xdr:row>64</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50</xdr:row>
      <xdr:rowOff>78450</xdr:rowOff>
    </xdr:from>
    <xdr:to>
      <xdr:col>8</xdr:col>
      <xdr:colOff>41564</xdr:colOff>
      <xdr:row>72</xdr:row>
      <xdr:rowOff>16624</xdr:rowOff>
    </xdr:to>
    <xdr:graphicFrame macro="">
      <xdr:nvGraphicFramePr>
        <xdr:cNvPr id="9"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0.00519</cdr:x>
      <cdr:y>0.94544</cdr:y>
    </cdr:from>
    <cdr:to>
      <cdr:x>0.85571</cdr:x>
      <cdr:y>1</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76290" y="4609928"/>
          <a:ext cx="12514148" cy="26600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mj-lt"/>
              <a:cs typeface="Calibri" panose="020F0502020204030204" pitchFamily="34" charset="0"/>
            </a:rPr>
            <a:t>Fuente</a:t>
          </a:r>
          <a:r>
            <a:rPr lang="es-CL" sz="900">
              <a:latin typeface="+mj-lt"/>
              <a:cs typeface="Calibri" panose="020F0502020204030204" pitchFamily="34" charset="0"/>
            </a:rPr>
            <a:t>: </a:t>
          </a:r>
          <a:r>
            <a:rPr lang="es-CL" sz="900">
              <a:solidFill>
                <a:sysClr val="windowText" lastClr="000000"/>
              </a:solidFill>
              <a:latin typeface="+mj-lt"/>
              <a:cs typeface="Calibri" panose="020F0502020204030204" pitchFamily="34" charset="0"/>
            </a:rPr>
            <a:t>e</a:t>
          </a:r>
          <a:r>
            <a:rPr lang="es-ES" sz="900">
              <a:solidFill>
                <a:sysClr val="windowText" lastClr="000000"/>
              </a:solidFill>
              <a:latin typeface="+mj-lt"/>
              <a:ea typeface="+mn-ea"/>
              <a:cs typeface="Calibri" panose="020F0502020204030204" pitchFamily="34" charset="0"/>
            </a:rPr>
            <a:t>laborado </a:t>
          </a:r>
          <a:r>
            <a:rPr lang="es-ES" sz="900">
              <a:latin typeface="+mj-lt"/>
              <a:ea typeface="+mn-ea"/>
              <a:cs typeface="Calibri" panose="020F0502020204030204" pitchFamily="34" charset="0"/>
            </a:rPr>
            <a:t>por Odepa con información de Cotrisa, bolsas y Reuters.</a:t>
          </a:r>
          <a:endParaRPr lang="es-CL" sz="900">
            <a:latin typeface="+mj-lt"/>
            <a:ea typeface="+mn-ea"/>
            <a:cs typeface="Calibri" panose="020F050202020403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24506</xdr:colOff>
      <xdr:row>0</xdr:row>
      <xdr:rowOff>148935</xdr:rowOff>
    </xdr:from>
    <xdr:to>
      <xdr:col>9</xdr:col>
      <xdr:colOff>526158</xdr:colOff>
      <xdr:row>26</xdr:row>
      <xdr:rowOff>135081</xdr:rowOff>
    </xdr:to>
    <xdr:graphicFrame macro="">
      <xdr:nvGraphicFramePr>
        <xdr:cNvPr id="2" name="Gráfico 2">
          <a:extLst>
            <a:ext uri="{FF2B5EF4-FFF2-40B4-BE49-F238E27FC236}">
              <a16:creationId xmlns:a16="http://schemas.microsoft.com/office/drawing/2014/main" id="{6CF1E237-A957-4C2F-940B-6B91AD0B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39</xdr:row>
      <xdr:rowOff>57150</xdr:rowOff>
    </xdr:from>
    <xdr:to>
      <xdr:col>1</xdr:col>
      <xdr:colOff>428625</xdr:colOff>
      <xdr:row>39</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79375</xdr:colOff>
      <xdr:row>18</xdr:row>
      <xdr:rowOff>133350</xdr:rowOff>
    </xdr:from>
    <xdr:to>
      <xdr:col>7</xdr:col>
      <xdr:colOff>930275</xdr:colOff>
      <xdr:row>33</xdr:row>
      <xdr:rowOff>158750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28575</xdr:colOff>
      <xdr:row>20</xdr:row>
      <xdr:rowOff>171450</xdr:rowOff>
    </xdr:from>
    <xdr:to>
      <xdr:col>6</xdr:col>
      <xdr:colOff>1104900</xdr:colOff>
      <xdr:row>35</xdr:row>
      <xdr:rowOff>180975</xdr:rowOff>
    </xdr:to>
    <xdr:graphicFrame macro="">
      <xdr:nvGraphicFramePr>
        <xdr:cNvPr id="11"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43</xdr:row>
      <xdr:rowOff>57150</xdr:rowOff>
    </xdr:from>
    <xdr:to>
      <xdr:col>1</xdr:col>
      <xdr:colOff>447675</xdr:colOff>
      <xdr:row>43</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209550</xdr:colOff>
      <xdr:row>21</xdr:row>
      <xdr:rowOff>0</xdr:rowOff>
    </xdr:from>
    <xdr:to>
      <xdr:col>4</xdr:col>
      <xdr:colOff>1428750</xdr:colOff>
      <xdr:row>38</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33424</xdr:colOff>
      <xdr:row>21</xdr:row>
      <xdr:rowOff>167640</xdr:rowOff>
    </xdr:from>
    <xdr:to>
      <xdr:col>7</xdr:col>
      <xdr:colOff>766849</xdr:colOff>
      <xdr:row>40</xdr:row>
      <xdr:rowOff>347</xdr:rowOff>
    </xdr:to>
    <xdr:graphicFrame macro="">
      <xdr:nvGraphicFramePr>
        <xdr:cNvPr id="3"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16625</xdr:colOff>
      <xdr:row>21</xdr:row>
      <xdr:rowOff>123825</xdr:rowOff>
    </xdr:from>
    <xdr:to>
      <xdr:col>8</xdr:col>
      <xdr:colOff>789708</xdr:colOff>
      <xdr:row>39</xdr:row>
      <xdr:rowOff>74814</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0.92501</cdr:y>
    </cdr:from>
    <cdr:to>
      <cdr:x>0.91023</cdr:x>
      <cdr:y>0.97821</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0" y="2822794"/>
          <a:ext cx="4799203" cy="16234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401779</xdr:colOff>
      <xdr:row>23</xdr:row>
      <xdr:rowOff>57267</xdr:rowOff>
    </xdr:from>
    <xdr:to>
      <xdr:col>17</xdr:col>
      <xdr:colOff>243839</xdr:colOff>
      <xdr:row>38</xdr:row>
      <xdr:rowOff>57265</xdr:rowOff>
    </xdr:to>
    <xdr:graphicFrame macro="">
      <xdr:nvGraphicFramePr>
        <xdr:cNvPr id="3" name="Gráfico 2">
          <a:extLst>
            <a:ext uri="{FF2B5EF4-FFF2-40B4-BE49-F238E27FC236}">
              <a16:creationId xmlns:a16="http://schemas.microsoft.com/office/drawing/2014/main" id="{2643B93A-0687-461F-B10F-6BE8AD3FC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423949</xdr:colOff>
      <xdr:row>16</xdr:row>
      <xdr:rowOff>95250</xdr:rowOff>
    </xdr:from>
    <xdr:to>
      <xdr:col>6</xdr:col>
      <xdr:colOff>0</xdr:colOff>
      <xdr:row>34</xdr:row>
      <xdr:rowOff>123825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0.00475</cdr:x>
      <cdr:y>0.90597</cdr:y>
    </cdr:from>
    <cdr:to>
      <cdr:x>0.79784</cdr:x>
      <cdr:y>0.9927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25394" y="2424838"/>
          <a:ext cx="4242932" cy="232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164003</xdr:colOff>
      <xdr:row>16</xdr:row>
      <xdr:rowOff>159327</xdr:rowOff>
    </xdr:from>
    <xdr:to>
      <xdr:col>7</xdr:col>
      <xdr:colOff>16625</xdr:colOff>
      <xdr:row>38</xdr:row>
      <xdr:rowOff>29787</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18</xdr:row>
      <xdr:rowOff>190500</xdr:rowOff>
    </xdr:from>
    <xdr:to>
      <xdr:col>6</xdr:col>
      <xdr:colOff>1038225</xdr:colOff>
      <xdr:row>34</xdr:row>
      <xdr:rowOff>184150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57150</xdr:colOff>
      <xdr:row>19</xdr:row>
      <xdr:rowOff>47625</xdr:rowOff>
    </xdr:from>
    <xdr:to>
      <xdr:col>8</xdr:col>
      <xdr:colOff>745009</xdr:colOff>
      <xdr:row>41</xdr:row>
      <xdr:rowOff>0</xdr:rowOff>
    </xdr:to>
    <xdr:graphicFrame macro="">
      <xdr:nvGraphicFramePr>
        <xdr:cNvPr id="2"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145472</xdr:colOff>
      <xdr:row>49</xdr:row>
      <xdr:rowOff>147031</xdr:rowOff>
    </xdr:from>
    <xdr:to>
      <xdr:col>6</xdr:col>
      <xdr:colOff>966355</xdr:colOff>
      <xdr:row>65</xdr:row>
      <xdr:rowOff>83127</xdr:rowOff>
    </xdr:to>
    <xdr:graphicFrame macro="">
      <xdr:nvGraphicFramePr>
        <xdr:cNvPr id="8"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41708</xdr:colOff>
      <xdr:row>1</xdr:row>
      <xdr:rowOff>1731</xdr:rowOff>
    </xdr:from>
    <xdr:to>
      <xdr:col>4</xdr:col>
      <xdr:colOff>1472045</xdr:colOff>
      <xdr:row>23</xdr:row>
      <xdr:rowOff>73024</xdr:rowOff>
    </xdr:to>
    <xdr:graphicFrame macro="">
      <xdr:nvGraphicFramePr>
        <xdr:cNvPr id="2" name="Gráfico 2">
          <a:extLst>
            <a:ext uri="{FF2B5EF4-FFF2-40B4-BE49-F238E27FC236}">
              <a16:creationId xmlns:a16="http://schemas.microsoft.com/office/drawing/2014/main" id="{E554FAAC-CF46-400A-9990-0A9561C70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447675</xdr:colOff>
      <xdr:row>40</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1</xdr:col>
      <xdr:colOff>66675</xdr:colOff>
      <xdr:row>19</xdr:row>
      <xdr:rowOff>95250</xdr:rowOff>
    </xdr:from>
    <xdr:to>
      <xdr:col>6</xdr:col>
      <xdr:colOff>1047750</xdr:colOff>
      <xdr:row>34</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175490</xdr:colOff>
      <xdr:row>18</xdr:row>
      <xdr:rowOff>190501</xdr:rowOff>
    </xdr:from>
    <xdr:to>
      <xdr:col>6</xdr:col>
      <xdr:colOff>785090</xdr:colOff>
      <xdr:row>38</xdr:row>
      <xdr:rowOff>83128</xdr:rowOff>
    </xdr:to>
    <xdr:graphicFrame macro="">
      <xdr:nvGraphicFramePr>
        <xdr:cNvPr id="2"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1.xml><?xml version="1.0" encoding="utf-8"?>
<xdr:wsDr xmlns:xdr="http://schemas.openxmlformats.org/drawingml/2006/spreadsheetDrawing" xmlns:a="http://schemas.openxmlformats.org/drawingml/2006/main">
  <xdr:twoCellAnchor>
    <xdr:from>
      <xdr:col>1</xdr:col>
      <xdr:colOff>41275</xdr:colOff>
      <xdr:row>22</xdr:row>
      <xdr:rowOff>92075</xdr:rowOff>
    </xdr:from>
    <xdr:to>
      <xdr:col>5</xdr:col>
      <xdr:colOff>31750</xdr:colOff>
      <xdr:row>47</xdr:row>
      <xdr:rowOff>127000</xdr:rowOff>
    </xdr:to>
    <xdr:graphicFrame macro="">
      <xdr:nvGraphicFramePr>
        <xdr:cNvPr id="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38100</xdr:colOff>
      <xdr:row>22</xdr:row>
      <xdr:rowOff>123825</xdr:rowOff>
    </xdr:from>
    <xdr:to>
      <xdr:col>6</xdr:col>
      <xdr:colOff>1114425</xdr:colOff>
      <xdr:row>38</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55.xml><?xml version="1.0" encoding="utf-8"?>
<xdr:wsDr xmlns:xdr="http://schemas.openxmlformats.org/drawingml/2006/spreadsheetDrawing" xmlns:a="http://schemas.openxmlformats.org/drawingml/2006/main">
  <xdr:twoCellAnchor>
    <xdr:from>
      <xdr:col>1</xdr:col>
      <xdr:colOff>0</xdr:colOff>
      <xdr:row>19</xdr:row>
      <xdr:rowOff>136813</xdr:rowOff>
    </xdr:from>
    <xdr:to>
      <xdr:col>9</xdr:col>
      <xdr:colOff>0</xdr:colOff>
      <xdr:row>38</xdr:row>
      <xdr:rowOff>16624</xdr:rowOff>
    </xdr:to>
    <xdr:graphicFrame macro="">
      <xdr:nvGraphicFramePr>
        <xdr:cNvPr id="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0.911</cdr:y>
    </cdr:from>
    <cdr:to>
      <cdr:x>0.94719</cdr:x>
      <cdr:y>0.98142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0" y="3260461"/>
          <a:ext cx="5044440" cy="2520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56862</xdr:colOff>
      <xdr:row>21</xdr:row>
      <xdr:rowOff>105642</xdr:rowOff>
    </xdr:from>
    <xdr:to>
      <xdr:col>22</xdr:col>
      <xdr:colOff>685586</xdr:colOff>
      <xdr:row>37</xdr:row>
      <xdr:rowOff>42142</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9525</xdr:colOff>
      <xdr:row>18</xdr:row>
      <xdr:rowOff>66675</xdr:rowOff>
    </xdr:from>
    <xdr:to>
      <xdr:col>9</xdr:col>
      <xdr:colOff>0</xdr:colOff>
      <xdr:row>34</xdr:row>
      <xdr:rowOff>57150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18</xdr:row>
      <xdr:rowOff>66675</xdr:rowOff>
    </xdr:from>
    <xdr:to>
      <xdr:col>9</xdr:col>
      <xdr:colOff>0</xdr:colOff>
      <xdr:row>34</xdr:row>
      <xdr:rowOff>57150</xdr:rowOff>
    </xdr:to>
    <xdr:graphicFrame macro="">
      <xdr:nvGraphicFramePr>
        <xdr:cNvPr id="3" name="Chart 1">
          <a:extLst>
            <a:ext uri="{FF2B5EF4-FFF2-40B4-BE49-F238E27FC236}">
              <a16:creationId xmlns:a16="http://schemas.microsoft.com/office/drawing/2014/main" id="{939DC653-6287-46FE-AC00-F21CDC71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42489</xdr:colOff>
      <xdr:row>20</xdr:row>
      <xdr:rowOff>34463</xdr:rowOff>
    </xdr:from>
    <xdr:to>
      <xdr:col>6</xdr:col>
      <xdr:colOff>972589</xdr:colOff>
      <xdr:row>39</xdr:row>
      <xdr:rowOff>78913</xdr:rowOff>
    </xdr:to>
    <xdr:graphicFrame macro="">
      <xdr:nvGraphicFramePr>
        <xdr:cNvPr id="1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0.02223</cdr:x>
      <cdr:y>0.88509</cdr:y>
    </cdr:from>
    <cdr:to>
      <cdr:x>0.81852</cdr:x>
      <cdr:y>1</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39521" y="3338481"/>
          <a:ext cx="4998293" cy="433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1.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0.02223</cdr:x>
      <cdr:y>0.88509</cdr:y>
    </cdr:from>
    <cdr:to>
      <cdr:x>0.81852</cdr:x>
      <cdr:y>1</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39521" y="3338481"/>
          <a:ext cx="4998293" cy="433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110835</xdr:colOff>
      <xdr:row>19</xdr:row>
      <xdr:rowOff>115802</xdr:rowOff>
    </xdr:from>
    <xdr:to>
      <xdr:col>6</xdr:col>
      <xdr:colOff>709353</xdr:colOff>
      <xdr:row>34</xdr:row>
      <xdr:rowOff>840508</xdr:rowOff>
    </xdr:to>
    <xdr:graphicFrame macro="">
      <xdr:nvGraphicFramePr>
        <xdr:cNvPr id="10" name="Chart 1">
          <a:extLst>
            <a:ext uri="{FF2B5EF4-FFF2-40B4-BE49-F238E27FC236}">
              <a16:creationId xmlns:a16="http://schemas.microsoft.com/office/drawing/2014/main" id="{7E0E28F2-9A87-4B71-B990-7CA0CD128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0" y="3565006"/>
          <a:ext cx="0" cy="5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0.00455</cdr:x>
      <cdr:y>0.86425</cdr:y>
    </cdr:from>
    <cdr:to>
      <cdr:x>0.98173</cdr:x>
      <cdr:y>0.97627</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22769" y="3218554"/>
          <a:ext cx="4890054" cy="4171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 al periodo</a:t>
          </a:r>
          <a:r>
            <a:rPr lang="es-ES" sz="900" i="0" baseline="0">
              <a:latin typeface="Arial" panose="020B0604020202020204" pitchFamily="34" charset="0"/>
              <a:cs typeface="Arial" panose="020B0604020202020204" pitchFamily="34" charset="0"/>
            </a:rPr>
            <a:t> enero - junio </a:t>
          </a:r>
          <a:r>
            <a:rPr lang="es-ES" sz="900" i="0">
              <a:latin typeface="Arial" panose="020B0604020202020204" pitchFamily="34" charset="0"/>
              <a:cs typeface="Arial" panose="020B0604020202020204" pitchFamily="34" charset="0"/>
            </a:rPr>
            <a:t>2024</a:t>
          </a:r>
        </a:p>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59170</xdr:colOff>
      <xdr:row>20</xdr:row>
      <xdr:rowOff>47914</xdr:rowOff>
    </xdr:from>
    <xdr:to>
      <xdr:col>9</xdr:col>
      <xdr:colOff>18473</xdr:colOff>
      <xdr:row>30</xdr:row>
      <xdr:rowOff>120073</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5.xml><?xml version="1.0" encoding="utf-8"?>
<c:userShapes xmlns:c="http://schemas.openxmlformats.org/drawingml/2006/chart">
  <cdr:relSizeAnchor xmlns:cdr="http://schemas.openxmlformats.org/drawingml/2006/chartDrawing">
    <cdr:from>
      <cdr:x>0</cdr:x>
      <cdr:y>0.93051</cdr:y>
    </cdr:from>
    <cdr:to>
      <cdr:x>0.84645</cdr:x>
      <cdr:y>0.99068</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0" y="2972376"/>
          <a:ext cx="4242064" cy="19217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0</xdr:colOff>
      <xdr:row>22</xdr:row>
      <xdr:rowOff>400050</xdr:rowOff>
    </xdr:from>
    <xdr:to>
      <xdr:col>1</xdr:col>
      <xdr:colOff>0</xdr:colOff>
      <xdr:row>43</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45</xdr:row>
      <xdr:rowOff>0</xdr:rowOff>
    </xdr:from>
    <xdr:to>
      <xdr:col>1</xdr:col>
      <xdr:colOff>0</xdr:colOff>
      <xdr:row>72</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267855</xdr:colOff>
      <xdr:row>50</xdr:row>
      <xdr:rowOff>47624</xdr:rowOff>
    </xdr:from>
    <xdr:to>
      <xdr:col>8</xdr:col>
      <xdr:colOff>692727</xdr:colOff>
      <xdr:row>68</xdr:row>
      <xdr:rowOff>33250</xdr:rowOff>
    </xdr:to>
    <xdr:graphicFrame macro="">
      <xdr:nvGraphicFramePr>
        <xdr:cNvPr id="8" name="Chart 4">
          <a:extLst>
            <a:ext uri="{FF2B5EF4-FFF2-40B4-BE49-F238E27FC236}">
              <a16:creationId xmlns:a16="http://schemas.microsoft.com/office/drawing/2014/main" id="{E0F15917-9E23-4DD7-8A68-1579F8E18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69.xml><?xml version="1.0" encoding="utf-8"?>
<xdr:wsDr xmlns:xdr="http://schemas.openxmlformats.org/drawingml/2006/spreadsheetDrawing" xmlns:a="http://schemas.openxmlformats.org/drawingml/2006/main">
  <xdr:twoCellAnchor>
    <xdr:from>
      <xdr:col>1</xdr:col>
      <xdr:colOff>267855</xdr:colOff>
      <xdr:row>50</xdr:row>
      <xdr:rowOff>47624</xdr:rowOff>
    </xdr:from>
    <xdr:to>
      <xdr:col>8</xdr:col>
      <xdr:colOff>692727</xdr:colOff>
      <xdr:row>68</xdr:row>
      <xdr:rowOff>33250</xdr:rowOff>
    </xdr:to>
    <xdr:graphicFrame macro="">
      <xdr:nvGraphicFramePr>
        <xdr:cNvPr id="2" name="Chart 4">
          <a:extLst>
            <a:ext uri="{FF2B5EF4-FFF2-40B4-BE49-F238E27FC236}">
              <a16:creationId xmlns:a16="http://schemas.microsoft.com/office/drawing/2014/main" id="{CB78B329-7F44-4178-811A-7715F1779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0</xdr:col>
      <xdr:colOff>186202</xdr:colOff>
      <xdr:row>1</xdr:row>
      <xdr:rowOff>100958</xdr:rowOff>
    </xdr:from>
    <xdr:to>
      <xdr:col>5</xdr:col>
      <xdr:colOff>153042</xdr:colOff>
      <xdr:row>25</xdr:row>
      <xdr:rowOff>145473</xdr:rowOff>
    </xdr:to>
    <xdr:graphicFrame macro="">
      <xdr:nvGraphicFramePr>
        <xdr:cNvPr id="8" name="Gráfico 1">
          <a:extLst>
            <a:ext uri="{FF2B5EF4-FFF2-40B4-BE49-F238E27FC236}">
              <a16:creationId xmlns:a16="http://schemas.microsoft.com/office/drawing/2014/main" id="{B2C31E4C-1051-4B10-86DC-223E36E75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163399</xdr:colOff>
      <xdr:row>24</xdr:row>
      <xdr:rowOff>43615</xdr:rowOff>
    </xdr:from>
    <xdr:to>
      <xdr:col>3</xdr:col>
      <xdr:colOff>830117</xdr:colOff>
      <xdr:row>26</xdr:row>
      <xdr:rowOff>117764</xdr:rowOff>
    </xdr:to>
    <xdr:sp macro="" textlink="">
      <xdr:nvSpPr>
        <xdr:cNvPr id="5" name="CuadroTexto 4">
          <a:extLst>
            <a:ext uri="{FF2B5EF4-FFF2-40B4-BE49-F238E27FC236}">
              <a16:creationId xmlns:a16="http://schemas.microsoft.com/office/drawing/2014/main" id="{5AD82060-A1D3-4EC8-BF58-05808422549E}"/>
            </a:ext>
          </a:extLst>
        </xdr:cNvPr>
        <xdr:cNvSpPr txBox="1"/>
      </xdr:nvSpPr>
      <xdr:spPr>
        <a:xfrm>
          <a:off x="163399" y="3784343"/>
          <a:ext cx="3648909" cy="385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6</xdr:col>
      <xdr:colOff>1056904</xdr:colOff>
      <xdr:row>30</xdr:row>
      <xdr:rowOff>59376</xdr:rowOff>
    </xdr:to>
    <xdr:graphicFrame macro="">
      <xdr:nvGraphicFramePr>
        <xdr:cNvPr id="3" name="Gráfico 2">
          <a:extLst>
            <a:ext uri="{FF2B5EF4-FFF2-40B4-BE49-F238E27FC236}">
              <a16:creationId xmlns:a16="http://schemas.microsoft.com/office/drawing/2014/main" id="{86885784-CB77-44DA-84A0-74343A312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0.01586</cdr:x>
      <cdr:y>0.94915</cdr:y>
    </cdr:from>
    <cdr:to>
      <cdr:x>0.70672</cdr:x>
      <cdr:y>0.99289</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95331" y="4357581"/>
          <a:ext cx="4152258" cy="200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0</xdr:col>
      <xdr:colOff>292924</xdr:colOff>
      <xdr:row>3</xdr:row>
      <xdr:rowOff>208315</xdr:rowOff>
    </xdr:from>
    <xdr:to>
      <xdr:col>6</xdr:col>
      <xdr:colOff>448788</xdr:colOff>
      <xdr:row>27</xdr:row>
      <xdr:rowOff>213755</xdr:rowOff>
    </xdr:to>
    <xdr:graphicFrame macro="">
      <xdr:nvGraphicFramePr>
        <xdr:cNvPr id="3" name="Gráfico 2" descr="Fuente: elaborado por Odepa.&#10;">
          <a:extLst>
            <a:ext uri="{FF2B5EF4-FFF2-40B4-BE49-F238E27FC236}">
              <a16:creationId xmlns:a16="http://schemas.microsoft.com/office/drawing/2014/main" id="{C0759723-00FC-4F71-A17C-EABEA9765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0.05284</cdr:x>
      <cdr:y>0.95618</cdr:y>
    </cdr:from>
    <cdr:to>
      <cdr:x>0.49983</cdr:x>
      <cdr:y>0.98466</cdr:y>
    </cdr:to>
    <cdr:sp macro="" textlink="">
      <cdr:nvSpPr>
        <cdr:cNvPr id="2" name="CuadroTexto 1">
          <a:extLst xmlns:a="http://schemas.openxmlformats.org/drawingml/2006/main">
            <a:ext uri="{FF2B5EF4-FFF2-40B4-BE49-F238E27FC236}">
              <a16:creationId xmlns:a16="http://schemas.microsoft.com/office/drawing/2014/main" id="{45D262EC-E88B-448B-AD62-08ECFFB78147}"/>
            </a:ext>
          </a:extLst>
        </cdr:cNvPr>
        <cdr:cNvSpPr txBox="1"/>
      </cdr:nvSpPr>
      <cdr:spPr>
        <a:xfrm xmlns:a="http://schemas.openxmlformats.org/drawingml/2006/main">
          <a:off x="418616" y="5183082"/>
          <a:ext cx="3541201" cy="1543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L" sz="900"/>
            <a:t>Fuente: elaborado por Odepa.</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28575</xdr:colOff>
      <xdr:row>21</xdr:row>
      <xdr:rowOff>47625</xdr:rowOff>
    </xdr:from>
    <xdr:to>
      <xdr:col>8</xdr:col>
      <xdr:colOff>0</xdr:colOff>
      <xdr:row>38</xdr:row>
      <xdr:rowOff>381000</xdr:rowOff>
    </xdr:to>
    <xdr:graphicFrame macro="">
      <xdr:nvGraphicFramePr>
        <xdr:cNvPr id="3"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Cereales_01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depa.sharepoint.com/sites/PoliticasAgrarias/Documentos%20compartidos/General/Cereales/2015%20EN%20ADELANTE/CEREALES/BOLETINES/Bolet&#237;n%20Cereales/2024/7.%20Julio/Bolet&#237;n%20cereales%20julio2024_de%20trabajo.xlsx" TargetMode="External"/><Relationship Id="rId1" Type="http://schemas.openxmlformats.org/officeDocument/2006/relationships/externalLinkPath" Target="/sites/PoliticasAgrarias/Documentos%20compartidos/General/Cereales/2015%20EN%20ADELANTE/CEREALES/BOLETINES/Bolet&#237;n%20Cereales/2024/7.%20Julio/Bolet&#237;n%20cereales%20julio2024_de%20trabaj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af%20hoja%20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Contenido Trigo"/>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A"/>
      <sheetName val="26B"/>
      <sheetName val="26C"/>
      <sheetName val="27"/>
      <sheetName val="Contenido Maíz"/>
      <sheetName val="28"/>
      <sheetName val="29"/>
      <sheetName val="30"/>
      <sheetName val="31"/>
      <sheetName val="32"/>
      <sheetName val="33"/>
      <sheetName val="34"/>
      <sheetName val="35"/>
      <sheetName val="36"/>
      <sheetName val="37"/>
      <sheetName val="38"/>
      <sheetName val="39"/>
      <sheetName val="40"/>
      <sheetName val="41"/>
      <sheetName val="42"/>
      <sheetName val="43"/>
      <sheetName val="Contenido Arroz"/>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s>
    <sheetDataSet>
      <sheetData sheetId="0"/>
      <sheetData sheetId="1"/>
      <sheetData sheetId="2"/>
      <sheetData sheetId="3"/>
      <sheetData sheetId="4"/>
      <sheetData sheetId="5"/>
      <sheetData sheetId="6">
        <row r="16">
          <cell r="D16">
            <v>1203.3089100000002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troducción"/>
      <sheetName val="Contenido Trigo"/>
      <sheetName val="4"/>
      <sheetName val="5"/>
      <sheetName val="6"/>
      <sheetName val="7"/>
      <sheetName val="8"/>
      <sheetName val="9"/>
      <sheetName val="10"/>
      <sheetName val="11"/>
      <sheetName val="12"/>
      <sheetName val="13"/>
      <sheetName val="14"/>
      <sheetName val="15"/>
      <sheetName val="16"/>
      <sheetName val="17"/>
      <sheetName val="18 "/>
      <sheetName val="19"/>
      <sheetName val="20"/>
      <sheetName val="21"/>
      <sheetName val="22"/>
      <sheetName val="23"/>
      <sheetName val="24"/>
      <sheetName val="25"/>
      <sheetName val="26A"/>
      <sheetName val="26B"/>
      <sheetName val="26C"/>
      <sheetName val="27"/>
      <sheetName val="Contenido Maíz"/>
      <sheetName val="28"/>
      <sheetName val="29"/>
      <sheetName val="30"/>
      <sheetName val="31"/>
      <sheetName val="32"/>
      <sheetName val="33"/>
      <sheetName val="34"/>
      <sheetName val="35"/>
      <sheetName val="36"/>
      <sheetName val="37"/>
      <sheetName val="38"/>
      <sheetName val="39"/>
      <sheetName val="40"/>
      <sheetName val="41"/>
      <sheetName val="42"/>
      <sheetName val="43"/>
      <sheetName val="Contenido Arroz"/>
      <sheetName val="44"/>
      <sheetName val="45"/>
      <sheetName val="46"/>
      <sheetName val="47"/>
      <sheetName val="48"/>
      <sheetName val="49"/>
      <sheetName val="50"/>
      <sheetName val="51"/>
      <sheetName val="52"/>
      <sheetName val="53"/>
      <sheetName val="54"/>
      <sheetName val="55"/>
      <sheetName val="56"/>
      <sheetName val="57A"/>
      <sheetName val="57B"/>
      <sheetName val="58"/>
      <sheetName val="59"/>
      <sheetName val="60"/>
      <sheetName val="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R1">
            <v>44531</v>
          </cell>
          <cell r="S1">
            <v>44621</v>
          </cell>
          <cell r="AT1">
            <v>45474</v>
          </cell>
          <cell r="AV1">
            <v>45536</v>
          </cell>
          <cell r="AY1">
            <v>45627</v>
          </cell>
          <cell r="AZ1">
            <v>45717</v>
          </cell>
        </row>
        <row r="2">
          <cell r="R2">
            <v>226.52676</v>
          </cell>
        </row>
        <row r="3">
          <cell r="R3">
            <v>225.70001999999999</v>
          </cell>
        </row>
        <row r="4">
          <cell r="R4">
            <v>241.04064</v>
          </cell>
        </row>
        <row r="5">
          <cell r="R5">
            <v>233.78369999999998</v>
          </cell>
        </row>
        <row r="6">
          <cell r="R6">
            <v>232.86509999999998</v>
          </cell>
        </row>
        <row r="7">
          <cell r="R7">
            <v>240.03018</v>
          </cell>
        </row>
        <row r="8">
          <cell r="R8">
            <v>240.58133999999998</v>
          </cell>
        </row>
        <row r="9">
          <cell r="R9">
            <v>243.98015999999998</v>
          </cell>
        </row>
        <row r="10">
          <cell r="R10">
            <v>235.62090000000001</v>
          </cell>
        </row>
        <row r="11">
          <cell r="R11">
            <v>235.25345999999999</v>
          </cell>
        </row>
        <row r="12">
          <cell r="R12">
            <v>229.65</v>
          </cell>
        </row>
        <row r="13">
          <cell r="R13">
            <v>219.82097999999999</v>
          </cell>
        </row>
        <row r="14">
          <cell r="R14">
            <v>217.24889999999999</v>
          </cell>
        </row>
        <row r="15">
          <cell r="R15">
            <v>215.59541999999999</v>
          </cell>
          <cell r="S15">
            <v>219.08609999999999</v>
          </cell>
        </row>
        <row r="16">
          <cell r="R16">
            <v>221.56631999999999</v>
          </cell>
          <cell r="S16">
            <v>225.05699999999999</v>
          </cell>
        </row>
        <row r="17">
          <cell r="R17">
            <v>232.95695999999998</v>
          </cell>
          <cell r="S17">
            <v>235.89648</v>
          </cell>
        </row>
        <row r="18">
          <cell r="R18">
            <v>264.28122000000002</v>
          </cell>
          <cell r="S18">
            <v>266.66958</v>
          </cell>
        </row>
        <row r="19">
          <cell r="R19">
            <v>257.39171999999996</v>
          </cell>
          <cell r="S19">
            <v>260.14751999999999</v>
          </cell>
        </row>
        <row r="20">
          <cell r="R20">
            <v>262.35215999999997</v>
          </cell>
          <cell r="S20">
            <v>264.64866000000001</v>
          </cell>
        </row>
        <row r="21">
          <cell r="R21">
            <v>244.07201999999998</v>
          </cell>
          <cell r="S21">
            <v>246.55223999999998</v>
          </cell>
        </row>
        <row r="22">
          <cell r="R22">
            <v>232.31394</v>
          </cell>
          <cell r="S22">
            <v>235.34531999999999</v>
          </cell>
        </row>
        <row r="23">
          <cell r="R23">
            <v>241.13249999999999</v>
          </cell>
          <cell r="S23">
            <v>244.62317999999999</v>
          </cell>
        </row>
        <row r="24">
          <cell r="R24">
            <v>238.3767</v>
          </cell>
          <cell r="S24">
            <v>242.05109999999999</v>
          </cell>
        </row>
        <row r="25">
          <cell r="R25">
            <v>236.90693999999999</v>
          </cell>
          <cell r="S25">
            <v>240.12204</v>
          </cell>
        </row>
        <row r="26">
          <cell r="R26">
            <v>227.81279999999998</v>
          </cell>
          <cell r="S26">
            <v>231.76277999999999</v>
          </cell>
        </row>
        <row r="27">
          <cell r="R27">
            <v>233.69183999999998</v>
          </cell>
          <cell r="S27">
            <v>236.99879999999999</v>
          </cell>
        </row>
        <row r="28">
          <cell r="R28">
            <v>218.81052</v>
          </cell>
          <cell r="S28">
            <v>222.66863999999998</v>
          </cell>
        </row>
        <row r="29">
          <cell r="R29">
            <v>229.92558</v>
          </cell>
          <cell r="S29">
            <v>233.3244</v>
          </cell>
        </row>
        <row r="30">
          <cell r="R30">
            <v>243.61272</v>
          </cell>
          <cell r="S30">
            <v>246.27665999999999</v>
          </cell>
        </row>
        <row r="31">
          <cell r="R31">
            <v>239.01972000000001</v>
          </cell>
          <cell r="S31">
            <v>241.68366</v>
          </cell>
        </row>
        <row r="32">
          <cell r="R32">
            <v>262.62774000000002</v>
          </cell>
          <cell r="S32">
            <v>265.38353999999998</v>
          </cell>
        </row>
        <row r="33">
          <cell r="R33">
            <v>262.16843999999998</v>
          </cell>
          <cell r="S33">
            <v>265.47539999999998</v>
          </cell>
        </row>
        <row r="34">
          <cell r="R34">
            <v>275.30441999999999</v>
          </cell>
          <cell r="S34">
            <v>278.42766</v>
          </cell>
        </row>
        <row r="35">
          <cell r="R35">
            <v>263.63819999999998</v>
          </cell>
          <cell r="S35">
            <v>267.12887999999998</v>
          </cell>
        </row>
        <row r="36">
          <cell r="R36">
            <v>261.80099999999999</v>
          </cell>
          <cell r="S36">
            <v>265.10795999999999</v>
          </cell>
        </row>
        <row r="37">
          <cell r="R37">
            <v>263.63819999999998</v>
          </cell>
          <cell r="S37">
            <v>266.94515999999999</v>
          </cell>
        </row>
        <row r="38">
          <cell r="R38">
            <v>252.1557</v>
          </cell>
          <cell r="S38">
            <v>255.3708</v>
          </cell>
        </row>
        <row r="39">
          <cell r="R39">
            <v>257.20799999999997</v>
          </cell>
          <cell r="S39">
            <v>260.51495999999997</v>
          </cell>
        </row>
        <row r="40">
          <cell r="R40">
            <v>264.83238</v>
          </cell>
          <cell r="S40">
            <v>267.68004000000002</v>
          </cell>
        </row>
        <row r="41">
          <cell r="R41">
            <v>277.14161999999999</v>
          </cell>
          <cell r="S41">
            <v>279.98928000000001</v>
          </cell>
        </row>
        <row r="42">
          <cell r="R42">
            <v>269.88468</v>
          </cell>
          <cell r="S42">
            <v>272.91606000000002</v>
          </cell>
        </row>
        <row r="43">
          <cell r="R43">
            <v>275.21256</v>
          </cell>
          <cell r="S43">
            <v>277.78463999999997</v>
          </cell>
        </row>
        <row r="44">
          <cell r="R44">
            <v>285.77645999999999</v>
          </cell>
          <cell r="S44">
            <v>286.78692000000001</v>
          </cell>
        </row>
        <row r="45">
          <cell r="R45">
            <v>296.34035999999998</v>
          </cell>
          <cell r="S45">
            <v>297.71825999999999</v>
          </cell>
        </row>
        <row r="46">
          <cell r="R46">
            <v>286.87878000000001</v>
          </cell>
          <cell r="S46">
            <v>288.44040000000001</v>
          </cell>
        </row>
        <row r="47">
          <cell r="R47">
            <v>307.17984000000001</v>
          </cell>
          <cell r="S47">
            <v>308.09843999999998</v>
          </cell>
        </row>
        <row r="48">
          <cell r="R48">
            <v>316.64141999999998</v>
          </cell>
          <cell r="S48">
            <v>318.38675999999998</v>
          </cell>
        </row>
        <row r="49">
          <cell r="R49">
            <v>313.79375999999996</v>
          </cell>
          <cell r="S49">
            <v>314.98793999999998</v>
          </cell>
        </row>
        <row r="50">
          <cell r="R50">
            <v>301.85195999999996</v>
          </cell>
          <cell r="S50">
            <v>302.21940000000001</v>
          </cell>
        </row>
        <row r="51">
          <cell r="S51">
            <v>298.54500000000002</v>
          </cell>
        </row>
        <row r="52">
          <cell r="S52">
            <v>298.82058000000001</v>
          </cell>
        </row>
        <row r="53">
          <cell r="S53">
            <v>311.22167999999999</v>
          </cell>
        </row>
        <row r="54">
          <cell r="S54">
            <v>290.82875999999999</v>
          </cell>
        </row>
        <row r="55">
          <cell r="S55">
            <v>285.96017999999998</v>
          </cell>
        </row>
        <row r="56">
          <cell r="S56">
            <v>283.93925999999999</v>
          </cell>
        </row>
        <row r="57">
          <cell r="S57">
            <v>300.56592000000001</v>
          </cell>
        </row>
        <row r="58">
          <cell r="S58">
            <v>287.0625</v>
          </cell>
        </row>
        <row r="59">
          <cell r="S59">
            <v>290.92061999999999</v>
          </cell>
        </row>
        <row r="60">
          <cell r="S60">
            <v>304.42403999999999</v>
          </cell>
        </row>
        <row r="61">
          <cell r="S61">
            <v>323.99021999999997</v>
          </cell>
        </row>
        <row r="62">
          <cell r="S62">
            <v>350.62961999999999</v>
          </cell>
        </row>
        <row r="125">
          <cell r="L125">
            <v>45131</v>
          </cell>
          <cell r="AJ125">
            <v>337.49</v>
          </cell>
          <cell r="AT125">
            <v>317.83999999999997</v>
          </cell>
          <cell r="AV125">
            <v>313.7</v>
          </cell>
        </row>
        <row r="126">
          <cell r="L126">
            <v>45138</v>
          </cell>
          <cell r="AJ126">
            <v>298.63686000000001</v>
          </cell>
          <cell r="AT126">
            <v>295.60548</v>
          </cell>
          <cell r="AV126">
            <v>294.22757999999999</v>
          </cell>
        </row>
        <row r="127">
          <cell r="L127">
            <v>45145</v>
          </cell>
          <cell r="AJ127">
            <v>282.83693999999997</v>
          </cell>
          <cell r="AT127">
            <v>285.68459999999999</v>
          </cell>
          <cell r="AV127">
            <v>285.68459999999999</v>
          </cell>
        </row>
        <row r="128">
          <cell r="L128">
            <v>45152</v>
          </cell>
          <cell r="AJ128">
            <v>275.76371999999998</v>
          </cell>
          <cell r="AT128">
            <v>276.31488000000002</v>
          </cell>
          <cell r="AV128">
            <v>277.41719999999998</v>
          </cell>
        </row>
        <row r="129">
          <cell r="L129">
            <v>45159</v>
          </cell>
          <cell r="AJ129">
            <v>272.27303999999998</v>
          </cell>
          <cell r="AT129">
            <v>272.18117999999998</v>
          </cell>
          <cell r="AV129">
            <v>273.37536</v>
          </cell>
        </row>
        <row r="130">
          <cell r="L130">
            <v>45173</v>
          </cell>
          <cell r="AJ130">
            <v>264.74052</v>
          </cell>
          <cell r="AT130">
            <v>263.82191999999998</v>
          </cell>
          <cell r="AV130">
            <v>265.93469999999996</v>
          </cell>
        </row>
        <row r="131">
          <cell r="L131">
            <v>45180</v>
          </cell>
          <cell r="AJ131">
            <v>263.82191999999998</v>
          </cell>
          <cell r="AT131">
            <v>262.26029999999997</v>
          </cell>
          <cell r="AV131">
            <v>264.18935999999997</v>
          </cell>
        </row>
        <row r="132">
          <cell r="L132">
            <v>45187</v>
          </cell>
          <cell r="AT132">
            <v>265.93469999999996</v>
          </cell>
          <cell r="AV132">
            <v>266.94515999999999</v>
          </cell>
          <cell r="AY132">
            <v>270.89513999999997</v>
          </cell>
        </row>
        <row r="133">
          <cell r="L133">
            <v>45194</v>
          </cell>
          <cell r="AT133">
            <v>262.53588000000002</v>
          </cell>
          <cell r="AV133">
            <v>264.00563999999997</v>
          </cell>
          <cell r="AY133">
            <v>267.86376000000001</v>
          </cell>
        </row>
        <row r="134">
          <cell r="L134">
            <v>45201</v>
          </cell>
          <cell r="AL134" t="str">
            <v xml:space="preserve"> </v>
          </cell>
          <cell r="AT134">
            <v>254.36033999999998</v>
          </cell>
          <cell r="AV134">
            <v>257.39171999999996</v>
          </cell>
          <cell r="AY134">
            <v>262.07657999999998</v>
          </cell>
        </row>
        <row r="135">
          <cell r="L135">
            <v>45208</v>
          </cell>
          <cell r="AT135">
            <v>258.76961999999997</v>
          </cell>
          <cell r="AV135">
            <v>261.89285999999998</v>
          </cell>
          <cell r="AY135">
            <v>266.48586</v>
          </cell>
        </row>
        <row r="136">
          <cell r="L136">
            <v>45215</v>
          </cell>
          <cell r="AT136">
            <v>252.61499999999998</v>
          </cell>
          <cell r="AV136">
            <v>256.2894</v>
          </cell>
          <cell r="AY136">
            <v>261.3417</v>
          </cell>
        </row>
        <row r="137">
          <cell r="L137">
            <v>45222</v>
          </cell>
          <cell r="AT137">
            <v>253.71732</v>
          </cell>
          <cell r="AV137">
            <v>256.56497999999999</v>
          </cell>
          <cell r="AY137">
            <v>261.15798000000001</v>
          </cell>
        </row>
        <row r="138">
          <cell r="L138">
            <v>45229</v>
          </cell>
          <cell r="AT138">
            <v>246.46037999999999</v>
          </cell>
          <cell r="AV138">
            <v>250.22664</v>
          </cell>
          <cell r="AY138">
            <v>255.00335999999999</v>
          </cell>
        </row>
        <row r="139">
          <cell r="L139">
            <v>45236</v>
          </cell>
          <cell r="AT139">
            <v>246.73596000000001</v>
          </cell>
          <cell r="AV139">
            <v>250.41036</v>
          </cell>
          <cell r="AY139">
            <v>254.81963999999999</v>
          </cell>
        </row>
        <row r="140">
          <cell r="L140">
            <v>45243</v>
          </cell>
          <cell r="AT140">
            <v>244.25574</v>
          </cell>
          <cell r="AV140">
            <v>248.02199999999999</v>
          </cell>
          <cell r="AY140">
            <v>252.79872</v>
          </cell>
        </row>
        <row r="141">
          <cell r="L141">
            <v>45257</v>
          </cell>
          <cell r="AT141">
            <v>224.23025999999999</v>
          </cell>
          <cell r="AV141">
            <v>228.91512</v>
          </cell>
          <cell r="AY141">
            <v>234.61043999999998</v>
          </cell>
        </row>
        <row r="142">
          <cell r="L142">
            <v>45264</v>
          </cell>
          <cell r="AT142">
            <v>244.53131999999999</v>
          </cell>
          <cell r="AV142">
            <v>248.57316</v>
          </cell>
          <cell r="AY142">
            <v>253.71732</v>
          </cell>
        </row>
        <row r="143">
          <cell r="L143">
            <v>45271</v>
          </cell>
          <cell r="AT143">
            <v>235.16159999999999</v>
          </cell>
          <cell r="AV143">
            <v>238.74413999999999</v>
          </cell>
          <cell r="AY143">
            <v>243.24527999999998</v>
          </cell>
        </row>
        <row r="144">
          <cell r="L144">
            <v>45278</v>
          </cell>
          <cell r="AT144">
            <v>234.33485999999999</v>
          </cell>
          <cell r="AV144">
            <v>238.28484</v>
          </cell>
          <cell r="AY144">
            <v>243.06155999999999</v>
          </cell>
          <cell r="AZ144">
            <v>245.44991999999999</v>
          </cell>
        </row>
        <row r="145">
          <cell r="L145">
            <v>45286</v>
          </cell>
          <cell r="AT145">
            <v>238.92785999999998</v>
          </cell>
          <cell r="AV145">
            <v>243.33714000000001</v>
          </cell>
          <cell r="AY145">
            <v>248.75688</v>
          </cell>
          <cell r="AZ145">
            <v>251.60453999999999</v>
          </cell>
        </row>
        <row r="146">
          <cell r="L146">
            <v>45293</v>
          </cell>
          <cell r="AT146">
            <v>233.14068</v>
          </cell>
          <cell r="AV146">
            <v>237.27437999999998</v>
          </cell>
          <cell r="AY146">
            <v>242.69412</v>
          </cell>
          <cell r="AZ146">
            <v>246.00108</v>
          </cell>
        </row>
        <row r="147">
          <cell r="L147">
            <v>45299</v>
          </cell>
          <cell r="AT147">
            <v>228.82326</v>
          </cell>
          <cell r="AV147">
            <v>233.14068</v>
          </cell>
          <cell r="AY147">
            <v>239.11158</v>
          </cell>
          <cell r="AZ147">
            <v>242.96969999999999</v>
          </cell>
        </row>
        <row r="148">
          <cell r="L148">
            <v>45306</v>
          </cell>
          <cell r="AT148">
            <v>229.00698</v>
          </cell>
          <cell r="AV148">
            <v>232.77323999999999</v>
          </cell>
          <cell r="AY148">
            <v>238.28484</v>
          </cell>
          <cell r="AZ148">
            <v>241.95923999999999</v>
          </cell>
        </row>
        <row r="149">
          <cell r="L149">
            <v>45317</v>
          </cell>
          <cell r="AT149">
            <v>229.00698</v>
          </cell>
          <cell r="AV149">
            <v>232.77323999999999</v>
          </cell>
          <cell r="AY149">
            <v>239.01972000000001</v>
          </cell>
          <cell r="AZ149">
            <v>243.24527999999998</v>
          </cell>
        </row>
        <row r="150">
          <cell r="L150">
            <v>45327</v>
          </cell>
          <cell r="AT150">
            <v>223.40351999999999</v>
          </cell>
          <cell r="AV150">
            <v>227.07792000000001</v>
          </cell>
          <cell r="AY150">
            <v>233.04882000000001</v>
          </cell>
          <cell r="AZ150">
            <v>237.64182</v>
          </cell>
        </row>
        <row r="151">
          <cell r="L151">
            <v>45334</v>
          </cell>
          <cell r="AT151">
            <v>216.42215999999999</v>
          </cell>
          <cell r="AV151">
            <v>220.64771999999999</v>
          </cell>
          <cell r="AY151">
            <v>226.71047999999999</v>
          </cell>
          <cell r="AZ151">
            <v>231.85463999999999</v>
          </cell>
        </row>
        <row r="152">
          <cell r="L152">
            <v>45341</v>
          </cell>
          <cell r="AT152">
            <v>204.02106000000001</v>
          </cell>
          <cell r="AV152">
            <v>207.69546</v>
          </cell>
          <cell r="AY152">
            <v>214.03379999999999</v>
          </cell>
          <cell r="AZ152">
            <v>219.45354</v>
          </cell>
        </row>
        <row r="153">
          <cell r="L153">
            <v>45348</v>
          </cell>
          <cell r="AT153">
            <v>208.15475999999998</v>
          </cell>
          <cell r="AV153">
            <v>211.64544000000001</v>
          </cell>
          <cell r="AY153">
            <v>218.07563999999999</v>
          </cell>
          <cell r="AZ153">
            <v>223.40351999999999</v>
          </cell>
        </row>
        <row r="154">
          <cell r="L154">
            <v>45355</v>
          </cell>
          <cell r="AT154">
            <v>208.33848</v>
          </cell>
          <cell r="AV154">
            <v>211.27799999999999</v>
          </cell>
          <cell r="AY154">
            <v>217.43261999999999</v>
          </cell>
          <cell r="AZ154">
            <v>222.76049999999998</v>
          </cell>
        </row>
        <row r="155">
          <cell r="L155">
            <v>45358</v>
          </cell>
          <cell r="AT155">
            <v>206.13383999999999</v>
          </cell>
          <cell r="AV155">
            <v>208.61405999999999</v>
          </cell>
          <cell r="AY155">
            <v>214.67681999999999</v>
          </cell>
          <cell r="AZ155">
            <v>220.18841999999998</v>
          </cell>
        </row>
        <row r="156">
          <cell r="L156">
            <v>45362</v>
          </cell>
          <cell r="AT156">
            <v>215.96286000000001</v>
          </cell>
          <cell r="AV156">
            <v>218.6268</v>
          </cell>
          <cell r="AY156">
            <v>224.50584000000001</v>
          </cell>
          <cell r="AZ156">
            <v>229.55813999999998</v>
          </cell>
        </row>
        <row r="157">
          <cell r="L157">
            <v>45371</v>
          </cell>
          <cell r="AT157">
            <v>210.81870000000001</v>
          </cell>
          <cell r="AV157">
            <v>214.58496</v>
          </cell>
          <cell r="AY157">
            <v>221.10702000000001</v>
          </cell>
          <cell r="AZ157">
            <v>226.80233999999999</v>
          </cell>
        </row>
        <row r="158">
          <cell r="L158">
            <v>45383</v>
          </cell>
          <cell r="AT158">
            <v>209.80823999999998</v>
          </cell>
          <cell r="AV158">
            <v>214.40124</v>
          </cell>
          <cell r="AY158">
            <v>221.47445999999999</v>
          </cell>
          <cell r="AZ158">
            <v>227.53721999999999</v>
          </cell>
        </row>
        <row r="159">
          <cell r="L159">
            <v>45390</v>
          </cell>
          <cell r="AT159">
            <v>214.76867999999999</v>
          </cell>
          <cell r="AV159">
            <v>219.26981999999998</v>
          </cell>
          <cell r="AY159">
            <v>226.71047999999999</v>
          </cell>
          <cell r="AZ159">
            <v>233.14068</v>
          </cell>
        </row>
        <row r="160">
          <cell r="L160">
            <v>45398</v>
          </cell>
          <cell r="AT160">
            <v>214.21752000000001</v>
          </cell>
          <cell r="AV160">
            <v>218.16749999999999</v>
          </cell>
          <cell r="AY160">
            <v>225.05699999999999</v>
          </cell>
          <cell r="AZ160">
            <v>230.75232</v>
          </cell>
        </row>
        <row r="161">
          <cell r="L161">
            <v>45404</v>
          </cell>
          <cell r="AT161">
            <v>221.3826</v>
          </cell>
          <cell r="AV161">
            <v>225.70001999999999</v>
          </cell>
          <cell r="AY161">
            <v>232.4058</v>
          </cell>
          <cell r="AZ161">
            <v>238.10111999999998</v>
          </cell>
        </row>
        <row r="162">
          <cell r="L162">
            <v>45407</v>
          </cell>
          <cell r="AT162">
            <v>235.34531999999999</v>
          </cell>
          <cell r="AV162">
            <v>239.75459999999998</v>
          </cell>
          <cell r="AY162">
            <v>246.46037999999999</v>
          </cell>
          <cell r="AZ162">
            <v>251.78825999999998</v>
          </cell>
        </row>
        <row r="163">
          <cell r="L163">
            <v>45411</v>
          </cell>
          <cell r="AT163">
            <v>239.01972000000001</v>
          </cell>
          <cell r="AY163">
            <v>250.41036</v>
          </cell>
          <cell r="AZ163">
            <v>255.3708</v>
          </cell>
        </row>
        <row r="164">
          <cell r="L164">
            <v>45418</v>
          </cell>
          <cell r="AT164">
            <v>248.11385999999999</v>
          </cell>
          <cell r="AY164">
            <v>259.41264000000001</v>
          </cell>
          <cell r="AZ164">
            <v>265.01609999999999</v>
          </cell>
        </row>
        <row r="165">
          <cell r="L165">
            <v>45425</v>
          </cell>
          <cell r="AT165">
            <v>257.20799999999997</v>
          </cell>
          <cell r="AY165">
            <v>269.05793999999997</v>
          </cell>
          <cell r="AZ165">
            <v>274.75326000000001</v>
          </cell>
        </row>
        <row r="166">
          <cell r="L166">
            <v>45436</v>
          </cell>
          <cell r="AT166">
            <v>265.01609999999999</v>
          </cell>
          <cell r="AY166">
            <v>276.77418</v>
          </cell>
          <cell r="AZ166">
            <v>281.64276000000001</v>
          </cell>
        </row>
        <row r="167">
          <cell r="L167">
            <v>45443</v>
          </cell>
          <cell r="AT167">
            <v>260.42309999999998</v>
          </cell>
          <cell r="AY167">
            <v>272.54861999999997</v>
          </cell>
          <cell r="AZ167">
            <v>277.32533999999998</v>
          </cell>
        </row>
        <row r="168">
          <cell r="L168">
            <v>45450</v>
          </cell>
          <cell r="AT168">
            <v>244.62317999999999</v>
          </cell>
          <cell r="AY168">
            <v>257.02427999999998</v>
          </cell>
          <cell r="AZ168">
            <v>262.26029999999997</v>
          </cell>
        </row>
        <row r="169">
          <cell r="L169">
            <v>45457</v>
          </cell>
          <cell r="AT169">
            <v>230.5686</v>
          </cell>
          <cell r="AY169">
            <v>240.58133999999998</v>
          </cell>
          <cell r="AZ169">
            <v>245.35805999999999</v>
          </cell>
        </row>
        <row r="170">
          <cell r="L170">
            <v>45463</v>
          </cell>
          <cell r="AT170">
            <v>217.52447999999998</v>
          </cell>
          <cell r="AY170">
            <v>225.97559999999999</v>
          </cell>
          <cell r="AZ170">
            <v>231.11975999999999</v>
          </cell>
        </row>
        <row r="171">
          <cell r="L171">
            <v>45467</v>
          </cell>
          <cell r="AT171">
            <v>213.66636</v>
          </cell>
          <cell r="AY171">
            <v>221.01515999999998</v>
          </cell>
          <cell r="AZ171">
            <v>225.70001999999999</v>
          </cell>
        </row>
        <row r="172">
          <cell r="L172">
            <v>45474</v>
          </cell>
          <cell r="AT172">
            <v>221.47445999999999</v>
          </cell>
          <cell r="AY172">
            <v>226.06745999999998</v>
          </cell>
          <cell r="AZ172">
            <v>230.75232</v>
          </cell>
        </row>
        <row r="173">
          <cell r="L173">
            <v>45481</v>
          </cell>
          <cell r="AT173">
            <v>210.72683999999998</v>
          </cell>
          <cell r="AY173">
            <v>218.90237999999999</v>
          </cell>
          <cell r="AZ173">
            <v>224.13839999999999</v>
          </cell>
        </row>
        <row r="174">
          <cell r="L174">
            <v>45488</v>
          </cell>
          <cell r="AY174">
            <v>210.26754</v>
          </cell>
          <cell r="AZ174">
            <v>215.68727999999999</v>
          </cell>
        </row>
        <row r="175">
          <cell r="L175">
            <v>45495</v>
          </cell>
          <cell r="AY175">
            <v>216.05472</v>
          </cell>
          <cell r="AZ175">
            <v>221.01515999999998</v>
          </cell>
        </row>
        <row r="176">
          <cell r="L176">
            <v>45502</v>
          </cell>
          <cell r="AY176">
            <v>209.16522000000001</v>
          </cell>
          <cell r="AZ176">
            <v>214.12565999999998</v>
          </cell>
        </row>
        <row r="177">
          <cell r="L177">
            <v>45509</v>
          </cell>
          <cell r="AY177">
            <v>211.92102</v>
          </cell>
          <cell r="AZ177">
            <v>217.15703999999999</v>
          </cell>
        </row>
        <row r="178">
          <cell r="L178">
            <v>45516</v>
          </cell>
          <cell r="AY178">
            <v>207.05243999999999</v>
          </cell>
          <cell r="AZ178">
            <v>211.82916</v>
          </cell>
        </row>
        <row r="179">
          <cell r="L179">
            <v>45523</v>
          </cell>
          <cell r="AY179">
            <v>204.48035999999999</v>
          </cell>
          <cell r="AZ179">
            <v>209.07335999999998</v>
          </cell>
        </row>
        <row r="180">
          <cell r="L180">
            <v>45530</v>
          </cell>
          <cell r="AY180">
            <v>197.40714</v>
          </cell>
          <cell r="AZ180">
            <v>201.90827999999999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
          <cell r="AL1">
            <v>45413</v>
          </cell>
          <cell r="AN1">
            <v>45474</v>
          </cell>
          <cell r="AP1">
            <v>45536</v>
          </cell>
          <cell r="AT1">
            <v>45717</v>
          </cell>
          <cell r="AU1">
            <v>45778</v>
          </cell>
        </row>
        <row r="122">
          <cell r="G122">
            <v>45131</v>
          </cell>
          <cell r="AL122">
            <v>229.61385999999999</v>
          </cell>
          <cell r="AN122">
            <v>229.71227999999999</v>
          </cell>
          <cell r="AP122">
            <v>217.40977999999998</v>
          </cell>
        </row>
        <row r="123">
          <cell r="G123">
            <v>45138</v>
          </cell>
          <cell r="AL123">
            <v>209.43776</v>
          </cell>
          <cell r="AN123">
            <v>210.61879999999999</v>
          </cell>
          <cell r="AP123">
            <v>204.61517999999998</v>
          </cell>
        </row>
        <row r="124">
          <cell r="G124">
            <v>45145</v>
          </cell>
          <cell r="AL124">
            <v>203.7294</v>
          </cell>
          <cell r="AN124">
            <v>205.50095999999999</v>
          </cell>
          <cell r="AP124">
            <v>202.54835999999997</v>
          </cell>
        </row>
        <row r="125">
          <cell r="G125">
            <v>45152</v>
          </cell>
          <cell r="AL125">
            <v>200.77679999999998</v>
          </cell>
          <cell r="AN125">
            <v>202.74519999999998</v>
          </cell>
          <cell r="AP125">
            <v>200.28469999999999</v>
          </cell>
        </row>
        <row r="126">
          <cell r="G126">
            <v>45159</v>
          </cell>
          <cell r="AL126">
            <v>198.61156</v>
          </cell>
          <cell r="AN126">
            <v>200.18627999999998</v>
          </cell>
          <cell r="AP126">
            <v>198.21787999999998</v>
          </cell>
        </row>
        <row r="127">
          <cell r="G127">
            <v>45166</v>
          </cell>
          <cell r="AL127">
            <v>204.41834</v>
          </cell>
          <cell r="AN127">
            <v>205.69779999999997</v>
          </cell>
          <cell r="AP127">
            <v>202.35151999999999</v>
          </cell>
        </row>
        <row r="128">
          <cell r="G128">
            <v>45173</v>
          </cell>
          <cell r="AL128">
            <v>198.80839999999998</v>
          </cell>
          <cell r="AN128">
            <v>200.28469999999999</v>
          </cell>
          <cell r="AP128">
            <v>198.90681999999998</v>
          </cell>
        </row>
        <row r="129">
          <cell r="G129">
            <v>45180</v>
          </cell>
          <cell r="AL129">
            <v>200.28469999999999</v>
          </cell>
          <cell r="AN129">
            <v>201.85942</v>
          </cell>
          <cell r="AP129">
            <v>200.28469999999999</v>
          </cell>
        </row>
        <row r="130">
          <cell r="G130">
            <v>45187</v>
          </cell>
          <cell r="AL130">
            <v>194.67475999999999</v>
          </cell>
          <cell r="AN130">
            <v>196.44631999999999</v>
          </cell>
          <cell r="AP130">
            <v>196.44631999999999</v>
          </cell>
        </row>
        <row r="131">
          <cell r="G131">
            <v>45194</v>
          </cell>
          <cell r="AL131">
            <v>198.51313999999999</v>
          </cell>
          <cell r="AN131">
            <v>200.18627999999998</v>
          </cell>
          <cell r="AP131">
            <v>199.20208</v>
          </cell>
        </row>
        <row r="132">
          <cell r="G132">
            <v>45201</v>
          </cell>
          <cell r="AL132">
            <v>201.66257999999999</v>
          </cell>
          <cell r="AN132">
            <v>203.63097999999999</v>
          </cell>
          <cell r="AP132">
            <v>202.35151999999999</v>
          </cell>
        </row>
        <row r="133">
          <cell r="G133">
            <v>45208</v>
          </cell>
          <cell r="AL133">
            <v>201.56415999999999</v>
          </cell>
          <cell r="AN133">
            <v>203.53255999999999</v>
          </cell>
          <cell r="AP133">
            <v>201.95783999999998</v>
          </cell>
        </row>
        <row r="134">
          <cell r="G134">
            <v>45215</v>
          </cell>
          <cell r="AL134">
            <v>201.85942</v>
          </cell>
          <cell r="AN134">
            <v>204.02465999999998</v>
          </cell>
          <cell r="AP134">
            <v>202.44994</v>
          </cell>
        </row>
        <row r="135">
          <cell r="G135">
            <v>45222</v>
          </cell>
          <cell r="AL135">
            <v>201.56415999999999</v>
          </cell>
          <cell r="AN135">
            <v>203.63097999999999</v>
          </cell>
          <cell r="AP135">
            <v>202.54835999999997</v>
          </cell>
        </row>
        <row r="136">
          <cell r="G136">
            <v>45229</v>
          </cell>
          <cell r="AL136">
            <v>197.23367999999999</v>
          </cell>
          <cell r="AN136">
            <v>199.79259999999999</v>
          </cell>
          <cell r="AP136">
            <v>199.69417999999999</v>
          </cell>
        </row>
        <row r="137">
          <cell r="G137">
            <v>45236</v>
          </cell>
          <cell r="AL137">
            <v>197.62735999999998</v>
          </cell>
          <cell r="AN137">
            <v>200.87521999999998</v>
          </cell>
          <cell r="AP137">
            <v>201.85942</v>
          </cell>
        </row>
        <row r="138">
          <cell r="G138">
            <v>45243</v>
          </cell>
          <cell r="AL138">
            <v>197.62735999999998</v>
          </cell>
          <cell r="AN138">
            <v>201.07205999999999</v>
          </cell>
          <cell r="AP138">
            <v>201.46573999999998</v>
          </cell>
        </row>
        <row r="139">
          <cell r="G139">
            <v>45257</v>
          </cell>
          <cell r="AL139">
            <v>191.62374</v>
          </cell>
          <cell r="AN139">
            <v>195.26527999999999</v>
          </cell>
          <cell r="AP139">
            <v>196.15106</v>
          </cell>
        </row>
        <row r="140">
          <cell r="G140">
            <v>45264</v>
          </cell>
          <cell r="AL140">
            <v>195.65895999999998</v>
          </cell>
          <cell r="AN140">
            <v>199.10365999999999</v>
          </cell>
          <cell r="AP140">
            <v>199.79259999999999</v>
          </cell>
        </row>
        <row r="141">
          <cell r="G141">
            <v>45271</v>
          </cell>
          <cell r="AL141">
            <v>194.47791999999998</v>
          </cell>
          <cell r="AN141">
            <v>198.21787999999998</v>
          </cell>
          <cell r="AP141">
            <v>198.70997999999997</v>
          </cell>
        </row>
        <row r="142">
          <cell r="G142">
            <v>45278</v>
          </cell>
          <cell r="AL142">
            <v>192.70635999999999</v>
          </cell>
          <cell r="AN142">
            <v>196.64315999999999</v>
          </cell>
          <cell r="AP142">
            <v>197.43052</v>
          </cell>
          <cell r="AT142">
            <v>204.02465999999998</v>
          </cell>
        </row>
        <row r="143">
          <cell r="G143">
            <v>45286</v>
          </cell>
          <cell r="AL143">
            <v>193.78897999999998</v>
          </cell>
          <cell r="AN143">
            <v>197.43052</v>
          </cell>
          <cell r="AP143">
            <v>198.21787999999998</v>
          </cell>
          <cell r="AT143">
            <v>204.81201999999999</v>
          </cell>
        </row>
        <row r="144">
          <cell r="G144">
            <v>45293</v>
          </cell>
          <cell r="AL144">
            <v>187.78536</v>
          </cell>
          <cell r="AN144">
            <v>192.01741999999999</v>
          </cell>
          <cell r="AP144">
            <v>193.49372</v>
          </cell>
          <cell r="AT144">
            <v>200.48154</v>
          </cell>
        </row>
        <row r="145">
          <cell r="G145">
            <v>45299</v>
          </cell>
          <cell r="AL145">
            <v>184.0454</v>
          </cell>
          <cell r="AN145">
            <v>188.17903999999999</v>
          </cell>
          <cell r="AP145">
            <v>189.75376</v>
          </cell>
          <cell r="AT145">
            <v>196.83999999999997</v>
          </cell>
        </row>
        <row r="146">
          <cell r="G146">
            <v>45306</v>
          </cell>
          <cell r="AL146">
            <v>180.69911999999999</v>
          </cell>
          <cell r="AN146">
            <v>184.34065999999999</v>
          </cell>
          <cell r="AP146">
            <v>186.70273999999998</v>
          </cell>
          <cell r="AT146">
            <v>193.98581999999999</v>
          </cell>
        </row>
        <row r="147">
          <cell r="G147">
            <v>45317</v>
          </cell>
          <cell r="AL147">
            <v>179.41965999999999</v>
          </cell>
          <cell r="AN147">
            <v>182.47067999999999</v>
          </cell>
          <cell r="AP147">
            <v>184.43907999999999</v>
          </cell>
          <cell r="AT147">
            <v>191.91899999999998</v>
          </cell>
        </row>
        <row r="148">
          <cell r="G148">
            <v>45327</v>
          </cell>
          <cell r="AL148">
            <v>178.43545999999998</v>
          </cell>
          <cell r="AN148">
            <v>181.88015999999999</v>
          </cell>
          <cell r="AP148">
            <v>184.43907999999999</v>
          </cell>
          <cell r="AT148">
            <v>192.31268</v>
          </cell>
        </row>
        <row r="149">
          <cell r="G149">
            <v>45334</v>
          </cell>
          <cell r="AL149">
            <v>174.20339999999999</v>
          </cell>
          <cell r="AN149">
            <v>178.04177999999999</v>
          </cell>
          <cell r="AP149">
            <v>180.60069999999999</v>
          </cell>
          <cell r="AT149">
            <v>189.26165999999998</v>
          </cell>
        </row>
        <row r="150">
          <cell r="G150">
            <v>45341</v>
          </cell>
          <cell r="AL150">
            <v>169.08555999999999</v>
          </cell>
          <cell r="AN150">
            <v>173.31761999999998</v>
          </cell>
          <cell r="AP150">
            <v>175.97495999999998</v>
          </cell>
          <cell r="AT150">
            <v>185.22644</v>
          </cell>
        </row>
        <row r="151">
          <cell r="G151">
            <v>45348</v>
          </cell>
          <cell r="AL151">
            <v>165.93611999999999</v>
          </cell>
          <cell r="AN151">
            <v>170.75869999999998</v>
          </cell>
          <cell r="AP151">
            <v>174.49866</v>
          </cell>
          <cell r="AT151">
            <v>185.12801999999999</v>
          </cell>
          <cell r="AU151">
            <v>187.68693999999999</v>
          </cell>
        </row>
        <row r="152">
          <cell r="G152">
            <v>45355</v>
          </cell>
          <cell r="AL152">
            <v>169.2824</v>
          </cell>
          <cell r="AN152">
            <v>173.71129999999999</v>
          </cell>
          <cell r="AP152">
            <v>177.25441999999998</v>
          </cell>
          <cell r="AT152">
            <v>187.58851999999999</v>
          </cell>
          <cell r="AU152">
            <v>190.24585999999999</v>
          </cell>
        </row>
        <row r="153">
          <cell r="G153">
            <v>45358</v>
          </cell>
          <cell r="AL153">
            <v>172.43183999999999</v>
          </cell>
          <cell r="AN153">
            <v>176.95916</v>
          </cell>
          <cell r="AP153">
            <v>179.71491999999998</v>
          </cell>
          <cell r="AT153">
            <v>189.55691999999999</v>
          </cell>
          <cell r="AU153">
            <v>188.86797999999999</v>
          </cell>
        </row>
        <row r="154">
          <cell r="G154">
            <v>45362</v>
          </cell>
          <cell r="AL154">
            <v>173.90813999999997</v>
          </cell>
          <cell r="AN154">
            <v>178.63229999999999</v>
          </cell>
          <cell r="AT154">
            <v>191.03322</v>
          </cell>
          <cell r="AU154">
            <v>188.86797999999999</v>
          </cell>
        </row>
        <row r="155">
          <cell r="G155">
            <v>45371</v>
          </cell>
          <cell r="AL155">
            <v>172.82551999999998</v>
          </cell>
          <cell r="AN155">
            <v>178.04177999999999</v>
          </cell>
          <cell r="AT155">
            <v>192.41109999999998</v>
          </cell>
          <cell r="AU155">
            <v>195.16685999999999</v>
          </cell>
        </row>
        <row r="156">
          <cell r="G156">
            <v>45383</v>
          </cell>
          <cell r="AL156">
            <v>171.44763999999998</v>
          </cell>
          <cell r="AN156">
            <v>176.86073999999999</v>
          </cell>
          <cell r="AT156">
            <v>191.82057999999998</v>
          </cell>
          <cell r="AU156">
            <v>194.18266</v>
          </cell>
        </row>
        <row r="157">
          <cell r="G157">
            <v>45390</v>
          </cell>
          <cell r="AL157">
            <v>171.44763999999998</v>
          </cell>
          <cell r="AN157">
            <v>176.17179999999999</v>
          </cell>
          <cell r="AT157">
            <v>191.32847999999998</v>
          </cell>
          <cell r="AU157">
            <v>194.18266</v>
          </cell>
        </row>
        <row r="158">
          <cell r="G158">
            <v>45398</v>
          </cell>
          <cell r="AL158">
            <v>169.67607999999998</v>
          </cell>
          <cell r="AN158">
            <v>174.30181999999999</v>
          </cell>
          <cell r="AT158">
            <v>189.06482</v>
          </cell>
          <cell r="AU158">
            <v>192.01741999999999</v>
          </cell>
        </row>
        <row r="159">
          <cell r="G159">
            <v>45404</v>
          </cell>
          <cell r="AL159">
            <v>173.12078</v>
          </cell>
          <cell r="AN159">
            <v>177.05758</v>
          </cell>
          <cell r="AT159">
            <v>191.03322</v>
          </cell>
          <cell r="AU159">
            <v>193.98581999999999</v>
          </cell>
        </row>
        <row r="160">
          <cell r="G160">
            <v>45407</v>
          </cell>
          <cell r="AL160">
            <v>173.61287999999999</v>
          </cell>
          <cell r="AN160">
            <v>177.94335999999998</v>
          </cell>
          <cell r="AT160">
            <v>192.70635999999999</v>
          </cell>
          <cell r="AU160">
            <v>196.34789999999998</v>
          </cell>
        </row>
        <row r="161">
          <cell r="G161">
            <v>45411</v>
          </cell>
          <cell r="AN161">
            <v>176.86073999999999</v>
          </cell>
          <cell r="AT161">
            <v>191.42689999999999</v>
          </cell>
          <cell r="AU161">
            <v>194.8716</v>
          </cell>
        </row>
        <row r="162">
          <cell r="G162">
            <v>45418</v>
          </cell>
          <cell r="AN162">
            <v>184.63592</v>
          </cell>
          <cell r="AT162">
            <v>196.83999999999997</v>
          </cell>
          <cell r="AU162">
            <v>199.79259999999999</v>
          </cell>
        </row>
        <row r="163">
          <cell r="G163">
            <v>45425</v>
          </cell>
          <cell r="AN163">
            <v>186.01379999999997</v>
          </cell>
          <cell r="AT163">
            <v>198.51313999999999</v>
          </cell>
          <cell r="AU163">
            <v>201.36731999999998</v>
          </cell>
        </row>
        <row r="164">
          <cell r="G164">
            <v>45436</v>
          </cell>
          <cell r="AN164">
            <v>182.96277999999998</v>
          </cell>
          <cell r="AT164">
            <v>196.93841999999998</v>
          </cell>
          <cell r="AU164">
            <v>199.59575999999998</v>
          </cell>
        </row>
        <row r="165">
          <cell r="G165">
            <v>45443</v>
          </cell>
          <cell r="AN165">
            <v>175.6797</v>
          </cell>
          <cell r="AT165">
            <v>188.76955999999998</v>
          </cell>
          <cell r="AU165">
            <v>191.72215999999997</v>
          </cell>
        </row>
        <row r="166">
          <cell r="G166">
            <v>45450</v>
          </cell>
          <cell r="AN166">
            <v>176.66389999999998</v>
          </cell>
          <cell r="AT166">
            <v>188.76955999999998</v>
          </cell>
          <cell r="AU166">
            <v>191.82057999999998</v>
          </cell>
        </row>
        <row r="167">
          <cell r="G167">
            <v>45457</v>
          </cell>
          <cell r="AN167">
            <v>177.15599999999998</v>
          </cell>
          <cell r="AT167">
            <v>189.45849999999999</v>
          </cell>
          <cell r="AU167">
            <v>192.21426</v>
          </cell>
        </row>
        <row r="168">
          <cell r="G168">
            <v>45463</v>
          </cell>
          <cell r="AN168">
            <v>173.12078</v>
          </cell>
          <cell r="AT168">
            <v>184.0454</v>
          </cell>
          <cell r="AU168">
            <v>186.99799999999999</v>
          </cell>
        </row>
        <row r="169">
          <cell r="G169">
            <v>45467</v>
          </cell>
          <cell r="AN169">
            <v>170.66028</v>
          </cell>
          <cell r="AT169">
            <v>182.37225999999998</v>
          </cell>
          <cell r="AU169">
            <v>185.52169999999998</v>
          </cell>
        </row>
        <row r="170">
          <cell r="G170">
            <v>45474</v>
          </cell>
          <cell r="AN170">
            <v>156.78305999999998</v>
          </cell>
          <cell r="AT170">
            <v>171.15237999999999</v>
          </cell>
          <cell r="AU170">
            <v>174.99075999999999</v>
          </cell>
        </row>
        <row r="171">
          <cell r="G171">
            <v>45481</v>
          </cell>
          <cell r="AN171">
            <v>155.79885999999999</v>
          </cell>
          <cell r="AT171">
            <v>166.32979999999998</v>
          </cell>
          <cell r="AU171">
            <v>170.66028</v>
          </cell>
        </row>
        <row r="172">
          <cell r="G172">
            <v>45488</v>
          </cell>
          <cell r="AT172">
            <v>164.45981999999998</v>
          </cell>
          <cell r="AU172">
            <v>168.39661999999998</v>
          </cell>
        </row>
        <row r="173">
          <cell r="G173">
            <v>45495</v>
          </cell>
          <cell r="AT173">
            <v>168.98713999999998</v>
          </cell>
          <cell r="AU173">
            <v>173.02235999999999</v>
          </cell>
        </row>
        <row r="174">
          <cell r="G174">
            <v>45502</v>
          </cell>
          <cell r="AT174">
            <v>168.10136</v>
          </cell>
          <cell r="AU174">
            <v>172.13657999999998</v>
          </cell>
        </row>
        <row r="175">
          <cell r="G175">
            <v>45509</v>
          </cell>
          <cell r="AT175">
            <v>167.01873999999998</v>
          </cell>
          <cell r="AU175">
            <v>171.44763999999998</v>
          </cell>
        </row>
        <row r="176">
          <cell r="G176">
            <v>45516</v>
          </cell>
          <cell r="AT176">
            <v>164.95192</v>
          </cell>
          <cell r="AU176">
            <v>169.47923999999998</v>
          </cell>
        </row>
        <row r="177">
          <cell r="G177">
            <v>45523</v>
          </cell>
          <cell r="AT177">
            <v>165.05033999999998</v>
          </cell>
          <cell r="AU177">
            <v>168.98713999999998</v>
          </cell>
        </row>
        <row r="178">
          <cell r="G178">
            <v>45530</v>
          </cell>
          <cell r="AT178">
            <v>159.53881999999999</v>
          </cell>
          <cell r="AU178">
            <v>163.86929999999998</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
    </sheetNames>
    <sheetDataSet>
      <sheetData sheetId="0">
        <row r="10">
          <cell r="M10" t="str">
            <v>Argentina</v>
          </cell>
          <cell r="N10" t="str">
            <v>Estados Unidos</v>
          </cell>
          <cell r="O10" t="str">
            <v>Paraguay</v>
          </cell>
          <cell r="P10"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8.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89"/>
  <sheetViews>
    <sheetView showFormulas="1" tabSelected="1" zoomScale="85" zoomScaleNormal="85" workbookViewId="0">
      <selection activeCell="F50" sqref="F50"/>
    </sheetView>
  </sheetViews>
  <sheetFormatPr baseColWidth="10" defaultColWidth="10.9140625" defaultRowHeight="17.7"/>
  <cols>
    <col min="1" max="1" width="7.75" customWidth="1"/>
    <col min="2" max="3" width="6.9140625" customWidth="1"/>
    <col min="4" max="4" width="10.6640625" customWidth="1"/>
    <col min="5" max="5" width="6.1640625" customWidth="1"/>
  </cols>
  <sheetData>
    <row r="1" spans="1:5">
      <c r="A1" s="208"/>
      <c r="B1" s="209"/>
      <c r="C1" s="209"/>
      <c r="D1" s="209"/>
      <c r="E1" s="209"/>
    </row>
    <row r="2" spans="1:5">
      <c r="A2" s="209"/>
      <c r="B2" s="209"/>
      <c r="C2" s="209"/>
      <c r="D2" s="209"/>
      <c r="E2" s="209"/>
    </row>
    <row r="3" spans="1:5">
      <c r="B3" s="209"/>
      <c r="C3" s="209"/>
      <c r="D3" s="209"/>
      <c r="E3" s="209"/>
    </row>
    <row r="4" spans="1:5">
      <c r="A4" s="209"/>
      <c r="B4" s="209"/>
      <c r="C4" s="209"/>
      <c r="D4" s="210"/>
      <c r="E4" s="209"/>
    </row>
    <row r="5" spans="1:5">
      <c r="A5" s="208"/>
      <c r="C5" s="209"/>
      <c r="D5" s="211"/>
      <c r="E5" s="209"/>
    </row>
    <row r="6" spans="1:5">
      <c r="A6" s="208"/>
      <c r="B6" s="209"/>
      <c r="C6" s="209"/>
      <c r="D6" s="209"/>
      <c r="E6" s="209"/>
    </row>
    <row r="7" spans="1:5">
      <c r="A7" s="208"/>
      <c r="B7" s="209"/>
      <c r="C7" s="209"/>
      <c r="D7" s="209"/>
      <c r="E7" s="209"/>
    </row>
    <row r="8" spans="1:5">
      <c r="A8" s="209"/>
      <c r="B8" s="209"/>
      <c r="C8" s="209"/>
      <c r="D8" s="210"/>
      <c r="E8" s="209"/>
    </row>
    <row r="9" spans="1:5">
      <c r="A9" s="212"/>
      <c r="B9" s="209"/>
      <c r="C9" s="209"/>
      <c r="D9" s="209"/>
      <c r="E9" s="209"/>
    </row>
    <row r="10" spans="1:5">
      <c r="A10" s="208"/>
      <c r="B10" s="209"/>
      <c r="C10" s="209"/>
      <c r="D10" s="209"/>
      <c r="E10" s="209"/>
    </row>
    <row r="11" spans="1:5">
      <c r="A11" s="208"/>
      <c r="B11" s="209"/>
      <c r="C11" s="209"/>
      <c r="D11" s="209"/>
      <c r="E11" s="209"/>
    </row>
    <row r="12" spans="1:5">
      <c r="A12" s="208"/>
      <c r="B12" s="209"/>
      <c r="C12" s="209"/>
      <c r="D12" s="209"/>
      <c r="E12" s="209"/>
    </row>
    <row r="13" spans="1:5">
      <c r="A13" s="208"/>
      <c r="B13" s="209"/>
      <c r="C13" s="209"/>
      <c r="D13" s="209"/>
      <c r="E13" s="209"/>
    </row>
    <row r="14" spans="1:5">
      <c r="A14" s="208"/>
      <c r="B14" s="209"/>
      <c r="C14" s="209"/>
      <c r="D14" s="209"/>
      <c r="E14" s="209"/>
    </row>
    <row r="15" spans="1:5">
      <c r="A15" s="208"/>
      <c r="B15" s="209"/>
      <c r="C15" s="209"/>
      <c r="D15" s="209"/>
      <c r="E15" s="209"/>
    </row>
    <row r="16" spans="1:5">
      <c r="A16" s="208"/>
      <c r="B16" s="209"/>
      <c r="C16" s="209"/>
      <c r="D16" s="209"/>
      <c r="E16" s="209"/>
    </row>
    <row r="17" spans="1:5">
      <c r="A17" s="208"/>
      <c r="B17" s="209"/>
      <c r="C17" s="209"/>
      <c r="D17" s="209"/>
      <c r="E17" s="209"/>
    </row>
    <row r="18" spans="1:5" ht="29.15" customHeight="1">
      <c r="A18" s="786" t="s">
        <v>0</v>
      </c>
      <c r="B18" s="786"/>
      <c r="C18" s="786"/>
      <c r="D18" s="786"/>
      <c r="E18" s="786"/>
    </row>
    <row r="19" spans="1:5" ht="19.649999999999999">
      <c r="A19" s="209"/>
      <c r="B19" s="209"/>
      <c r="C19" s="787"/>
      <c r="D19" s="787"/>
      <c r="E19" s="787"/>
    </row>
    <row r="20" spans="1:5">
      <c r="A20" s="209"/>
      <c r="B20" s="209"/>
      <c r="C20" s="209"/>
      <c r="D20" s="209"/>
      <c r="E20" s="209"/>
    </row>
    <row r="21" spans="1:5">
      <c r="A21" s="209"/>
      <c r="B21" s="209"/>
      <c r="C21" s="209"/>
      <c r="D21" s="213"/>
      <c r="E21" s="209"/>
    </row>
    <row r="22" spans="1:5">
      <c r="A22" s="788"/>
      <c r="B22" s="788"/>
      <c r="C22" s="788"/>
      <c r="D22" s="788"/>
      <c r="E22" s="788"/>
    </row>
    <row r="23" spans="1:5">
      <c r="A23" s="209"/>
      <c r="B23" s="209"/>
      <c r="C23" s="209"/>
      <c r="D23" s="209"/>
      <c r="E23" s="209"/>
    </row>
    <row r="24" spans="1:5">
      <c r="A24" s="208"/>
      <c r="B24" s="209"/>
      <c r="C24" s="209"/>
      <c r="D24" s="209"/>
      <c r="E24" s="209"/>
    </row>
    <row r="25" spans="1:5">
      <c r="A25" s="208"/>
      <c r="B25" s="209"/>
      <c r="C25" s="209"/>
      <c r="D25" s="210"/>
      <c r="E25" s="209"/>
    </row>
    <row r="26" spans="1:5">
      <c r="A26" s="208"/>
      <c r="B26" s="209"/>
      <c r="C26" s="209"/>
      <c r="D26" s="213"/>
      <c r="E26" s="209"/>
    </row>
    <row r="27" spans="1:5">
      <c r="B27" s="209"/>
      <c r="C27" s="209"/>
      <c r="D27" s="209"/>
      <c r="E27" s="209"/>
    </row>
    <row r="28" spans="1:5">
      <c r="A28" s="208"/>
      <c r="B28" s="209"/>
      <c r="C28" s="209"/>
      <c r="D28" s="209"/>
      <c r="E28" s="209"/>
    </row>
    <row r="29" spans="1:5">
      <c r="A29" s="208"/>
      <c r="B29" s="209"/>
      <c r="C29" s="209"/>
      <c r="D29" s="209"/>
      <c r="E29" s="209"/>
    </row>
    <row r="30" spans="1:5">
      <c r="A30" s="208"/>
      <c r="B30" s="209"/>
      <c r="C30" s="209"/>
      <c r="D30" s="210"/>
      <c r="E30" s="209"/>
    </row>
    <row r="31" spans="1:5">
      <c r="A31" s="208"/>
      <c r="B31" s="209"/>
      <c r="C31" s="209"/>
      <c r="D31" s="209"/>
      <c r="E31" s="209"/>
    </row>
    <row r="32" spans="1:5">
      <c r="A32" s="208"/>
      <c r="B32" s="209"/>
      <c r="C32" s="209"/>
      <c r="D32" s="209"/>
      <c r="E32" s="209"/>
    </row>
    <row r="33" spans="1:5">
      <c r="A33" s="208"/>
      <c r="B33" s="209"/>
      <c r="C33" s="209"/>
      <c r="D33" s="209"/>
      <c r="E33" s="209"/>
    </row>
    <row r="34" spans="1:5">
      <c r="A34" s="208"/>
      <c r="B34" s="209"/>
      <c r="C34" s="209"/>
      <c r="D34" s="209"/>
      <c r="E34" s="209"/>
    </row>
    <row r="35" spans="1:5">
      <c r="A35" s="432"/>
      <c r="B35" s="432"/>
      <c r="C35" s="432"/>
      <c r="D35" s="432"/>
      <c r="E35" s="432"/>
    </row>
    <row r="36" spans="1:5">
      <c r="A36" s="208"/>
      <c r="B36" s="209"/>
      <c r="C36" s="209"/>
      <c r="D36" s="209"/>
      <c r="E36" s="209"/>
    </row>
    <row r="37" spans="1:5">
      <c r="A37" s="208"/>
      <c r="B37" s="209"/>
      <c r="C37" s="209"/>
      <c r="D37" s="209"/>
      <c r="E37" s="209"/>
    </row>
    <row r="38" spans="1:5">
      <c r="A38" s="208"/>
      <c r="B38" s="209"/>
      <c r="C38" s="209"/>
      <c r="D38" s="209"/>
      <c r="E38" s="209"/>
    </row>
    <row r="39" spans="1:5">
      <c r="A39" s="214"/>
      <c r="B39" s="209"/>
      <c r="C39" s="214"/>
      <c r="D39" s="215"/>
      <c r="E39" s="209"/>
    </row>
    <row r="40" spans="1:5" ht="23.6">
      <c r="A40" s="790" t="s">
        <v>772</v>
      </c>
      <c r="B40" s="790"/>
      <c r="C40" s="790"/>
      <c r="D40" s="790"/>
      <c r="E40" s="790"/>
    </row>
    <row r="41" spans="1:5">
      <c r="A41" s="208"/>
      <c r="B41" s="387"/>
      <c r="C41" s="387"/>
      <c r="D41" s="387"/>
      <c r="E41" s="304"/>
    </row>
    <row r="42" spans="1:5">
      <c r="A42" s="432"/>
      <c r="B42" s="432"/>
      <c r="E42" s="209"/>
    </row>
    <row r="43" spans="1:5">
      <c r="A43" s="432"/>
      <c r="B43" s="432"/>
      <c r="C43" s="432"/>
      <c r="D43" s="432"/>
      <c r="E43" s="432"/>
    </row>
    <row r="44" spans="1:5">
      <c r="A44" s="432"/>
      <c r="B44" s="432"/>
      <c r="C44" s="432"/>
      <c r="D44" s="432"/>
      <c r="E44" s="432"/>
    </row>
    <row r="45" spans="1:5">
      <c r="A45" s="432"/>
      <c r="B45" s="432"/>
      <c r="C45" s="432"/>
      <c r="D45" s="432"/>
      <c r="E45" s="432"/>
    </row>
    <row r="46" spans="1:5">
      <c r="A46" s="432"/>
      <c r="B46" s="432"/>
      <c r="C46" s="432"/>
      <c r="D46" s="432"/>
      <c r="E46" s="432"/>
    </row>
    <row r="47" spans="1:5">
      <c r="A47" s="432"/>
      <c r="B47" s="432"/>
      <c r="C47" s="432"/>
      <c r="D47" s="432"/>
      <c r="E47" s="432"/>
    </row>
    <row r="48" spans="1:5">
      <c r="A48" s="216"/>
      <c r="B48" s="216"/>
      <c r="C48" s="216"/>
      <c r="D48" s="216"/>
      <c r="E48" s="216"/>
    </row>
    <row r="49" spans="1:6">
      <c r="A49" s="216"/>
      <c r="B49" s="216"/>
      <c r="C49" s="216"/>
      <c r="D49" s="216"/>
      <c r="E49" s="216"/>
    </row>
    <row r="50" spans="1:6">
      <c r="A50" s="216"/>
      <c r="B50" s="216"/>
      <c r="C50" s="216"/>
      <c r="D50" s="216"/>
      <c r="E50" s="216"/>
    </row>
    <row r="51" spans="1:6" ht="19">
      <c r="A51" s="789" t="s">
        <v>1</v>
      </c>
      <c r="B51" s="789"/>
      <c r="C51" s="789"/>
      <c r="D51" s="789"/>
      <c r="E51" s="789"/>
      <c r="F51" s="433"/>
    </row>
    <row r="52" spans="1:6" ht="19">
      <c r="A52" s="508"/>
      <c r="B52" s="508"/>
      <c r="C52" s="508"/>
      <c r="D52" s="508"/>
      <c r="E52" s="508"/>
      <c r="F52" s="433"/>
    </row>
    <row r="53" spans="1:6" ht="58.75" customHeight="1">
      <c r="A53" s="780" t="s">
        <v>773</v>
      </c>
      <c r="B53" s="781"/>
      <c r="C53" s="781"/>
      <c r="D53" s="781"/>
      <c r="E53" s="781"/>
      <c r="F53" s="434"/>
    </row>
    <row r="54" spans="1:6" ht="15.75" customHeight="1">
      <c r="A54" s="509"/>
      <c r="B54" s="510"/>
      <c r="C54" s="510"/>
      <c r="D54" s="510"/>
      <c r="E54" s="510"/>
      <c r="F54" s="434"/>
    </row>
    <row r="55" spans="1:6">
      <c r="A55" s="782" t="s">
        <v>2</v>
      </c>
      <c r="B55" s="782"/>
      <c r="C55" s="782"/>
      <c r="D55" s="782"/>
      <c r="E55" s="782"/>
    </row>
    <row r="56" spans="1:6">
      <c r="A56" s="782" t="s">
        <v>3</v>
      </c>
      <c r="B56" s="782"/>
      <c r="C56" s="782"/>
      <c r="D56" s="782"/>
      <c r="E56" s="782"/>
    </row>
    <row r="57" spans="1:6">
      <c r="A57" s="782" t="s">
        <v>4</v>
      </c>
      <c r="B57" s="782"/>
      <c r="C57" s="782"/>
      <c r="D57" s="782"/>
      <c r="E57" s="782"/>
    </row>
    <row r="58" spans="1:6">
      <c r="A58" s="506"/>
      <c r="B58" s="506"/>
      <c r="C58" s="506"/>
      <c r="D58" s="506"/>
      <c r="E58" s="506"/>
    </row>
    <row r="59" spans="1:6">
      <c r="A59" s="784"/>
      <c r="B59" s="784"/>
      <c r="C59" s="784"/>
      <c r="D59" s="784"/>
      <c r="E59" s="784"/>
    </row>
    <row r="60" spans="1:6">
      <c r="A60" s="785"/>
      <c r="B60" s="785"/>
      <c r="C60" s="785"/>
      <c r="D60" s="785"/>
      <c r="E60" s="785"/>
    </row>
    <row r="61" spans="1:6">
      <c r="A61" s="785" t="s">
        <v>5</v>
      </c>
      <c r="B61" s="785"/>
      <c r="C61" s="785"/>
      <c r="D61" s="785"/>
      <c r="E61" s="785"/>
    </row>
    <row r="62" spans="1:6">
      <c r="A62" s="507"/>
      <c r="B62" s="507"/>
      <c r="C62" s="507"/>
      <c r="D62" s="507"/>
      <c r="E62" s="507"/>
    </row>
    <row r="63" spans="1:6">
      <c r="A63" s="783" t="s">
        <v>6</v>
      </c>
      <c r="B63" s="783"/>
      <c r="C63" s="783"/>
      <c r="D63" s="783"/>
      <c r="E63" s="783"/>
    </row>
    <row r="64" spans="1:6">
      <c r="A64" s="782" t="s">
        <v>7</v>
      </c>
      <c r="B64" s="782"/>
      <c r="C64" s="782"/>
      <c r="D64" s="782"/>
      <c r="E64" s="782"/>
    </row>
    <row r="65" spans="1:5">
      <c r="A65" s="216"/>
      <c r="B65" s="216"/>
      <c r="C65" s="216"/>
      <c r="D65" s="216"/>
      <c r="E65" s="216"/>
    </row>
    <row r="66" spans="1:5">
      <c r="A66" s="216"/>
      <c r="B66" s="216"/>
      <c r="C66" s="216"/>
      <c r="D66" s="216"/>
      <c r="E66" s="216"/>
    </row>
    <row r="67" spans="1:5">
      <c r="A67" s="216"/>
      <c r="B67" s="216"/>
      <c r="C67" s="216"/>
      <c r="D67" s="216"/>
      <c r="E67" s="216"/>
    </row>
    <row r="68" spans="1:5">
      <c r="A68" s="216"/>
      <c r="B68" s="216"/>
      <c r="C68" s="216"/>
      <c r="D68" s="216"/>
      <c r="E68" s="216"/>
    </row>
    <row r="69" spans="1:5">
      <c r="A69" s="216"/>
      <c r="B69" s="216"/>
      <c r="C69" s="216"/>
      <c r="D69" s="216"/>
      <c r="E69" s="216"/>
    </row>
    <row r="70" spans="1:5">
      <c r="A70" s="778" t="s">
        <v>8</v>
      </c>
      <c r="B70" s="778"/>
      <c r="C70" s="778"/>
      <c r="D70" s="778"/>
      <c r="E70" s="778"/>
    </row>
    <row r="71" spans="1:5">
      <c r="A71" s="778" t="s">
        <v>9</v>
      </c>
      <c r="B71" s="778"/>
      <c r="C71" s="778"/>
      <c r="D71" s="778"/>
      <c r="E71" s="778"/>
    </row>
    <row r="72" spans="1:5">
      <c r="A72" s="216"/>
      <c r="B72" s="216"/>
      <c r="C72" s="216"/>
      <c r="D72" s="216"/>
      <c r="E72" s="216"/>
    </row>
    <row r="73" spans="1:5">
      <c r="A73" s="216"/>
      <c r="B73" s="216"/>
      <c r="C73" s="216"/>
      <c r="D73" s="216"/>
      <c r="E73" s="216"/>
    </row>
    <row r="74" spans="1:5">
      <c r="A74" s="216"/>
      <c r="B74" s="216"/>
      <c r="C74" s="216"/>
      <c r="D74" s="216"/>
      <c r="E74" s="216"/>
    </row>
    <row r="75" spans="1:5">
      <c r="A75" s="779" t="s">
        <v>10</v>
      </c>
      <c r="B75" s="779"/>
      <c r="C75" s="779"/>
      <c r="D75" s="779"/>
      <c r="E75" s="779"/>
    </row>
    <row r="76" spans="1:5">
      <c r="A76" s="216"/>
      <c r="B76" s="432"/>
      <c r="C76" s="432"/>
      <c r="D76" s="432"/>
      <c r="E76" s="432"/>
    </row>
    <row r="77" spans="1:5">
      <c r="A77" s="216"/>
      <c r="B77" s="432"/>
      <c r="C77" s="432"/>
      <c r="D77" s="432"/>
      <c r="E77" s="432"/>
    </row>
    <row r="78" spans="1:5">
      <c r="A78" s="216"/>
      <c r="B78" s="432"/>
      <c r="C78" s="432"/>
      <c r="D78" s="432"/>
      <c r="E78" s="432"/>
    </row>
    <row r="79" spans="1:5">
      <c r="A79" s="216"/>
      <c r="B79" s="432"/>
      <c r="C79" s="432"/>
      <c r="D79" s="432"/>
      <c r="E79" s="432"/>
    </row>
    <row r="80" spans="1:5">
      <c r="A80" s="216"/>
      <c r="B80" s="432"/>
      <c r="C80" s="432"/>
      <c r="D80" s="432"/>
      <c r="E80" s="432"/>
    </row>
    <row r="81" spans="1:5">
      <c r="A81" s="435"/>
      <c r="B81" s="435"/>
      <c r="C81" s="432"/>
      <c r="D81" s="432"/>
      <c r="E81" s="432"/>
    </row>
    <row r="82" spans="1:5">
      <c r="A82" s="217" t="s">
        <v>11</v>
      </c>
      <c r="B82" s="432"/>
      <c r="C82" s="432"/>
      <c r="D82" s="432"/>
      <c r="E82" s="432"/>
    </row>
    <row r="83" spans="1:5">
      <c r="A83" s="217" t="s">
        <v>12</v>
      </c>
      <c r="B83" s="432"/>
      <c r="C83" s="432"/>
      <c r="D83" s="432"/>
      <c r="E83" s="432"/>
    </row>
    <row r="84" spans="1:5">
      <c r="A84" s="217" t="s">
        <v>13</v>
      </c>
      <c r="B84" s="432"/>
      <c r="C84" s="218"/>
      <c r="D84" s="219"/>
      <c r="E84" s="432"/>
    </row>
    <row r="85" spans="1:5">
      <c r="A85" s="220" t="s">
        <v>14</v>
      </c>
      <c r="B85" s="436"/>
      <c r="C85" s="432"/>
      <c r="D85" s="432"/>
      <c r="E85" s="432"/>
    </row>
    <row r="86" spans="1:5">
      <c r="A86" s="432"/>
      <c r="B86" s="432"/>
      <c r="C86" s="432"/>
      <c r="D86" s="432"/>
      <c r="E86" s="432"/>
    </row>
    <row r="87" spans="1:5">
      <c r="A87" s="437"/>
      <c r="B87" s="437"/>
      <c r="C87" s="437"/>
      <c r="D87" s="437"/>
      <c r="E87" s="437"/>
    </row>
    <row r="88" spans="1:5">
      <c r="A88" s="437"/>
      <c r="B88" s="437"/>
      <c r="C88" s="437"/>
      <c r="D88" s="437"/>
      <c r="E88" s="437"/>
    </row>
    <row r="89" spans="1:5">
      <c r="A89" s="437"/>
      <c r="B89" s="437"/>
      <c r="C89" s="437"/>
      <c r="D89" s="437"/>
      <c r="E89" s="437"/>
    </row>
  </sheetData>
  <mergeCells count="17">
    <mergeCell ref="A18:E18"/>
    <mergeCell ref="C19:E19"/>
    <mergeCell ref="A22:E22"/>
    <mergeCell ref="A51:E51"/>
    <mergeCell ref="A56:E56"/>
    <mergeCell ref="A55:E55"/>
    <mergeCell ref="A40:E40"/>
    <mergeCell ref="A70:E70"/>
    <mergeCell ref="A71:E71"/>
    <mergeCell ref="A75:E75"/>
    <mergeCell ref="A53:E53"/>
    <mergeCell ref="A57:E57"/>
    <mergeCell ref="A63:E63"/>
    <mergeCell ref="A64:E64"/>
    <mergeCell ref="A59:E59"/>
    <mergeCell ref="A60:E60"/>
    <mergeCell ref="A61:E61"/>
  </mergeCells>
  <pageMargins left="0.23622047244094491" right="0.23622047244094491" top="0.74803149606299213" bottom="0.74803149606299213" header="0.31496062992125984" footer="0.31496062992125984"/>
  <pageSetup paperSize="126" scale="88" fitToHeight="2"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V53"/>
  <sheetViews>
    <sheetView topLeftCell="A8" zoomScaleNormal="100" zoomScaleSheetLayoutView="50" workbookViewId="0">
      <selection activeCell="J17" sqref="J17"/>
    </sheetView>
  </sheetViews>
  <sheetFormatPr baseColWidth="10" defaultColWidth="10.9140625" defaultRowHeight="12.45"/>
  <cols>
    <col min="1" max="1" width="2.1640625" style="8" customWidth="1"/>
    <col min="2" max="2" width="13.9140625" style="8" customWidth="1"/>
    <col min="3" max="3" width="18.9140625" style="8" customWidth="1"/>
    <col min="4" max="6" width="9.9140625" style="8" customWidth="1"/>
    <col min="7" max="7" width="3.4140625" style="8" customWidth="1"/>
    <col min="8" max="8" width="4.08203125" style="8" customWidth="1"/>
    <col min="9" max="9" width="14.1640625" style="8" customWidth="1"/>
    <col min="10" max="10" width="4.08203125" style="8" customWidth="1"/>
    <col min="11" max="16384" width="10.9140625" style="8"/>
  </cols>
  <sheetData>
    <row r="1" spans="2:22" ht="13.1">
      <c r="B1" s="813" t="s">
        <v>170</v>
      </c>
      <c r="C1" s="813"/>
      <c r="D1" s="813"/>
      <c r="E1" s="813"/>
      <c r="F1" s="813"/>
      <c r="G1" s="813"/>
      <c r="H1" s="38"/>
      <c r="I1" s="38"/>
      <c r="J1" s="38"/>
      <c r="K1" s="38"/>
      <c r="L1" s="38"/>
      <c r="M1" s="38"/>
      <c r="N1" s="38"/>
      <c r="O1" s="38"/>
      <c r="P1" s="38"/>
      <c r="Q1" s="38"/>
      <c r="R1" s="38"/>
      <c r="S1" s="38"/>
      <c r="T1" s="38"/>
      <c r="U1" s="38"/>
      <c r="V1" s="38"/>
    </row>
    <row r="2" spans="2:22" ht="13.1">
      <c r="B2" s="31"/>
      <c r="C2" s="31"/>
      <c r="D2" s="31"/>
      <c r="E2" s="31"/>
      <c r="F2" s="31"/>
      <c r="G2" s="31"/>
      <c r="H2" s="38"/>
      <c r="I2" s="38"/>
      <c r="J2" s="38"/>
      <c r="K2" s="38"/>
      <c r="L2" s="38"/>
      <c r="M2" s="38"/>
      <c r="N2" s="38"/>
      <c r="O2" s="38"/>
      <c r="P2" s="38"/>
      <c r="Q2" s="38"/>
      <c r="R2" s="38"/>
      <c r="S2" s="38"/>
      <c r="T2" s="38"/>
      <c r="U2" s="38"/>
      <c r="V2" s="38"/>
    </row>
    <row r="3" spans="2:22" ht="41.25" customHeight="1">
      <c r="B3" s="814" t="s">
        <v>696</v>
      </c>
      <c r="C3" s="814"/>
      <c r="D3" s="835"/>
      <c r="E3" s="835"/>
      <c r="F3" s="835"/>
      <c r="G3" s="35"/>
      <c r="H3" s="38"/>
      <c r="I3" s="38"/>
      <c r="J3" s="38"/>
      <c r="K3" s="38"/>
      <c r="L3" s="38"/>
      <c r="M3" s="38"/>
      <c r="N3" s="38"/>
      <c r="O3" s="38"/>
      <c r="P3" s="38"/>
      <c r="Q3" s="38"/>
      <c r="R3" s="38"/>
      <c r="S3" s="38"/>
      <c r="T3" s="38"/>
      <c r="U3" s="38"/>
      <c r="V3" s="38"/>
    </row>
    <row r="4" spans="2:22" s="19" customFormat="1" ht="56.95" customHeight="1">
      <c r="B4" s="815" t="s">
        <v>697</v>
      </c>
      <c r="C4" s="836"/>
      <c r="D4" s="836"/>
      <c r="E4" s="836"/>
      <c r="F4" s="836"/>
    </row>
    <row r="5" spans="2:22" s="19" customFormat="1" ht="30.95" customHeight="1">
      <c r="B5" s="837"/>
      <c r="C5" s="837"/>
      <c r="D5" s="308" t="s">
        <v>171</v>
      </c>
      <c r="E5" s="308" t="s">
        <v>172</v>
      </c>
      <c r="F5" s="308" t="s">
        <v>173</v>
      </c>
    </row>
    <row r="6" spans="2:22" s="19" customFormat="1" ht="15.75" customHeight="1">
      <c r="B6" s="832" t="s">
        <v>174</v>
      </c>
      <c r="C6" s="832"/>
      <c r="D6" s="49">
        <v>75</v>
      </c>
      <c r="E6" s="49">
        <v>83</v>
      </c>
      <c r="F6" s="454">
        <v>68</v>
      </c>
    </row>
    <row r="7" spans="2:22" s="19" customFormat="1" ht="15.75" customHeight="1">
      <c r="B7" s="831" t="s">
        <v>175</v>
      </c>
      <c r="C7" s="832"/>
      <c r="D7" s="65">
        <v>75600</v>
      </c>
      <c r="E7" s="65">
        <v>136500</v>
      </c>
      <c r="F7" s="455">
        <v>63000</v>
      </c>
    </row>
    <row r="8" spans="2:22" ht="15.75" customHeight="1">
      <c r="B8" s="831" t="s">
        <v>176</v>
      </c>
      <c r="C8" s="832"/>
      <c r="D8" s="65">
        <v>482500</v>
      </c>
      <c r="E8" s="65">
        <v>471850</v>
      </c>
      <c r="F8" s="455">
        <v>414200</v>
      </c>
      <c r="G8" s="38"/>
      <c r="H8" s="128"/>
      <c r="I8" s="135"/>
      <c r="J8" s="38"/>
      <c r="K8" s="38"/>
      <c r="L8" s="38"/>
      <c r="M8" s="38"/>
      <c r="N8" s="38"/>
      <c r="O8" s="38"/>
      <c r="P8" s="38"/>
      <c r="Q8" s="38"/>
      <c r="R8" s="38"/>
      <c r="S8" s="38"/>
      <c r="T8" s="38"/>
      <c r="U8" s="38"/>
      <c r="V8" s="38"/>
    </row>
    <row r="9" spans="2:22" ht="15.75" customHeight="1">
      <c r="B9" s="831" t="s">
        <v>177</v>
      </c>
      <c r="C9" s="832"/>
      <c r="D9" s="65">
        <v>720203</v>
      </c>
      <c r="E9" s="65">
        <v>873193</v>
      </c>
      <c r="F9" s="455">
        <v>723193</v>
      </c>
      <c r="G9" s="38"/>
      <c r="H9" s="128"/>
      <c r="I9" s="135"/>
      <c r="J9" s="38"/>
      <c r="K9" s="38"/>
      <c r="L9" s="38"/>
      <c r="M9" s="38"/>
      <c r="N9" s="38"/>
      <c r="O9" s="38"/>
      <c r="P9" s="38"/>
      <c r="Q9" s="38"/>
      <c r="R9" s="38"/>
      <c r="S9" s="38"/>
      <c r="T9" s="38"/>
      <c r="U9" s="38"/>
      <c r="V9" s="38"/>
    </row>
    <row r="10" spans="2:22" ht="15.75" customHeight="1">
      <c r="B10" s="833" t="s">
        <v>178</v>
      </c>
      <c r="C10" s="834"/>
      <c r="D10" s="65">
        <f>63915+110733</f>
        <v>174648</v>
      </c>
      <c r="E10" s="65">
        <f>74077+93337</f>
        <v>167414</v>
      </c>
      <c r="F10" s="455">
        <f>60020+75625</f>
        <v>135645</v>
      </c>
      <c r="G10" s="38"/>
      <c r="H10" s="128"/>
      <c r="I10" s="135"/>
      <c r="J10" s="38"/>
      <c r="K10" s="38"/>
      <c r="L10" s="38"/>
      <c r="M10" s="38"/>
      <c r="N10" s="38"/>
      <c r="O10" s="38"/>
      <c r="P10" s="38"/>
      <c r="Q10" s="38"/>
      <c r="R10" s="38"/>
      <c r="S10" s="38"/>
      <c r="T10" s="38"/>
      <c r="U10" s="38"/>
      <c r="V10" s="38"/>
    </row>
    <row r="11" spans="2:22" ht="15.75" customHeight="1">
      <c r="B11" s="831" t="s">
        <v>179</v>
      </c>
      <c r="C11" s="832"/>
      <c r="D11" s="65">
        <f>SUM(D7:D10)</f>
        <v>1452951</v>
      </c>
      <c r="E11" s="65">
        <f>SUM(E7:E10)</f>
        <v>1648957</v>
      </c>
      <c r="F11" s="65">
        <f>SUM(F7:F10)</f>
        <v>1336038</v>
      </c>
      <c r="G11" s="38"/>
      <c r="H11" s="128"/>
      <c r="I11" s="135"/>
      <c r="J11" s="38"/>
      <c r="K11" s="38"/>
      <c r="L11" s="38"/>
      <c r="M11" s="38"/>
      <c r="N11" s="38"/>
      <c r="O11" s="38"/>
      <c r="P11" s="38"/>
      <c r="Q11" s="38"/>
      <c r="R11" s="38"/>
      <c r="S11" s="38"/>
      <c r="T11" s="38"/>
      <c r="U11" s="38"/>
      <c r="V11" s="38"/>
    </row>
    <row r="12" spans="2:22" ht="19.5" customHeight="1">
      <c r="B12" s="831" t="s">
        <v>180</v>
      </c>
      <c r="C12" s="839"/>
      <c r="D12" s="44">
        <v>22500</v>
      </c>
      <c r="E12" s="44">
        <v>22500</v>
      </c>
      <c r="F12" s="44">
        <v>22500</v>
      </c>
      <c r="G12" s="38"/>
      <c r="H12" s="128"/>
      <c r="I12" s="135"/>
      <c r="J12" s="38"/>
      <c r="K12" s="38"/>
      <c r="L12" s="76"/>
      <c r="M12" s="76"/>
      <c r="N12" s="76"/>
      <c r="O12" s="76"/>
      <c r="P12" s="76"/>
      <c r="Q12" s="76"/>
      <c r="R12" s="76"/>
      <c r="S12" s="76"/>
      <c r="T12" s="76"/>
      <c r="U12" s="76"/>
      <c r="V12" s="76"/>
    </row>
    <row r="13" spans="2:22" ht="16.55" customHeight="1">
      <c r="B13" s="844" t="s">
        <v>181</v>
      </c>
      <c r="C13" s="845"/>
      <c r="D13" s="44">
        <f>D12*D6</f>
        <v>1687500</v>
      </c>
      <c r="E13" s="44">
        <f>E12*E6</f>
        <v>1867500</v>
      </c>
      <c r="F13" s="44">
        <f>F12*F6</f>
        <v>1530000</v>
      </c>
      <c r="G13" s="38"/>
      <c r="H13" s="128"/>
      <c r="I13" s="135"/>
      <c r="J13" s="38"/>
      <c r="K13" s="82"/>
      <c r="L13" s="80"/>
      <c r="M13" s="79"/>
      <c r="N13" s="79"/>
      <c r="O13" s="79"/>
      <c r="P13" s="79"/>
      <c r="Q13" s="79"/>
      <c r="R13" s="79"/>
      <c r="S13" s="77"/>
      <c r="T13" s="77"/>
      <c r="U13" s="77"/>
      <c r="V13" s="77"/>
    </row>
    <row r="14" spans="2:22" ht="16.55" customHeight="1">
      <c r="B14" s="844" t="s">
        <v>182</v>
      </c>
      <c r="C14" s="845"/>
      <c r="D14" s="44">
        <f>D13-D11</f>
        <v>234549</v>
      </c>
      <c r="E14" s="44">
        <f>E13-E11</f>
        <v>218543</v>
      </c>
      <c r="F14" s="44">
        <f>F13-F11</f>
        <v>193962</v>
      </c>
      <c r="G14" s="38"/>
      <c r="H14" s="128"/>
      <c r="I14" s="135"/>
      <c r="J14" s="38"/>
      <c r="K14" s="82"/>
      <c r="L14" s="80"/>
      <c r="M14" s="79"/>
      <c r="N14" s="79"/>
      <c r="O14" s="79"/>
      <c r="P14" s="79"/>
      <c r="Q14" s="79"/>
      <c r="R14" s="79"/>
      <c r="S14" s="77"/>
      <c r="T14" s="77"/>
      <c r="U14" s="77"/>
      <c r="V14" s="77"/>
    </row>
    <row r="15" spans="2:22" ht="16.55" customHeight="1">
      <c r="B15" s="848"/>
      <c r="C15" s="849"/>
      <c r="D15" s="847"/>
      <c r="E15" s="849"/>
      <c r="F15" s="850"/>
      <c r="G15" s="38"/>
      <c r="H15" s="128"/>
      <c r="I15" s="135"/>
      <c r="J15" s="38"/>
      <c r="K15" s="82"/>
      <c r="L15" s="83"/>
      <c r="M15" s="81"/>
      <c r="N15" s="81"/>
      <c r="O15" s="81"/>
      <c r="P15" s="81"/>
      <c r="Q15" s="81"/>
      <c r="R15" s="81"/>
      <c r="S15" s="75"/>
      <c r="T15" s="75"/>
      <c r="U15" s="75"/>
      <c r="V15" s="75"/>
    </row>
    <row r="16" spans="2:22" s="19" customFormat="1" ht="16.55" customHeight="1">
      <c r="B16" s="847" t="s">
        <v>698</v>
      </c>
      <c r="C16" s="847"/>
      <c r="D16" s="847"/>
      <c r="E16" s="847"/>
      <c r="F16" s="847"/>
      <c r="H16" s="84"/>
      <c r="I16" s="85"/>
    </row>
    <row r="17" spans="2:18" ht="41.25" customHeight="1">
      <c r="B17" s="43" t="s">
        <v>183</v>
      </c>
      <c r="C17" s="46" t="s">
        <v>184</v>
      </c>
      <c r="D17" s="44">
        <f>E17*0.9</f>
        <v>67.5</v>
      </c>
      <c r="E17" s="44">
        <v>75</v>
      </c>
      <c r="F17" s="44">
        <f>E17*1.1</f>
        <v>82.5</v>
      </c>
      <c r="G17" s="27"/>
      <c r="H17" s="128"/>
      <c r="I17" s="135"/>
      <c r="J17" s="38"/>
      <c r="K17" s="38"/>
      <c r="L17" s="38"/>
      <c r="M17" s="38"/>
      <c r="N17" s="38"/>
      <c r="O17" s="38"/>
      <c r="P17" s="38"/>
      <c r="Q17" s="38"/>
      <c r="R17" s="38"/>
    </row>
    <row r="18" spans="2:18" ht="15.75" customHeight="1">
      <c r="B18" s="43" t="s">
        <v>185</v>
      </c>
      <c r="C18" s="43">
        <f>D12</f>
        <v>22500</v>
      </c>
      <c r="D18" s="44">
        <f>(D$17*$C18)-$D$11</f>
        <v>65799</v>
      </c>
      <c r="E18" s="44">
        <f>(E$17*$C18)-$D$11</f>
        <v>234549</v>
      </c>
      <c r="F18" s="44">
        <f>(F$17*$C18)-$D$11</f>
        <v>403299</v>
      </c>
      <c r="G18" s="52"/>
      <c r="H18" s="128"/>
      <c r="I18" s="79"/>
      <c r="J18" s="79"/>
      <c r="K18" s="38"/>
      <c r="L18" s="38"/>
      <c r="M18" s="38"/>
      <c r="N18" s="38"/>
      <c r="O18" s="38"/>
      <c r="P18" s="38"/>
      <c r="Q18" s="38"/>
      <c r="R18" s="38"/>
    </row>
    <row r="19" spans="2:18" ht="15.75" customHeight="1">
      <c r="B19" s="45" t="s">
        <v>186</v>
      </c>
      <c r="C19" s="45"/>
      <c r="D19" s="44">
        <f>$D$11/D17</f>
        <v>21525.200000000001</v>
      </c>
      <c r="E19" s="44">
        <f>$D$11/E17</f>
        <v>19372.68</v>
      </c>
      <c r="F19" s="44">
        <f>$D$11/F17</f>
        <v>17611.527272727271</v>
      </c>
      <c r="G19" s="52"/>
      <c r="H19" s="86"/>
      <c r="I19" s="79"/>
      <c r="J19" s="79"/>
      <c r="K19" s="38"/>
      <c r="L19" s="38"/>
      <c r="M19" s="38"/>
      <c r="N19" s="38"/>
      <c r="O19" s="38"/>
      <c r="P19" s="38"/>
      <c r="Q19" s="38"/>
      <c r="R19" s="38"/>
    </row>
    <row r="20" spans="2:18" ht="24.9" customHeight="1">
      <c r="B20" s="816" t="s">
        <v>699</v>
      </c>
      <c r="C20" s="816"/>
      <c r="D20" s="816"/>
      <c r="E20" s="816"/>
      <c r="F20" s="816"/>
      <c r="G20" s="52"/>
      <c r="H20" s="86"/>
      <c r="I20" s="79"/>
      <c r="J20" s="79"/>
      <c r="K20" s="38"/>
      <c r="L20" s="38"/>
      <c r="M20" s="38"/>
      <c r="N20" s="38"/>
      <c r="O20" s="38"/>
      <c r="P20" s="38"/>
      <c r="Q20" s="38"/>
      <c r="R20" s="38"/>
    </row>
    <row r="21" spans="2:18" ht="15.75" customHeight="1">
      <c r="B21" s="846" t="s">
        <v>187</v>
      </c>
      <c r="C21" s="846"/>
      <c r="D21" s="846"/>
      <c r="E21" s="846"/>
      <c r="F21" s="846"/>
      <c r="G21" s="52"/>
      <c r="H21" s="86"/>
      <c r="I21" s="79"/>
      <c r="J21" s="79"/>
      <c r="K21" s="38"/>
      <c r="L21" s="38"/>
      <c r="M21" s="38"/>
      <c r="N21" s="38"/>
      <c r="O21" s="38"/>
      <c r="P21" s="38"/>
      <c r="Q21" s="38"/>
      <c r="R21" s="38"/>
    </row>
    <row r="22" spans="2:18" ht="29.15" customHeight="1">
      <c r="B22" s="851" t="s">
        <v>700</v>
      </c>
      <c r="C22" s="852"/>
      <c r="D22" s="852"/>
      <c r="E22" s="852"/>
      <c r="F22" s="853"/>
      <c r="G22" s="52"/>
      <c r="H22" s="86"/>
      <c r="I22" s="79"/>
      <c r="J22" s="79"/>
      <c r="K22" s="38"/>
      <c r="L22" s="38"/>
      <c r="M22" s="38"/>
      <c r="N22" s="38"/>
      <c r="O22" s="38"/>
      <c r="P22" s="38"/>
      <c r="Q22" s="38"/>
      <c r="R22" s="38"/>
    </row>
    <row r="23" spans="2:18" ht="22.25" customHeight="1">
      <c r="B23" s="841" t="s">
        <v>188</v>
      </c>
      <c r="C23" s="842"/>
      <c r="D23" s="842"/>
      <c r="E23" s="842"/>
      <c r="F23" s="843"/>
      <c r="G23" s="52"/>
      <c r="H23" s="86"/>
      <c r="I23" s="79"/>
      <c r="J23" s="79"/>
      <c r="K23" s="38"/>
      <c r="L23" s="38"/>
      <c r="M23" s="38"/>
      <c r="N23" s="38"/>
      <c r="O23" s="38"/>
      <c r="P23" s="38"/>
      <c r="Q23" s="38"/>
      <c r="R23" s="38"/>
    </row>
    <row r="24" spans="2:18" ht="31.75" customHeight="1">
      <c r="B24" s="840" t="s">
        <v>701</v>
      </c>
      <c r="C24" s="840"/>
      <c r="D24" s="840"/>
      <c r="E24" s="840"/>
      <c r="F24" s="840"/>
      <c r="G24" s="52"/>
      <c r="H24" s="86"/>
      <c r="I24" s="79"/>
      <c r="J24" s="79"/>
      <c r="K24" s="38"/>
      <c r="L24" s="38"/>
      <c r="M24" s="38"/>
      <c r="N24" s="38"/>
      <c r="O24" s="38"/>
      <c r="P24" s="38"/>
      <c r="Q24" s="38"/>
      <c r="R24" s="38"/>
    </row>
    <row r="25" spans="2:18" ht="25.55" customHeight="1">
      <c r="B25" s="838" t="s">
        <v>189</v>
      </c>
      <c r="C25" s="838"/>
      <c r="D25" s="838"/>
      <c r="E25" s="838"/>
      <c r="F25" s="838"/>
      <c r="G25" s="52"/>
      <c r="H25" s="86"/>
      <c r="I25" s="79"/>
      <c r="J25" s="79"/>
      <c r="K25" s="127"/>
      <c r="L25" s="127"/>
      <c r="M25" s="128"/>
      <c r="N25" s="28"/>
      <c r="O25" s="38"/>
      <c r="P25" s="38"/>
      <c r="Q25" s="38"/>
      <c r="R25" s="38"/>
    </row>
    <row r="26" spans="2:18" ht="16.55" customHeight="1">
      <c r="B26" s="38"/>
      <c r="C26" s="34"/>
      <c r="D26" s="95"/>
      <c r="E26" s="95"/>
      <c r="F26" s="96"/>
      <c r="G26" s="52"/>
      <c r="H26" s="86"/>
      <c r="I26" s="79"/>
      <c r="J26" s="79"/>
      <c r="K26" s="127"/>
      <c r="L26" s="127"/>
      <c r="M26" s="128"/>
      <c r="N26" s="28"/>
      <c r="O26" s="38"/>
      <c r="P26" s="38"/>
      <c r="Q26" s="38"/>
      <c r="R26" s="38"/>
    </row>
    <row r="27" spans="2:18" ht="16.55" customHeight="1">
      <c r="B27" s="38"/>
      <c r="C27" s="34"/>
      <c r="D27" s="95"/>
      <c r="E27" s="95"/>
      <c r="F27" s="96"/>
      <c r="G27" s="52"/>
      <c r="H27" s="86"/>
      <c r="I27" s="79"/>
      <c r="J27" s="79"/>
      <c r="K27" s="127"/>
      <c r="L27" s="127"/>
      <c r="M27" s="128"/>
      <c r="N27" s="28"/>
      <c r="O27" s="38"/>
      <c r="P27" s="38"/>
      <c r="Q27" s="38"/>
      <c r="R27" s="38"/>
    </row>
    <row r="28" spans="2:18" ht="16.55" customHeight="1">
      <c r="B28" s="38"/>
      <c r="C28" s="34"/>
      <c r="D28" s="95"/>
      <c r="E28" s="95"/>
      <c r="F28" s="96"/>
      <c r="G28" s="52"/>
      <c r="H28" s="86"/>
      <c r="I28" s="86"/>
      <c r="J28" s="86"/>
      <c r="K28" s="452"/>
      <c r="L28" s="127"/>
      <c r="M28" s="128"/>
      <c r="N28" s="28"/>
      <c r="O28" s="38"/>
      <c r="P28" s="38"/>
      <c r="Q28" s="38"/>
      <c r="R28" s="38"/>
    </row>
    <row r="29" spans="2:18" ht="16.55" customHeight="1">
      <c r="B29" s="38"/>
      <c r="C29" s="68"/>
      <c r="D29" s="34"/>
      <c r="E29" s="38"/>
      <c r="F29" s="53"/>
      <c r="G29" s="52"/>
      <c r="H29" s="78"/>
      <c r="I29" s="135"/>
      <c r="J29" s="453"/>
      <c r="K29" s="127"/>
      <c r="L29" s="127"/>
      <c r="M29" s="128"/>
      <c r="N29" s="28"/>
      <c r="O29" s="38"/>
      <c r="P29" s="38"/>
      <c r="Q29" s="38"/>
      <c r="R29" s="38"/>
    </row>
    <row r="30" spans="2:18">
      <c r="B30" s="38"/>
      <c r="C30" s="38"/>
      <c r="D30" s="38"/>
      <c r="E30" s="38"/>
      <c r="F30" s="38"/>
      <c r="G30" s="38"/>
      <c r="H30" s="38"/>
      <c r="I30" s="38"/>
      <c r="J30" s="38"/>
      <c r="K30" s="38"/>
      <c r="L30" s="38"/>
      <c r="M30" s="38"/>
      <c r="N30" s="38"/>
      <c r="O30" s="38"/>
      <c r="P30" s="38"/>
      <c r="Q30" s="38"/>
      <c r="R30" s="38"/>
    </row>
    <row r="31" spans="2:18">
      <c r="B31" s="38"/>
      <c r="C31" s="38"/>
      <c r="D31" s="38"/>
      <c r="E31" s="38"/>
      <c r="F31" s="38"/>
      <c r="G31" s="38"/>
      <c r="H31" s="38"/>
      <c r="I31" s="38"/>
      <c r="J31" s="38"/>
      <c r="K31" s="38"/>
      <c r="L31" s="38"/>
      <c r="M31" s="38"/>
      <c r="N31" s="38"/>
      <c r="O31" s="38"/>
      <c r="P31" s="38"/>
      <c r="Q31" s="38"/>
      <c r="R31" s="38"/>
    </row>
    <row r="32" spans="2:18">
      <c r="B32" s="38"/>
      <c r="C32" s="38"/>
      <c r="D32" s="38"/>
      <c r="E32" s="38"/>
      <c r="F32" s="38"/>
      <c r="G32" s="38"/>
      <c r="H32" s="38"/>
      <c r="I32" s="38"/>
      <c r="J32" s="38"/>
      <c r="K32" s="38"/>
      <c r="L32" s="38"/>
      <c r="M32" s="38"/>
      <c r="N32" s="38"/>
      <c r="O32" s="38"/>
      <c r="P32" s="38"/>
      <c r="Q32" s="38"/>
      <c r="R32" s="38"/>
    </row>
    <row r="33" spans="2:18">
      <c r="B33" s="38"/>
      <c r="C33" s="38"/>
      <c r="D33" s="38"/>
      <c r="E33" s="38"/>
      <c r="F33" s="38"/>
      <c r="G33" s="38"/>
      <c r="H33" s="38"/>
      <c r="I33" s="38"/>
      <c r="J33" s="38"/>
      <c r="K33" s="38"/>
      <c r="L33" s="38"/>
      <c r="M33" s="38"/>
      <c r="N33" s="38"/>
      <c r="O33" s="38"/>
      <c r="P33" s="38"/>
      <c r="Q33" s="38"/>
      <c r="R33" s="38"/>
    </row>
    <row r="34" spans="2:18">
      <c r="B34" s="38"/>
      <c r="C34" s="38"/>
      <c r="D34" s="38"/>
      <c r="E34" s="38"/>
      <c r="F34" s="38"/>
      <c r="G34" s="38"/>
      <c r="H34" s="38"/>
      <c r="I34" s="38"/>
      <c r="J34" s="38"/>
      <c r="K34" s="38"/>
      <c r="L34" s="38"/>
      <c r="M34" s="38"/>
      <c r="N34" s="38"/>
      <c r="O34" s="38"/>
      <c r="P34" s="38"/>
      <c r="Q34" s="38"/>
      <c r="R34" s="38"/>
    </row>
    <row r="35" spans="2:18">
      <c r="B35" s="38"/>
      <c r="C35" s="38"/>
      <c r="D35" s="38"/>
      <c r="E35" s="38"/>
      <c r="F35" s="38"/>
      <c r="G35" s="38"/>
      <c r="H35" s="38"/>
      <c r="I35" s="38"/>
      <c r="J35" s="38"/>
      <c r="K35" s="38"/>
      <c r="L35" s="38"/>
      <c r="M35" s="38"/>
      <c r="N35" s="38"/>
      <c r="O35" s="38"/>
      <c r="P35" s="38"/>
      <c r="Q35" s="38"/>
      <c r="R35" s="38"/>
    </row>
    <row r="36" spans="2:18">
      <c r="B36" s="38"/>
      <c r="C36" s="38"/>
      <c r="D36" s="38"/>
      <c r="E36" s="38"/>
      <c r="F36" s="38"/>
      <c r="G36" s="38"/>
      <c r="H36" s="38"/>
      <c r="I36" s="38"/>
      <c r="J36" s="38"/>
      <c r="K36" s="38"/>
      <c r="L36" s="38"/>
      <c r="M36" s="38"/>
      <c r="N36" s="38"/>
      <c r="O36" s="38"/>
      <c r="P36" s="38"/>
      <c r="Q36" s="38"/>
      <c r="R36" s="38"/>
    </row>
    <row r="37" spans="2:18">
      <c r="B37" s="38"/>
      <c r="C37" s="38"/>
      <c r="D37" s="38"/>
      <c r="E37" s="38"/>
      <c r="F37" s="38"/>
      <c r="G37" s="38"/>
      <c r="H37" s="38"/>
      <c r="I37" s="38"/>
      <c r="J37" s="38"/>
      <c r="K37" s="38"/>
      <c r="L37" s="38"/>
      <c r="M37" s="38"/>
      <c r="N37" s="38"/>
      <c r="O37" s="38"/>
      <c r="P37" s="38"/>
      <c r="Q37" s="38"/>
      <c r="R37" s="38"/>
    </row>
    <row r="38" spans="2:18">
      <c r="B38" s="38"/>
      <c r="C38" s="38"/>
      <c r="D38" s="38"/>
      <c r="E38" s="38"/>
      <c r="F38" s="38"/>
      <c r="G38" s="38"/>
      <c r="H38" s="38"/>
      <c r="I38" s="38"/>
      <c r="J38" s="38"/>
      <c r="K38" s="38"/>
      <c r="L38" s="38"/>
      <c r="M38" s="38"/>
      <c r="N38" s="38"/>
      <c r="O38" s="38"/>
      <c r="P38" s="38"/>
      <c r="Q38" s="38"/>
      <c r="R38" s="38"/>
    </row>
    <row r="52" spans="2:13">
      <c r="B52" s="38"/>
      <c r="C52" s="38"/>
      <c r="D52" s="38"/>
      <c r="E52" s="38"/>
      <c r="F52" s="38"/>
      <c r="G52" s="38"/>
      <c r="H52" s="38"/>
      <c r="I52" s="38"/>
      <c r="J52" s="38"/>
      <c r="K52" s="38"/>
      <c r="L52" s="38"/>
      <c r="M52" s="38"/>
    </row>
    <row r="53" spans="2:13" ht="29.95" customHeight="1">
      <c r="B53" s="35"/>
      <c r="C53" s="38"/>
      <c r="D53" s="38"/>
      <c r="E53" s="38"/>
      <c r="F53" s="38"/>
      <c r="G53" s="38"/>
      <c r="H53" s="35"/>
      <c r="I53" s="38"/>
      <c r="J53" s="38"/>
      <c r="K53" s="38"/>
      <c r="L53" s="38"/>
      <c r="M53" s="38"/>
    </row>
  </sheetData>
  <mergeCells count="21">
    <mergeCell ref="B25:F25"/>
    <mergeCell ref="B12:C12"/>
    <mergeCell ref="B24:F24"/>
    <mergeCell ref="B23:F23"/>
    <mergeCell ref="B11:C11"/>
    <mergeCell ref="B14:C14"/>
    <mergeCell ref="B21:F21"/>
    <mergeCell ref="B16:F16"/>
    <mergeCell ref="B20:F20"/>
    <mergeCell ref="B13:C13"/>
    <mergeCell ref="B15:F15"/>
    <mergeCell ref="B22:F22"/>
    <mergeCell ref="B7:C7"/>
    <mergeCell ref="B6:C6"/>
    <mergeCell ref="B8:C8"/>
    <mergeCell ref="B10:C10"/>
    <mergeCell ref="B1:G1"/>
    <mergeCell ref="B3:F3"/>
    <mergeCell ref="B4:F4"/>
    <mergeCell ref="B5:C5"/>
    <mergeCell ref="B9:C9"/>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37"/>
  <sheetViews>
    <sheetView zoomScaleNormal="100" workbookViewId="0">
      <selection activeCell="B20" sqref="B20:J20"/>
    </sheetView>
  </sheetViews>
  <sheetFormatPr baseColWidth="10" defaultColWidth="9.6640625" defaultRowHeight="11.8"/>
  <cols>
    <col min="1" max="1" width="2.83203125" style="1" customWidth="1"/>
    <col min="2" max="2" width="5.1640625" style="1" customWidth="1"/>
    <col min="3" max="3" width="7.83203125" style="1" customWidth="1"/>
    <col min="4" max="4" width="7.25" style="1" customWidth="1"/>
    <col min="5" max="5" width="8.25" style="1" customWidth="1"/>
    <col min="6" max="6" width="7.25" style="1" customWidth="1"/>
    <col min="7" max="7" width="8.4140625" style="1" customWidth="1"/>
    <col min="8" max="8" width="7.9140625" style="1" customWidth="1"/>
    <col min="9" max="9" width="10" style="1" customWidth="1"/>
    <col min="10" max="10" width="7.25" style="1" customWidth="1"/>
    <col min="11" max="11" width="4.33203125" style="1" customWidth="1"/>
    <col min="12" max="12" width="2.08203125" style="1" customWidth="1"/>
    <col min="13" max="29" width="9.6640625" style="531"/>
    <col min="30" max="16384" width="9.6640625" style="1"/>
  </cols>
  <sheetData>
    <row r="1" spans="2:29" s="15" customFormat="1" ht="18" customHeight="1">
      <c r="B1" s="813" t="s">
        <v>190</v>
      </c>
      <c r="C1" s="813"/>
      <c r="D1" s="813"/>
      <c r="E1" s="813"/>
      <c r="F1" s="813"/>
      <c r="G1" s="813"/>
      <c r="H1" s="813"/>
      <c r="I1" s="813"/>
      <c r="J1" s="813"/>
      <c r="M1" s="537"/>
      <c r="N1" s="537"/>
      <c r="O1" s="537"/>
      <c r="P1" s="537"/>
      <c r="Q1" s="537"/>
      <c r="R1" s="537"/>
      <c r="S1" s="537"/>
      <c r="T1" s="537"/>
      <c r="U1" s="537"/>
      <c r="V1" s="537"/>
      <c r="W1" s="537"/>
      <c r="X1" s="537"/>
      <c r="Y1" s="537"/>
      <c r="Z1" s="537"/>
      <c r="AA1" s="537"/>
      <c r="AB1" s="537"/>
      <c r="AC1" s="537"/>
    </row>
    <row r="2" spans="2:29" s="15" customFormat="1" ht="13.1">
      <c r="C2" s="15" t="s">
        <v>97</v>
      </c>
      <c r="M2" s="537"/>
      <c r="N2" s="537"/>
      <c r="O2" s="537"/>
      <c r="P2" s="537"/>
      <c r="Q2" s="537"/>
      <c r="R2" s="537"/>
      <c r="S2" s="537"/>
      <c r="T2" s="537"/>
      <c r="U2" s="537"/>
      <c r="V2" s="537"/>
      <c r="W2" s="537"/>
      <c r="X2" s="537"/>
      <c r="Y2" s="537"/>
      <c r="Z2" s="537"/>
      <c r="AA2" s="537"/>
      <c r="AB2" s="537"/>
      <c r="AC2" s="537"/>
    </row>
    <row r="3" spans="2:29" s="15" customFormat="1" ht="15.75" customHeight="1">
      <c r="B3" s="791" t="s">
        <v>191</v>
      </c>
      <c r="C3" s="791"/>
      <c r="D3" s="791"/>
      <c r="E3" s="791"/>
      <c r="F3" s="791"/>
      <c r="G3" s="791"/>
      <c r="H3" s="791"/>
      <c r="I3" s="791"/>
      <c r="J3" s="791"/>
      <c r="M3" s="537"/>
      <c r="N3" s="537"/>
      <c r="O3" s="537"/>
      <c r="P3" s="537"/>
      <c r="Q3" s="537"/>
      <c r="R3" s="537"/>
      <c r="S3" s="537"/>
      <c r="T3" s="537"/>
      <c r="U3" s="537"/>
      <c r="V3" s="537"/>
      <c r="W3" s="537"/>
      <c r="X3" s="537"/>
      <c r="Y3" s="537"/>
      <c r="Z3" s="537"/>
      <c r="AA3" s="537"/>
      <c r="AB3" s="537"/>
      <c r="AC3" s="537"/>
    </row>
    <row r="4" spans="2:29" s="15" customFormat="1" ht="15.75" customHeight="1">
      <c r="B4" s="791" t="s">
        <v>702</v>
      </c>
      <c r="C4" s="791"/>
      <c r="D4" s="791"/>
      <c r="E4" s="791"/>
      <c r="F4" s="791"/>
      <c r="G4" s="791"/>
      <c r="H4" s="791"/>
      <c r="I4" s="791"/>
      <c r="J4" s="791"/>
      <c r="M4" s="537"/>
      <c r="N4" s="537"/>
      <c r="O4" s="537"/>
      <c r="P4" s="537"/>
      <c r="Q4" s="537"/>
      <c r="R4" s="537"/>
      <c r="S4" s="537"/>
      <c r="T4" s="537"/>
      <c r="U4" s="537"/>
      <c r="V4" s="537"/>
      <c r="W4" s="537"/>
      <c r="X4" s="537"/>
      <c r="Y4" s="537"/>
      <c r="Z4" s="537"/>
      <c r="AA4" s="537"/>
      <c r="AB4" s="537"/>
      <c r="AC4" s="537"/>
    </row>
    <row r="5" spans="2:29" s="15" customFormat="1" ht="15.75" customHeight="1">
      <c r="B5" s="863" t="s">
        <v>192</v>
      </c>
      <c r="C5" s="863"/>
      <c r="D5" s="864"/>
      <c r="E5" s="863"/>
      <c r="F5" s="863"/>
      <c r="G5" s="863"/>
      <c r="H5" s="863"/>
      <c r="I5" s="863"/>
      <c r="J5" s="863"/>
      <c r="K5" s="20"/>
      <c r="M5" s="537"/>
      <c r="N5" s="537"/>
      <c r="O5" s="537"/>
      <c r="P5" s="537"/>
      <c r="Q5" s="537"/>
      <c r="R5" s="537"/>
      <c r="S5" s="537"/>
      <c r="T5" s="537"/>
      <c r="U5" s="537"/>
      <c r="V5" s="537"/>
      <c r="W5" s="537"/>
      <c r="X5" s="537"/>
      <c r="Y5" s="537"/>
      <c r="Z5" s="537"/>
      <c r="AA5" s="537"/>
      <c r="AB5" s="537"/>
      <c r="AC5" s="537"/>
    </row>
    <row r="6" spans="2:29" s="14" customFormat="1" ht="28.5" customHeight="1">
      <c r="B6" s="854" t="s">
        <v>193</v>
      </c>
      <c r="C6" s="857" t="s">
        <v>93</v>
      </c>
      <c r="D6" s="187" t="s">
        <v>194</v>
      </c>
      <c r="E6" s="855" t="s">
        <v>195</v>
      </c>
      <c r="F6" s="187" t="s">
        <v>194</v>
      </c>
      <c r="G6" s="858" t="s">
        <v>196</v>
      </c>
      <c r="H6" s="856" t="s">
        <v>197</v>
      </c>
      <c r="I6" s="858" t="s">
        <v>198</v>
      </c>
      <c r="J6" s="187" t="s">
        <v>194</v>
      </c>
      <c r="K6" s="20"/>
      <c r="L6" s="22"/>
      <c r="M6" s="343"/>
      <c r="N6" s="343"/>
      <c r="O6" s="343"/>
      <c r="P6" s="343"/>
      <c r="Q6" s="343"/>
      <c r="R6" s="343"/>
      <c r="S6" s="343"/>
      <c r="T6" s="343"/>
      <c r="U6" s="343"/>
      <c r="V6" s="343"/>
      <c r="W6" s="343"/>
      <c r="X6" s="343"/>
      <c r="Y6" s="343"/>
      <c r="Z6" s="343"/>
      <c r="AA6" s="343"/>
      <c r="AB6" s="343"/>
      <c r="AC6" s="343"/>
    </row>
    <row r="7" spans="2:29" s="14" customFormat="1" ht="13.1">
      <c r="B7" s="854"/>
      <c r="C7" s="856"/>
      <c r="D7" s="188" t="s">
        <v>199</v>
      </c>
      <c r="E7" s="856"/>
      <c r="F7" s="188" t="s">
        <v>199</v>
      </c>
      <c r="G7" s="859"/>
      <c r="H7" s="856"/>
      <c r="I7" s="859"/>
      <c r="J7" s="188" t="s">
        <v>199</v>
      </c>
      <c r="K7" s="20"/>
      <c r="L7" s="20"/>
      <c r="M7" s="343"/>
      <c r="N7" s="343"/>
      <c r="O7" s="343"/>
      <c r="P7" s="343"/>
      <c r="Q7" s="343"/>
      <c r="R7" s="343"/>
      <c r="S7" s="343"/>
      <c r="T7" s="343"/>
      <c r="U7" s="343"/>
      <c r="V7" s="343"/>
      <c r="W7" s="343"/>
      <c r="X7" s="343"/>
      <c r="Y7" s="343"/>
      <c r="Z7" s="343"/>
      <c r="AA7" s="343"/>
      <c r="AB7" s="343"/>
      <c r="AC7" s="343"/>
    </row>
    <row r="8" spans="2:29" s="14" customFormat="1" ht="15.75" customHeight="1">
      <c r="B8" s="50">
        <v>2012</v>
      </c>
      <c r="C8" s="62">
        <v>1114411.3</v>
      </c>
      <c r="D8" s="63"/>
      <c r="E8" s="62">
        <v>681390</v>
      </c>
      <c r="F8" s="63"/>
      <c r="G8" s="63"/>
      <c r="H8" s="252" t="s">
        <v>200</v>
      </c>
      <c r="I8" s="64">
        <f>C8+E8+G8</f>
        <v>1795801.3</v>
      </c>
      <c r="J8" s="63"/>
      <c r="K8" s="22"/>
      <c r="L8" s="20"/>
      <c r="M8" s="11"/>
      <c r="N8" s="343"/>
      <c r="O8" s="343"/>
      <c r="P8" s="343"/>
      <c r="Q8" s="343"/>
      <c r="R8" s="343"/>
      <c r="S8" s="343"/>
      <c r="T8" s="343"/>
      <c r="U8" s="343"/>
      <c r="V8" s="343"/>
      <c r="W8" s="343"/>
      <c r="X8" s="343"/>
      <c r="Y8" s="343"/>
      <c r="Z8" s="343"/>
      <c r="AA8" s="343"/>
      <c r="AB8" s="343"/>
      <c r="AC8" s="343"/>
    </row>
    <row r="9" spans="2:29" s="14" customFormat="1" ht="15.75" customHeight="1">
      <c r="B9" s="50">
        <v>2013</v>
      </c>
      <c r="C9" s="62">
        <v>1365123.3</v>
      </c>
      <c r="D9" s="550">
        <f>C9/C8-1</f>
        <v>0.22497259315299467</v>
      </c>
      <c r="E9" s="62">
        <v>745918</v>
      </c>
      <c r="F9" s="550">
        <f>E9/E8-1</f>
        <v>9.4700538604910456E-2</v>
      </c>
      <c r="G9" s="63"/>
      <c r="H9" s="252" t="s">
        <v>200</v>
      </c>
      <c r="I9" s="64">
        <f t="shared" ref="I9:I15" si="0">C9+E9+G9</f>
        <v>2111041.2999999998</v>
      </c>
      <c r="J9" s="550">
        <f>I9/I8-1</f>
        <v>0.17554280643409692</v>
      </c>
      <c r="K9" s="22"/>
      <c r="L9" s="22"/>
      <c r="M9" s="343"/>
      <c r="N9" s="343"/>
      <c r="O9" s="343"/>
      <c r="P9" s="343"/>
      <c r="Q9" s="343"/>
      <c r="R9" s="343"/>
      <c r="S9" s="343"/>
      <c r="T9" s="343"/>
      <c r="U9" s="343"/>
      <c r="V9" s="343"/>
      <c r="W9" s="343"/>
      <c r="X9" s="343"/>
      <c r="Y9" s="343"/>
      <c r="Z9" s="343"/>
      <c r="AA9" s="343"/>
      <c r="AB9" s="343"/>
      <c r="AC9" s="343"/>
    </row>
    <row r="10" spans="2:29" s="14" customFormat="1" ht="15.75" customHeight="1">
      <c r="B10" s="50">
        <v>2014</v>
      </c>
      <c r="C10" s="62">
        <v>1236091.7399999998</v>
      </c>
      <c r="D10" s="550">
        <f t="shared" ref="D10:D17" si="1">C10/C9-1</f>
        <v>-9.4520077417182935E-2</v>
      </c>
      <c r="E10" s="62">
        <v>708601</v>
      </c>
      <c r="F10" s="550">
        <f t="shared" ref="F10:F16" si="2">E10/E9-1</f>
        <v>-5.0028287291632556E-2</v>
      </c>
      <c r="G10" s="63"/>
      <c r="H10" s="252" t="s">
        <v>200</v>
      </c>
      <c r="I10" s="64">
        <f t="shared" si="0"/>
        <v>1944692.7399999998</v>
      </c>
      <c r="J10" s="550">
        <f t="shared" ref="J10:J19" si="3">I10/I9-1</f>
        <v>-7.879929208395875E-2</v>
      </c>
      <c r="K10" s="22"/>
      <c r="L10" s="22"/>
      <c r="M10" s="343"/>
      <c r="N10" s="343"/>
      <c r="O10" s="343"/>
      <c r="P10" s="343"/>
      <c r="Q10" s="343"/>
      <c r="R10" s="343"/>
      <c r="S10" s="343"/>
      <c r="T10" s="343"/>
      <c r="U10" s="343"/>
      <c r="V10" s="343"/>
      <c r="W10" s="343"/>
      <c r="X10" s="343"/>
      <c r="Y10" s="343"/>
      <c r="Z10" s="343"/>
      <c r="AA10" s="343"/>
      <c r="AB10" s="343"/>
      <c r="AC10" s="343"/>
    </row>
    <row r="11" spans="2:29" s="14" customFormat="1" ht="15.75" customHeight="1">
      <c r="B11" s="50">
        <v>2015</v>
      </c>
      <c r="C11" s="62">
        <v>1333212.5</v>
      </c>
      <c r="D11" s="550">
        <f t="shared" si="1"/>
        <v>7.8570834879942097E-2</v>
      </c>
      <c r="E11" s="62">
        <v>690802</v>
      </c>
      <c r="F11" s="550">
        <f t="shared" si="2"/>
        <v>-2.5118508159034492E-2</v>
      </c>
      <c r="G11" s="63"/>
      <c r="H11" s="252" t="s">
        <v>200</v>
      </c>
      <c r="I11" s="64">
        <f t="shared" si="0"/>
        <v>2024014.5</v>
      </c>
      <c r="J11" s="550">
        <f t="shared" si="3"/>
        <v>4.0788839474970251E-2</v>
      </c>
      <c r="K11" s="22"/>
      <c r="L11" s="22"/>
      <c r="M11" s="343"/>
      <c r="N11" s="343"/>
      <c r="O11" s="343"/>
      <c r="P11" s="343"/>
      <c r="Q11" s="343"/>
      <c r="R11" s="343"/>
      <c r="S11" s="343"/>
      <c r="T11" s="343"/>
      <c r="U11" s="343"/>
      <c r="V11" s="343"/>
      <c r="W11" s="343"/>
      <c r="X11" s="343"/>
      <c r="Y11" s="343"/>
      <c r="Z11" s="343"/>
      <c r="AA11" s="343"/>
      <c r="AB11" s="343"/>
      <c r="AC11" s="343"/>
    </row>
    <row r="12" spans="2:29" s="14" customFormat="1" ht="15.75" customHeight="1">
      <c r="B12" s="50">
        <v>2016</v>
      </c>
      <c r="C12" s="62">
        <v>1531005.6</v>
      </c>
      <c r="D12" s="550">
        <f t="shared" si="1"/>
        <v>0.14835826996821599</v>
      </c>
      <c r="E12" s="62">
        <v>619305</v>
      </c>
      <c r="F12" s="550">
        <f t="shared" si="2"/>
        <v>-0.10349854227405253</v>
      </c>
      <c r="G12" s="63"/>
      <c r="H12" s="252" t="s">
        <v>200</v>
      </c>
      <c r="I12" s="64">
        <f t="shared" si="0"/>
        <v>2150310.6</v>
      </c>
      <c r="J12" s="550">
        <f t="shared" si="3"/>
        <v>6.2398811866219317E-2</v>
      </c>
      <c r="K12" s="22"/>
      <c r="L12" s="22"/>
      <c r="M12" s="343"/>
      <c r="N12" s="343"/>
      <c r="O12" s="343"/>
      <c r="P12" s="343"/>
      <c r="Q12" s="343"/>
      <c r="R12" s="343"/>
      <c r="S12" s="343"/>
      <c r="T12" s="343"/>
      <c r="U12" s="343"/>
      <c r="V12" s="343"/>
      <c r="W12" s="343"/>
      <c r="X12" s="343"/>
      <c r="Y12" s="343"/>
      <c r="Z12" s="343"/>
      <c r="AA12" s="343"/>
      <c r="AB12" s="343"/>
      <c r="AC12" s="343"/>
    </row>
    <row r="13" spans="2:29" s="14" customFormat="1" ht="15.75" customHeight="1">
      <c r="B13" s="50">
        <v>2017</v>
      </c>
      <c r="C13" s="62">
        <v>1221269.1400000001</v>
      </c>
      <c r="D13" s="550">
        <f t="shared" si="1"/>
        <v>-0.20230916203049809</v>
      </c>
      <c r="E13" s="62">
        <v>1004093</v>
      </c>
      <c r="F13" s="550">
        <f t="shared" si="2"/>
        <v>0.62132228869458506</v>
      </c>
      <c r="G13" s="63"/>
      <c r="H13" s="252" t="s">
        <v>200</v>
      </c>
      <c r="I13" s="64">
        <f t="shared" si="0"/>
        <v>2225362.14</v>
      </c>
      <c r="J13" s="550">
        <f t="shared" si="3"/>
        <v>3.4902650807748348E-2</v>
      </c>
      <c r="K13" s="22"/>
      <c r="L13" s="22"/>
      <c r="M13" s="343"/>
      <c r="N13" s="343"/>
      <c r="O13" s="343"/>
      <c r="P13" s="343"/>
      <c r="Q13" s="343"/>
      <c r="R13" s="343"/>
      <c r="S13" s="343"/>
      <c r="T13" s="343"/>
      <c r="U13" s="343"/>
      <c r="V13" s="343"/>
      <c r="W13" s="343"/>
      <c r="X13" s="343"/>
      <c r="Y13" s="343"/>
      <c r="Z13" s="343"/>
      <c r="AA13" s="343"/>
      <c r="AB13" s="343"/>
      <c r="AC13" s="343"/>
    </row>
    <row r="14" spans="2:29" s="14" customFormat="1" ht="15.75" customHeight="1">
      <c r="B14" s="50">
        <v>2018</v>
      </c>
      <c r="C14" s="62">
        <v>1281339.7</v>
      </c>
      <c r="D14" s="550">
        <f t="shared" si="1"/>
        <v>4.9186995750993834E-2</v>
      </c>
      <c r="E14" s="44">
        <v>1068897</v>
      </c>
      <c r="F14" s="550">
        <f t="shared" si="2"/>
        <v>6.4539838441259878E-2</v>
      </c>
      <c r="G14" s="62"/>
      <c r="H14" s="253" t="s">
        <v>200</v>
      </c>
      <c r="I14" s="64">
        <f t="shared" si="0"/>
        <v>2350236.7000000002</v>
      </c>
      <c r="J14" s="550">
        <f t="shared" si="3"/>
        <v>5.611426462031921E-2</v>
      </c>
      <c r="K14" s="22"/>
      <c r="L14" s="22"/>
      <c r="M14" s="343"/>
      <c r="N14" s="343"/>
      <c r="O14" s="343"/>
      <c r="P14" s="343"/>
      <c r="Q14" s="343"/>
      <c r="R14" s="343"/>
      <c r="S14" s="343"/>
      <c r="T14" s="343"/>
      <c r="U14" s="343"/>
      <c r="V14" s="343"/>
      <c r="W14" s="343"/>
      <c r="X14" s="343"/>
      <c r="Y14" s="343"/>
      <c r="Z14" s="343"/>
      <c r="AA14" s="343"/>
      <c r="AB14" s="343"/>
      <c r="AC14" s="343"/>
    </row>
    <row r="15" spans="2:29" s="14" customFormat="1" ht="15.75" customHeight="1">
      <c r="B15" s="50">
        <v>2019</v>
      </c>
      <c r="C15" s="62">
        <v>1204856.2</v>
      </c>
      <c r="D15" s="550">
        <f t="shared" si="1"/>
        <v>-5.9690260123837602E-2</v>
      </c>
      <c r="E15" s="44">
        <v>1115798</v>
      </c>
      <c r="F15" s="550">
        <f t="shared" si="2"/>
        <v>4.387794146676427E-2</v>
      </c>
      <c r="G15" s="62"/>
      <c r="H15" s="253" t="s">
        <v>200</v>
      </c>
      <c r="I15" s="64">
        <f t="shared" si="0"/>
        <v>2320654.2000000002</v>
      </c>
      <c r="J15" s="550">
        <f t="shared" si="3"/>
        <v>-1.258703006382289E-2</v>
      </c>
      <c r="K15" s="22"/>
      <c r="L15" s="22"/>
      <c r="M15" s="343"/>
      <c r="N15" s="343"/>
      <c r="O15" s="343"/>
      <c r="P15" s="343"/>
      <c r="Q15" s="343"/>
      <c r="R15" s="343"/>
      <c r="S15" s="343"/>
      <c r="T15" s="343"/>
      <c r="U15" s="343"/>
      <c r="V15" s="343"/>
      <c r="W15" s="343"/>
      <c r="X15" s="343"/>
      <c r="Y15" s="343"/>
      <c r="Z15" s="343"/>
      <c r="AA15" s="343"/>
      <c r="AB15" s="343"/>
      <c r="AC15" s="343"/>
    </row>
    <row r="16" spans="2:29" s="14" customFormat="1" ht="15.75" customHeight="1">
      <c r="B16" s="50">
        <v>2020</v>
      </c>
      <c r="C16" s="62">
        <v>1086140.1000000001</v>
      </c>
      <c r="D16" s="550">
        <f t="shared" si="1"/>
        <v>-9.8531343408449823E-2</v>
      </c>
      <c r="E16" s="44">
        <v>1136918.7700699999</v>
      </c>
      <c r="F16" s="550">
        <f t="shared" si="2"/>
        <v>1.8928847398901771E-2</v>
      </c>
      <c r="G16" s="62"/>
      <c r="H16" s="253" t="s">
        <v>200</v>
      </c>
      <c r="I16" s="64">
        <f>C16+E16+G16</f>
        <v>2223058.8700700002</v>
      </c>
      <c r="J16" s="550">
        <f t="shared" si="3"/>
        <v>-4.20550937446863E-2</v>
      </c>
      <c r="K16" s="22"/>
      <c r="L16" s="22"/>
      <c r="M16" s="343"/>
      <c r="N16" s="343"/>
      <c r="O16" s="343"/>
      <c r="P16" s="343"/>
      <c r="Q16" s="343"/>
      <c r="R16" s="343"/>
      <c r="S16" s="343"/>
      <c r="T16" s="343"/>
      <c r="U16" s="343"/>
      <c r="V16" s="343"/>
      <c r="W16" s="343"/>
      <c r="X16" s="343"/>
      <c r="Y16" s="343"/>
      <c r="Z16" s="343"/>
      <c r="AA16" s="343"/>
      <c r="AB16" s="343"/>
      <c r="AC16" s="343"/>
    </row>
    <row r="17" spans="1:29" s="14" customFormat="1" ht="15.75" customHeight="1">
      <c r="A17" s="22"/>
      <c r="B17" s="50">
        <v>2021</v>
      </c>
      <c r="C17" s="44">
        <f>'[1]7'!D16*1000</f>
        <v>1203308.9100000001</v>
      </c>
      <c r="D17" s="550">
        <f t="shared" si="1"/>
        <v>0.10787633197595792</v>
      </c>
      <c r="E17" s="342">
        <v>932545</v>
      </c>
      <c r="F17" s="550">
        <f>E17/E16-1</f>
        <v>-0.17976110118880051</v>
      </c>
      <c r="G17" s="62"/>
      <c r="H17" s="253" t="s">
        <v>200</v>
      </c>
      <c r="I17" s="64">
        <f>C17+E17+G17</f>
        <v>2135853.91</v>
      </c>
      <c r="J17" s="550">
        <f t="shared" si="3"/>
        <v>-3.9227463223794001E-2</v>
      </c>
      <c r="K17" s="22"/>
      <c r="L17" s="22"/>
      <c r="M17" s="343"/>
      <c r="N17" s="343"/>
      <c r="O17" s="343"/>
      <c r="P17" s="343"/>
      <c r="Q17" s="343"/>
      <c r="R17" s="343"/>
      <c r="S17" s="343"/>
      <c r="T17" s="343"/>
      <c r="U17" s="343"/>
      <c r="V17" s="343"/>
      <c r="W17" s="343"/>
      <c r="X17" s="343"/>
      <c r="Y17" s="343"/>
      <c r="Z17" s="343"/>
      <c r="AA17" s="343"/>
      <c r="AB17" s="343"/>
      <c r="AC17" s="343"/>
    </row>
    <row r="18" spans="1:29" s="14" customFormat="1" ht="15.75" customHeight="1">
      <c r="A18" s="22"/>
      <c r="B18" s="50">
        <v>2022</v>
      </c>
      <c r="C18" s="547">
        <f>10097426.9228811/10</f>
        <v>1009742.69228811</v>
      </c>
      <c r="D18" s="550">
        <f>C18/C17-1</f>
        <v>-0.1608616175807176</v>
      </c>
      <c r="E18" s="342">
        <f>'13'!P20</f>
        <v>1087269.2710000002</v>
      </c>
      <c r="F18" s="550">
        <f>E18/E17-1</f>
        <v>0.16591614452921855</v>
      </c>
      <c r="G18" s="62"/>
      <c r="H18" s="253" t="s">
        <v>200</v>
      </c>
      <c r="I18" s="64">
        <f>C18+E18+G18</f>
        <v>2097011.9632881102</v>
      </c>
      <c r="J18" s="550">
        <f t="shared" si="3"/>
        <v>-1.8185675775872712E-2</v>
      </c>
      <c r="K18" s="22"/>
      <c r="L18" s="22"/>
      <c r="M18" s="343"/>
      <c r="N18" s="343"/>
      <c r="O18" s="343"/>
      <c r="P18" s="343"/>
      <c r="Q18" s="343"/>
      <c r="R18" s="343"/>
      <c r="S18" s="343"/>
      <c r="T18" s="343"/>
      <c r="U18" s="343"/>
      <c r="V18" s="343"/>
      <c r="W18" s="343"/>
      <c r="X18" s="343"/>
      <c r="Y18" s="343"/>
      <c r="Z18" s="343"/>
      <c r="AA18" s="343"/>
      <c r="AB18" s="343"/>
      <c r="AC18" s="343"/>
    </row>
    <row r="19" spans="1:29" s="14" customFormat="1" ht="15.75" customHeight="1">
      <c r="A19" s="22"/>
      <c r="B19" s="50">
        <v>2023</v>
      </c>
      <c r="C19" s="688">
        <v>1132023.9850410244</v>
      </c>
      <c r="D19" s="550">
        <f>C19/C18-1</f>
        <v>0.12110143870001266</v>
      </c>
      <c r="E19" s="689">
        <f>'13'!Q20</f>
        <v>942564.53300000017</v>
      </c>
      <c r="F19" s="550">
        <f>E19/E18-1</f>
        <v>-0.13309006504608556</v>
      </c>
      <c r="G19" s="62"/>
      <c r="H19" s="253" t="s">
        <v>200</v>
      </c>
      <c r="I19" s="64">
        <f>C19+E19+G19</f>
        <v>2074588.5180410245</v>
      </c>
      <c r="J19" s="550">
        <f t="shared" si="3"/>
        <v>-1.0693045933760859E-2</v>
      </c>
      <c r="K19" s="11"/>
      <c r="L19" s="22"/>
      <c r="M19" s="343"/>
      <c r="N19" s="343"/>
      <c r="O19" s="343"/>
      <c r="P19" s="343"/>
      <c r="Q19" s="343"/>
      <c r="R19" s="343"/>
      <c r="S19" s="343"/>
      <c r="T19" s="343"/>
      <c r="U19" s="343"/>
      <c r="V19" s="343"/>
      <c r="W19" s="343"/>
      <c r="X19" s="343"/>
      <c r="Y19" s="343"/>
      <c r="Z19" s="343"/>
      <c r="AA19" s="343"/>
      <c r="AB19" s="343"/>
      <c r="AC19" s="343"/>
    </row>
    <row r="20" spans="1:29" s="14" customFormat="1" ht="51.75" customHeight="1">
      <c r="A20" s="22"/>
      <c r="B20" s="860" t="s">
        <v>201</v>
      </c>
      <c r="C20" s="861"/>
      <c r="D20" s="861"/>
      <c r="E20" s="861"/>
      <c r="F20" s="861"/>
      <c r="G20" s="861"/>
      <c r="H20" s="861"/>
      <c r="I20" s="861"/>
      <c r="J20" s="862"/>
      <c r="K20" s="22"/>
      <c r="L20" s="22"/>
      <c r="M20" s="343"/>
      <c r="N20" s="343"/>
      <c r="O20" s="343"/>
      <c r="P20" s="343"/>
      <c r="Q20" s="343"/>
      <c r="R20" s="343"/>
      <c r="S20" s="343"/>
      <c r="T20" s="343"/>
      <c r="U20" s="343"/>
      <c r="V20" s="343"/>
      <c r="W20" s="343"/>
      <c r="X20" s="343"/>
      <c r="Y20" s="343"/>
      <c r="Z20" s="343"/>
      <c r="AA20" s="343"/>
      <c r="AB20" s="343"/>
      <c r="AC20" s="343"/>
    </row>
    <row r="21" spans="1:29" ht="15.05" customHeight="1"/>
    <row r="22" spans="1:29" ht="15.75" customHeight="1"/>
    <row r="23" spans="1:29" ht="15.05" customHeight="1"/>
    <row r="24" spans="1:29" ht="15.05" customHeight="1"/>
    <row r="25" spans="1:29" ht="15.05" customHeight="1"/>
    <row r="26" spans="1:29" ht="15.05" customHeight="1"/>
    <row r="27" spans="1:29" ht="15.05" customHeight="1"/>
    <row r="28" spans="1:29" ht="15.05" customHeight="1">
      <c r="J28" s="10"/>
    </row>
    <row r="29" spans="1:29" ht="15.05" customHeight="1">
      <c r="J29" s="11"/>
    </row>
    <row r="30" spans="1:29" ht="15.05" customHeight="1"/>
    <row r="31" spans="1:29" ht="15.05" customHeight="1"/>
    <row r="32" spans="1:29" ht="15.05" customHeight="1"/>
    <row r="33" spans="12:12" ht="15.05" customHeight="1"/>
    <row r="34" spans="12:12" ht="15.05" customHeight="1"/>
    <row r="35" spans="12:12" ht="18" customHeight="1">
      <c r="L35" s="21"/>
    </row>
    <row r="36" spans="12:12" ht="7.55" customHeight="1"/>
    <row r="37" spans="12:12" ht="7.55" customHeight="1"/>
  </sheetData>
  <customSheetViews>
    <customSheetView guid="{5CDC6F58-B038-4A0E-A13D-C643B013E119}" topLeftCell="A16">
      <selection activeCell="D35" sqref="D35"/>
      <pageMargins left="0" right="0" top="0" bottom="0" header="0" footer="0"/>
      <printOptions horizontalCentered="1"/>
      <pageSetup firstPageNumber="0" orientation="portrait" r:id="rId1"/>
      <headerFooter alignWithMargins="0">
        <oddFooter>&amp;C&amp;10&amp;A</oddFooter>
      </headerFooter>
    </customSheetView>
  </customSheetViews>
  <mergeCells count="11">
    <mergeCell ref="B20:J20"/>
    <mergeCell ref="B4:J4"/>
    <mergeCell ref="B5:J5"/>
    <mergeCell ref="H6:H7"/>
    <mergeCell ref="I6:I7"/>
    <mergeCell ref="B1:J1"/>
    <mergeCell ref="B6:B7"/>
    <mergeCell ref="E6:E7"/>
    <mergeCell ref="C6:C7"/>
    <mergeCell ref="B3:J3"/>
    <mergeCell ref="G6:G7"/>
  </mergeCells>
  <printOptions horizontalCentered="1"/>
  <pageMargins left="0.39370078740157483" right="0.39370078740157483" top="1.299212598425197" bottom="0.78740157480314965" header="0.51181102362204722" footer="0.59055118110236227"/>
  <pageSetup paperSize="126" firstPageNumber="0" orientation="portrait" r:id="rId2"/>
  <headerFooter alignWithMargins="0">
    <oddFooter>&amp;C&amp;10 11</oddFooter>
  </headerFooter>
  <ignoredErrors>
    <ignoredError sqref="E18:E19" formula="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1"/>
  <sheetViews>
    <sheetView zoomScale="90" zoomScaleNormal="90" workbookViewId="0">
      <selection activeCell="K15" sqref="K15"/>
    </sheetView>
  </sheetViews>
  <sheetFormatPr baseColWidth="10" defaultColWidth="10.9140625" defaultRowHeight="17.7"/>
  <cols>
    <col min="1" max="1" width="1.33203125" style="1" customWidth="1"/>
    <col min="2" max="2" width="12.75" customWidth="1"/>
    <col min="3" max="3" width="9.6640625" customWidth="1"/>
    <col min="4" max="4" width="9.1640625" customWidth="1"/>
    <col min="5" max="5" width="8.9140625" customWidth="1"/>
    <col min="6" max="6" width="9.08203125" customWidth="1"/>
    <col min="7" max="7" width="8" style="1" customWidth="1"/>
    <col min="8" max="8" width="6.4140625" style="1" customWidth="1"/>
    <col min="9" max="16384" width="10.9140625" style="1"/>
  </cols>
  <sheetData>
    <row r="1" spans="1:15" s="15" customFormat="1" ht="16.55" customHeight="1">
      <c r="B1" s="791" t="s">
        <v>202</v>
      </c>
      <c r="C1" s="791"/>
      <c r="D1" s="791"/>
      <c r="E1" s="791"/>
      <c r="F1" s="791"/>
      <c r="G1" s="791"/>
      <c r="H1" s="791"/>
    </row>
    <row r="2" spans="1:15" s="15" customFormat="1" ht="11.3" customHeight="1">
      <c r="A2" s="17"/>
      <c r="B2" s="17"/>
      <c r="C2" s="17"/>
      <c r="D2" s="16"/>
      <c r="E2" s="16"/>
      <c r="F2" s="16"/>
    </row>
    <row r="3" spans="1:15" s="15" customFormat="1" ht="15.75" customHeight="1">
      <c r="B3" s="791" t="s">
        <v>203</v>
      </c>
      <c r="C3" s="791"/>
      <c r="D3" s="791"/>
      <c r="E3" s="791"/>
      <c r="F3" s="791"/>
      <c r="G3" s="791"/>
      <c r="H3" s="791"/>
    </row>
    <row r="4" spans="1:15" s="15" customFormat="1" ht="15.75" customHeight="1">
      <c r="B4" s="867" t="s">
        <v>715</v>
      </c>
      <c r="C4" s="867"/>
      <c r="D4" s="867"/>
      <c r="E4" s="867"/>
      <c r="F4" s="867"/>
      <c r="G4" s="867"/>
      <c r="H4" s="867"/>
    </row>
    <row r="5" spans="1:15" s="15" customFormat="1" ht="15.75" customHeight="1">
      <c r="B5" s="868" t="s">
        <v>192</v>
      </c>
      <c r="C5" s="868"/>
      <c r="D5" s="868"/>
      <c r="E5" s="868"/>
      <c r="F5" s="868"/>
      <c r="G5" s="868"/>
      <c r="H5" s="868"/>
    </row>
    <row r="6" spans="1:15" s="14" customFormat="1" ht="15.75" customHeight="1">
      <c r="A6" s="22"/>
      <c r="B6" s="395" t="s">
        <v>204</v>
      </c>
      <c r="C6" s="194">
        <v>2019</v>
      </c>
      <c r="D6" s="194">
        <v>2020</v>
      </c>
      <c r="E6" s="194">
        <v>2021</v>
      </c>
      <c r="F6" s="194">
        <v>2022</v>
      </c>
      <c r="G6" s="194">
        <v>2023</v>
      </c>
      <c r="H6" s="194">
        <v>2024</v>
      </c>
      <c r="I6" s="92"/>
      <c r="J6" s="22"/>
      <c r="K6" s="66"/>
      <c r="L6" s="22"/>
      <c r="M6" s="22"/>
      <c r="N6" s="22"/>
      <c r="O6" s="22"/>
    </row>
    <row r="7" spans="1:15" s="14" customFormat="1" ht="15.75" customHeight="1">
      <c r="A7" s="22"/>
      <c r="B7" s="24" t="str">
        <f>'13'!B8</f>
        <v>Enero</v>
      </c>
      <c r="C7" s="65">
        <v>110928.26</v>
      </c>
      <c r="D7" s="65">
        <v>96514.718999999997</v>
      </c>
      <c r="E7" s="65">
        <v>63398.959000000003</v>
      </c>
      <c r="F7" s="65">
        <v>90745.256999999998</v>
      </c>
      <c r="G7" s="65">
        <v>92542.146000000008</v>
      </c>
      <c r="H7" s="65">
        <v>132048.49</v>
      </c>
      <c r="I7" s="1"/>
      <c r="J7" s="1"/>
      <c r="K7" s="1"/>
      <c r="L7" s="22"/>
      <c r="M7" s="22"/>
      <c r="N7" s="22"/>
      <c r="O7" s="22"/>
    </row>
    <row r="8" spans="1:15" s="14" customFormat="1" ht="15.75" customHeight="1">
      <c r="A8" s="22"/>
      <c r="B8" s="24" t="s">
        <v>205</v>
      </c>
      <c r="C8" s="65">
        <v>130574.61</v>
      </c>
      <c r="D8" s="65">
        <v>69539.14</v>
      </c>
      <c r="E8" s="65">
        <v>79487.328999999998</v>
      </c>
      <c r="F8" s="65">
        <v>88361.55</v>
      </c>
      <c r="G8" s="65">
        <v>84550.341</v>
      </c>
      <c r="H8" s="65">
        <v>48559.38</v>
      </c>
      <c r="I8" s="11"/>
      <c r="J8" s="1"/>
      <c r="K8" s="1"/>
      <c r="L8" s="22"/>
      <c r="M8" s="22"/>
      <c r="N8" s="22"/>
      <c r="O8" s="22"/>
    </row>
    <row r="9" spans="1:15" s="14" customFormat="1" ht="15.75" customHeight="1">
      <c r="A9" s="22"/>
      <c r="B9" s="24" t="str">
        <f>'13'!B10</f>
        <v>Marzo</v>
      </c>
      <c r="C9" s="65">
        <v>58957.94</v>
      </c>
      <c r="D9" s="65">
        <v>119307.88800000001</v>
      </c>
      <c r="E9" s="65">
        <v>53003.621999999996</v>
      </c>
      <c r="F9" s="65">
        <v>71525.05</v>
      </c>
      <c r="G9" s="65">
        <v>101274.17600000001</v>
      </c>
      <c r="H9" s="65">
        <v>65310.86234</v>
      </c>
      <c r="I9" s="1"/>
      <c r="J9" s="1"/>
      <c r="K9" s="1"/>
      <c r="L9" s="22"/>
      <c r="M9" s="22"/>
      <c r="N9" s="22"/>
      <c r="O9" s="22"/>
    </row>
    <row r="10" spans="1:15" s="14" customFormat="1" ht="15.75" customHeight="1">
      <c r="A10" s="22"/>
      <c r="B10" s="24" t="str">
        <f>'13'!B11</f>
        <v>Abril</v>
      </c>
      <c r="C10" s="65">
        <v>117091.58500000001</v>
      </c>
      <c r="D10" s="65">
        <v>124223.18</v>
      </c>
      <c r="E10" s="65">
        <v>94189.157999999996</v>
      </c>
      <c r="F10" s="65">
        <v>121250.43000000001</v>
      </c>
      <c r="G10" s="65">
        <v>93983.53</v>
      </c>
      <c r="H10" s="65">
        <v>67970.542000000001</v>
      </c>
      <c r="I10" s="1"/>
      <c r="J10" s="1"/>
      <c r="K10" s="1"/>
      <c r="L10" s="22"/>
      <c r="M10" s="22"/>
      <c r="N10" s="22"/>
      <c r="O10" s="22"/>
    </row>
    <row r="11" spans="1:15" s="14" customFormat="1" ht="15.75" customHeight="1">
      <c r="A11" s="22"/>
      <c r="B11" s="24" t="str">
        <f>'13'!B12</f>
        <v>Mayo</v>
      </c>
      <c r="C11" s="65">
        <v>90954.182000000001</v>
      </c>
      <c r="D11" s="65">
        <v>62552.36</v>
      </c>
      <c r="E11" s="65">
        <v>82688.937090000007</v>
      </c>
      <c r="F11" s="65">
        <v>98007.858000000007</v>
      </c>
      <c r="G11" s="65">
        <v>59520.112000000001</v>
      </c>
      <c r="H11" s="65">
        <v>60540.59</v>
      </c>
      <c r="I11" s="1"/>
      <c r="J11" s="1"/>
      <c r="K11" s="1"/>
      <c r="L11" s="22"/>
      <c r="M11" s="22"/>
      <c r="N11" s="22"/>
      <c r="O11" s="22"/>
    </row>
    <row r="12" spans="1:15" s="14" customFormat="1" ht="15.75" customHeight="1">
      <c r="A12" s="22"/>
      <c r="B12" s="24" t="str">
        <f>'13'!B13</f>
        <v>Junio</v>
      </c>
      <c r="C12" s="65">
        <v>47586.582000000002</v>
      </c>
      <c r="D12" s="65">
        <v>13641.522000000001</v>
      </c>
      <c r="E12" s="65">
        <v>45958.144</v>
      </c>
      <c r="F12" s="65">
        <v>87959.180000000008</v>
      </c>
      <c r="G12" s="65">
        <v>72944.664000000004</v>
      </c>
      <c r="H12" s="65">
        <v>70458.044249999992</v>
      </c>
      <c r="I12" s="1"/>
      <c r="J12" s="1"/>
      <c r="K12" s="1"/>
      <c r="L12" s="22"/>
      <c r="M12" s="22"/>
      <c r="N12" s="22"/>
      <c r="O12" s="22"/>
    </row>
    <row r="13" spans="1:15" s="14" customFormat="1" ht="15.75" customHeight="1">
      <c r="A13" s="22"/>
      <c r="B13" s="24" t="str">
        <f>'13'!B14</f>
        <v>Julio</v>
      </c>
      <c r="C13" s="65">
        <v>112338.01</v>
      </c>
      <c r="D13" s="65">
        <v>123117.16</v>
      </c>
      <c r="E13" s="65">
        <v>99473.799999999988</v>
      </c>
      <c r="F13" s="65">
        <v>56062.34</v>
      </c>
      <c r="G13" s="65">
        <v>69569.365999999995</v>
      </c>
      <c r="H13" s="65">
        <v>82577.779500000004</v>
      </c>
      <c r="I13" s="1"/>
      <c r="J13" s="1"/>
      <c r="K13" s="1"/>
      <c r="L13" s="22"/>
      <c r="M13" s="22"/>
      <c r="N13" s="22"/>
      <c r="O13" s="22"/>
    </row>
    <row r="14" spans="1:15" s="14" customFormat="1" ht="15.75" customHeight="1">
      <c r="A14" s="22"/>
      <c r="B14" s="24" t="str">
        <f>'13'!B15</f>
        <v>Agosto</v>
      </c>
      <c r="C14" s="65">
        <v>92228.86</v>
      </c>
      <c r="D14" s="65">
        <v>92572.023770000014</v>
      </c>
      <c r="E14" s="65">
        <v>113069.762</v>
      </c>
      <c r="F14" s="65">
        <v>78071.794999999998</v>
      </c>
      <c r="G14" s="65">
        <v>60886.01</v>
      </c>
      <c r="H14" s="65"/>
      <c r="I14" s="1" t="s">
        <v>97</v>
      </c>
      <c r="J14" s="1"/>
      <c r="K14" s="1"/>
      <c r="L14" s="22"/>
      <c r="M14" s="22"/>
      <c r="N14" s="22"/>
      <c r="O14" s="22"/>
    </row>
    <row r="15" spans="1:15" s="14" customFormat="1" ht="15.75" customHeight="1">
      <c r="A15" s="22"/>
      <c r="B15" s="24" t="str">
        <f>'13'!B16</f>
        <v>Septiembre</v>
      </c>
      <c r="C15" s="65">
        <v>139531.95000000001</v>
      </c>
      <c r="D15" s="65">
        <v>98529.35</v>
      </c>
      <c r="E15" s="65">
        <v>52095.76</v>
      </c>
      <c r="F15" s="65">
        <v>69234.141000000003</v>
      </c>
      <c r="G15" s="65">
        <v>115171.121</v>
      </c>
      <c r="H15" s="65" t="s">
        <v>97</v>
      </c>
      <c r="I15" s="1"/>
      <c r="J15" s="1"/>
      <c r="K15" s="1"/>
      <c r="L15" s="22"/>
      <c r="M15" s="22"/>
      <c r="N15" s="22"/>
      <c r="O15" s="22"/>
    </row>
    <row r="16" spans="1:15" s="14" customFormat="1" ht="15.75" customHeight="1">
      <c r="A16" s="22"/>
      <c r="B16" s="24" t="str">
        <f>'13'!B17</f>
        <v>Octubre</v>
      </c>
      <c r="C16" s="65">
        <v>45828.93</v>
      </c>
      <c r="D16" s="65">
        <v>155516.505</v>
      </c>
      <c r="E16" s="65">
        <v>46526.400000000001</v>
      </c>
      <c r="F16" s="65">
        <v>181332.08900000001</v>
      </c>
      <c r="G16" s="65">
        <v>100248.31200000001</v>
      </c>
      <c r="H16" s="65"/>
      <c r="I16" s="1"/>
      <c r="J16" s="1"/>
      <c r="K16" s="1"/>
      <c r="L16" s="22"/>
      <c r="M16" s="22"/>
      <c r="N16" s="22"/>
      <c r="O16" s="22"/>
    </row>
    <row r="17" spans="1:15" s="14" customFormat="1" ht="15.75" customHeight="1">
      <c r="A17" s="22"/>
      <c r="B17" s="24" t="s">
        <v>206</v>
      </c>
      <c r="C17" s="65">
        <v>84061.69</v>
      </c>
      <c r="D17" s="65">
        <v>85724.653000000006</v>
      </c>
      <c r="E17" s="65">
        <v>93586.786000000007</v>
      </c>
      <c r="F17" s="65">
        <v>79791.274000000005</v>
      </c>
      <c r="G17" s="65">
        <v>59033.91</v>
      </c>
      <c r="H17" s="65"/>
      <c r="I17" s="1" t="s">
        <v>97</v>
      </c>
      <c r="J17" s="1"/>
      <c r="K17" s="93"/>
      <c r="L17" s="22"/>
      <c r="M17" s="22"/>
      <c r="N17" s="22"/>
      <c r="O17" s="22"/>
    </row>
    <row r="18" spans="1:15" s="14" customFormat="1" ht="15.75" customHeight="1">
      <c r="A18" s="22"/>
      <c r="B18" s="24" t="s">
        <v>207</v>
      </c>
      <c r="C18" s="65">
        <v>85715.07</v>
      </c>
      <c r="D18" s="65">
        <v>95680.2693</v>
      </c>
      <c r="E18" s="65">
        <v>118216.40100000001</v>
      </c>
      <c r="F18" s="65">
        <v>87171.992000000013</v>
      </c>
      <c r="G18" s="65">
        <v>33840.864999999998</v>
      </c>
      <c r="H18" s="65"/>
      <c r="I18" s="1"/>
      <c r="J18" s="1"/>
      <c r="K18" s="22"/>
      <c r="L18" s="22"/>
      <c r="M18" s="22"/>
      <c r="N18" s="22"/>
      <c r="O18" s="22"/>
    </row>
    <row r="19" spans="1:15" s="14" customFormat="1" ht="15.75" customHeight="1">
      <c r="A19" s="22"/>
      <c r="B19" s="24" t="s">
        <v>208</v>
      </c>
      <c r="C19" s="65">
        <f t="shared" ref="C19:D19" si="0">SUM(C7:C18)</f>
        <v>1115797.6690000002</v>
      </c>
      <c r="D19" s="65">
        <f t="shared" si="0"/>
        <v>1136918.7700699999</v>
      </c>
      <c r="E19" s="65">
        <f>SUM(E7:E18)</f>
        <v>941695.05808999995</v>
      </c>
      <c r="F19" s="65">
        <f>SUM(F7:F18)</f>
        <v>1109512.956</v>
      </c>
      <c r="G19" s="65">
        <f>SUM(G7:G18)</f>
        <v>943564.55300000019</v>
      </c>
      <c r="H19" s="65">
        <f>SUM(H7:H18)</f>
        <v>527465.68808999995</v>
      </c>
      <c r="I19" s="225"/>
      <c r="J19" s="92"/>
      <c r="K19" s="22"/>
      <c r="L19" s="22"/>
      <c r="M19" s="22"/>
      <c r="N19" s="22"/>
      <c r="O19" s="22"/>
    </row>
    <row r="20" spans="1:15" ht="63.5" customHeight="1">
      <c r="B20" s="865" t="s">
        <v>757</v>
      </c>
      <c r="C20" s="866"/>
      <c r="D20" s="866"/>
      <c r="E20" s="866"/>
      <c r="F20" s="866"/>
      <c r="G20" s="866"/>
      <c r="H20" s="866"/>
    </row>
    <row r="21" spans="1:15" ht="11.8">
      <c r="B21" s="6"/>
      <c r="C21" s="6"/>
      <c r="D21" s="6"/>
      <c r="E21" s="6"/>
      <c r="F21" s="6"/>
    </row>
    <row r="22" spans="1:15" ht="42.05" customHeight="1">
      <c r="B22" s="1"/>
      <c r="C22" s="1"/>
      <c r="D22" s="1"/>
      <c r="E22" s="1"/>
      <c r="F22" s="1"/>
    </row>
    <row r="23" spans="1:15" ht="11.8">
      <c r="B23" s="1"/>
      <c r="C23" s="1"/>
      <c r="D23" s="1"/>
      <c r="E23" s="1"/>
      <c r="F23" s="1"/>
    </row>
    <row r="24" spans="1:15" ht="11.8">
      <c r="B24" s="1"/>
      <c r="C24" s="1"/>
      <c r="D24" s="1"/>
      <c r="E24" s="1"/>
      <c r="F24" s="1"/>
    </row>
    <row r="25" spans="1:15" ht="11.8">
      <c r="B25" s="1"/>
      <c r="C25" s="1"/>
      <c r="D25" s="1"/>
      <c r="E25" s="1"/>
      <c r="F25" s="1"/>
    </row>
    <row r="26" spans="1:15" ht="11.8">
      <c r="B26" s="1"/>
      <c r="C26" s="1"/>
      <c r="D26" s="1"/>
      <c r="E26" s="1"/>
      <c r="F26" s="1"/>
    </row>
    <row r="27" spans="1:15" ht="11.8">
      <c r="B27" s="1"/>
      <c r="C27" s="1"/>
      <c r="D27" s="1"/>
      <c r="E27" s="1"/>
      <c r="F27" s="1"/>
    </row>
    <row r="28" spans="1:15" ht="11.8">
      <c r="B28" s="1"/>
      <c r="C28" s="1"/>
      <c r="D28" s="1"/>
      <c r="E28" s="1"/>
      <c r="F28" s="1"/>
    </row>
    <row r="29" spans="1:15" ht="11.8">
      <c r="B29" s="1"/>
      <c r="C29" s="1"/>
      <c r="D29" s="1"/>
      <c r="E29" s="1"/>
      <c r="F29" s="1"/>
    </row>
    <row r="30" spans="1:15" ht="11.8">
      <c r="B30" s="1"/>
      <c r="C30" s="1"/>
      <c r="D30" s="1"/>
      <c r="E30" s="1"/>
      <c r="F30" s="1"/>
    </row>
    <row r="31" spans="1:15" ht="11.8">
      <c r="B31" s="1"/>
      <c r="C31" s="1"/>
      <c r="D31" s="1"/>
      <c r="E31" s="1"/>
      <c r="F31" s="1"/>
    </row>
    <row r="32" spans="1:15" ht="11.8">
      <c r="B32" s="1"/>
      <c r="C32" s="1"/>
      <c r="D32" s="1"/>
      <c r="E32" s="1"/>
      <c r="F32" s="1"/>
    </row>
    <row r="33" spans="2:6" ht="11.8">
      <c r="B33" s="1"/>
      <c r="C33" s="1"/>
      <c r="D33" s="1"/>
      <c r="E33" s="1"/>
      <c r="F33" s="1"/>
    </row>
    <row r="34" spans="2:6" ht="11.8">
      <c r="B34" s="1"/>
      <c r="C34" s="1"/>
      <c r="D34" s="1"/>
      <c r="E34" s="1"/>
      <c r="F34" s="1"/>
    </row>
    <row r="35" spans="2:6" ht="11.8">
      <c r="B35" s="1"/>
      <c r="C35" s="1"/>
      <c r="D35" s="1"/>
      <c r="E35" s="1"/>
      <c r="F35" s="1"/>
    </row>
    <row r="36" spans="2:6" ht="22.75" customHeight="1">
      <c r="B36" s="1"/>
      <c r="C36" s="1"/>
      <c r="D36" s="1"/>
      <c r="E36" s="1"/>
      <c r="F36" s="1"/>
    </row>
    <row r="37" spans="2:6" ht="11.8">
      <c r="B37" s="1"/>
      <c r="C37" s="1"/>
      <c r="D37" s="1"/>
      <c r="E37" s="1"/>
      <c r="F37" s="1"/>
    </row>
    <row r="38" spans="2:6" ht="18" customHeight="1">
      <c r="B38" s="87"/>
      <c r="C38" s="1"/>
      <c r="D38" s="1"/>
      <c r="E38" s="1"/>
      <c r="F38" s="1"/>
    </row>
    <row r="50" spans="8:12">
      <c r="H50"/>
      <c r="I50"/>
      <c r="J50"/>
      <c r="K50"/>
      <c r="L50"/>
    </row>
    <row r="51" spans="8:12">
      <c r="H51"/>
      <c r="I51"/>
      <c r="J51"/>
      <c r="K51"/>
      <c r="L51"/>
    </row>
  </sheetData>
  <customSheetViews>
    <customSheetView guid="{5CDC6F58-B038-4A0E-A13D-C643B013E119}" scale="98" topLeftCell="A18">
      <selection activeCell="E38" sqref="E38"/>
      <pageMargins left="0" right="0" top="0" bottom="0" header="0" footer="0"/>
      <printOptions horizontalCentered="1"/>
      <pageSetup firstPageNumber="0" orientation="portrait" r:id="rId1"/>
      <headerFooter alignWithMargins="0">
        <oddFooter>&amp;C&amp;10&amp;A</oddFooter>
      </headerFooter>
    </customSheetView>
  </customSheetViews>
  <mergeCells count="5">
    <mergeCell ref="B20:H20"/>
    <mergeCell ref="B1:H1"/>
    <mergeCell ref="B3:H3"/>
    <mergeCell ref="B4:H4"/>
    <mergeCell ref="B5:H5"/>
  </mergeCells>
  <printOptions horizontalCentered="1"/>
  <pageMargins left="0.55118110236220474" right="0.43307086614173229" top="1.299212598425197" bottom="0.78740157480314965" header="0.51181102362204722" footer="0.59055118110236227"/>
  <pageSetup paperSize="126" firstPageNumber="0" orientation="portrait" r:id="rId2"/>
  <headerFooter alignWithMargins="0">
    <oddFooter>&amp;C&amp;10&amp;A</oddFooter>
  </headerFooter>
  <ignoredErrors>
    <ignoredError sqref="C19:G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41"/>
  <sheetViews>
    <sheetView showWhiteSpace="0" topLeftCell="A7" zoomScale="80" zoomScaleNormal="80" zoomScalePageLayoutView="70" workbookViewId="0">
      <selection activeCell="V33" sqref="V33"/>
    </sheetView>
  </sheetViews>
  <sheetFormatPr baseColWidth="10" defaultColWidth="10.9140625" defaultRowHeight="11.8"/>
  <cols>
    <col min="1" max="1" width="1.6640625" style="1" customWidth="1"/>
    <col min="2" max="2" width="9.25" style="1" customWidth="1"/>
    <col min="3" max="15" width="6.33203125" style="1" customWidth="1"/>
    <col min="16" max="16" width="6.4140625" style="1" bestFit="1" customWidth="1"/>
    <col min="17" max="17" width="6.4140625" style="1" customWidth="1"/>
    <col min="18" max="18" width="6" style="1" customWidth="1"/>
    <col min="19" max="19" width="8.5" style="1" customWidth="1"/>
    <col min="20" max="20" width="1.4140625" style="531" customWidth="1"/>
    <col min="21" max="21" width="9.33203125" style="339" bestFit="1" customWidth="1"/>
    <col min="22" max="22" width="7.5" style="339" customWidth="1"/>
    <col min="23" max="23" width="6.4140625" style="339" bestFit="1" customWidth="1"/>
    <col min="24" max="24" width="6.25" style="339" customWidth="1"/>
    <col min="25" max="25" width="5" style="339" bestFit="1" customWidth="1"/>
    <col min="26" max="26" width="4.75" style="339" customWidth="1"/>
    <col min="27" max="27" width="4.75" style="339" bestFit="1" customWidth="1"/>
    <col min="28" max="28" width="5.1640625" style="531" bestFit="1" customWidth="1"/>
    <col min="29" max="29" width="4.75" style="531" bestFit="1" customWidth="1"/>
    <col min="30" max="30" width="4.33203125" style="531" bestFit="1" customWidth="1"/>
    <col min="31" max="31" width="4.75" style="531" bestFit="1" customWidth="1"/>
    <col min="32" max="32" width="5.4140625" style="531" bestFit="1" customWidth="1"/>
    <col min="33" max="33" width="5.1640625" style="531" bestFit="1" customWidth="1"/>
    <col min="34" max="34" width="5.4140625" style="531" bestFit="1" customWidth="1"/>
    <col min="35" max="42" width="10.9140625" style="531"/>
    <col min="43" max="16384" width="10.9140625" style="1"/>
  </cols>
  <sheetData>
    <row r="1" spans="2:42" s="15" customFormat="1" ht="13.1">
      <c r="B1" s="791" t="s">
        <v>209</v>
      </c>
      <c r="C1" s="791"/>
      <c r="D1" s="791"/>
      <c r="E1" s="791"/>
      <c r="F1" s="791"/>
      <c r="G1" s="791"/>
      <c r="H1" s="791"/>
      <c r="I1" s="791"/>
      <c r="J1" s="791"/>
      <c r="K1" s="791"/>
      <c r="L1" s="791"/>
      <c r="M1" s="791"/>
      <c r="N1" s="791"/>
      <c r="O1" s="791"/>
      <c r="P1" s="791"/>
      <c r="Q1" s="791"/>
      <c r="R1" s="791"/>
      <c r="S1" s="791"/>
      <c r="T1" s="537"/>
      <c r="U1" s="282"/>
      <c r="V1" s="282" t="str">
        <f>C6</f>
        <v>Argentina</v>
      </c>
      <c r="W1" s="282" t="str">
        <f>G6</f>
        <v>Canadá</v>
      </c>
      <c r="X1" s="282" t="str">
        <f>K6</f>
        <v>EE.UU.</v>
      </c>
      <c r="Y1" s="282" t="s">
        <v>210</v>
      </c>
      <c r="Z1" s="282"/>
      <c r="AA1" s="282"/>
      <c r="AB1" s="537"/>
      <c r="AC1" s="537"/>
      <c r="AD1" s="537"/>
      <c r="AE1" s="537"/>
      <c r="AF1" s="537"/>
      <c r="AG1" s="537"/>
      <c r="AH1" s="537"/>
      <c r="AI1" s="537"/>
      <c r="AJ1" s="537"/>
      <c r="AK1" s="537"/>
      <c r="AL1" s="537"/>
      <c r="AM1" s="537"/>
      <c r="AN1" s="537"/>
      <c r="AO1" s="537"/>
      <c r="AP1" s="537"/>
    </row>
    <row r="2" spans="2:42" s="15" customFormat="1" ht="17.7">
      <c r="B2" s="17"/>
      <c r="C2" s="17"/>
      <c r="D2" s="17"/>
      <c r="E2" s="17"/>
      <c r="F2" s="17"/>
      <c r="G2" s="17"/>
      <c r="H2" s="17"/>
      <c r="I2" s="17"/>
      <c r="J2" s="17"/>
      <c r="K2" s="17"/>
      <c r="L2" s="17"/>
      <c r="M2" s="17"/>
      <c r="N2" s="17"/>
      <c r="O2" s="23"/>
      <c r="P2" s="23"/>
      <c r="Q2" s="23"/>
      <c r="R2" s="23"/>
      <c r="S2" s="11"/>
      <c r="T2" s="537"/>
      <c r="U2" s="607"/>
      <c r="V2" s="505">
        <f>+F21</f>
        <v>7.6737231146719903E-2</v>
      </c>
      <c r="W2" s="505">
        <f>+J21</f>
        <v>0.29140601844941622</v>
      </c>
      <c r="X2" s="505">
        <f>+N21</f>
        <v>0.28706336586876258</v>
      </c>
      <c r="Y2" s="607">
        <f>1-V2-W2-X2</f>
        <v>0.34479338453510133</v>
      </c>
      <c r="Z2" s="282"/>
      <c r="AA2" s="282"/>
      <c r="AB2" s="537"/>
      <c r="AC2" s="537"/>
      <c r="AD2" s="537"/>
      <c r="AE2" s="537"/>
      <c r="AF2" s="537"/>
      <c r="AG2" s="537"/>
      <c r="AH2" s="537"/>
      <c r="AI2" s="537"/>
      <c r="AJ2" s="537"/>
      <c r="AK2" s="537"/>
      <c r="AL2" s="537"/>
      <c r="AM2" s="537"/>
      <c r="AN2" s="537"/>
      <c r="AO2" s="537"/>
      <c r="AP2" s="537"/>
    </row>
    <row r="3" spans="2:42" s="15" customFormat="1" ht="13.1">
      <c r="B3" s="791" t="s">
        <v>41</v>
      </c>
      <c r="C3" s="791"/>
      <c r="D3" s="791"/>
      <c r="E3" s="791"/>
      <c r="F3" s="791"/>
      <c r="G3" s="791"/>
      <c r="H3" s="791"/>
      <c r="I3" s="791"/>
      <c r="J3" s="791"/>
      <c r="K3" s="791"/>
      <c r="L3" s="791"/>
      <c r="M3" s="791"/>
      <c r="N3" s="791"/>
      <c r="O3" s="791"/>
      <c r="P3" s="791"/>
      <c r="Q3" s="791"/>
      <c r="R3" s="791"/>
      <c r="S3" s="791"/>
      <c r="T3" s="537"/>
      <c r="U3" s="282"/>
      <c r="V3" s="282"/>
      <c r="W3" s="282"/>
      <c r="X3" s="282"/>
      <c r="Y3" s="282"/>
      <c r="Z3" s="282"/>
      <c r="AA3" s="282"/>
      <c r="AB3" s="537"/>
      <c r="AC3" s="537"/>
      <c r="AD3" s="537"/>
      <c r="AE3" s="537"/>
      <c r="AF3" s="537"/>
      <c r="AG3" s="537"/>
      <c r="AH3" s="537"/>
      <c r="AI3" s="537"/>
      <c r="AJ3" s="537"/>
      <c r="AK3" s="537"/>
      <c r="AL3" s="537"/>
      <c r="AM3" s="537"/>
      <c r="AN3" s="537"/>
      <c r="AO3" s="537"/>
      <c r="AP3" s="537"/>
    </row>
    <row r="4" spans="2:42" s="15" customFormat="1" ht="13.1">
      <c r="B4" s="867" t="s">
        <v>714</v>
      </c>
      <c r="C4" s="867"/>
      <c r="D4" s="867"/>
      <c r="E4" s="867"/>
      <c r="F4" s="867"/>
      <c r="G4" s="867"/>
      <c r="H4" s="867"/>
      <c r="I4" s="867"/>
      <c r="J4" s="867"/>
      <c r="K4" s="867"/>
      <c r="L4" s="867"/>
      <c r="M4" s="867"/>
      <c r="N4" s="867"/>
      <c r="O4" s="867"/>
      <c r="P4" s="867"/>
      <c r="Q4" s="867"/>
      <c r="R4" s="867"/>
      <c r="S4" s="867"/>
      <c r="T4" s="537"/>
      <c r="U4" s="282"/>
      <c r="V4" s="282"/>
      <c r="W4" s="282"/>
      <c r="X4" s="282"/>
      <c r="Y4" s="282"/>
      <c r="Z4" s="282"/>
      <c r="AA4" s="282"/>
      <c r="AB4" s="537"/>
      <c r="AC4" s="537"/>
      <c r="AD4" s="537"/>
      <c r="AE4" s="537"/>
      <c r="AF4" s="537"/>
      <c r="AG4" s="537"/>
      <c r="AH4" s="537"/>
      <c r="AI4" s="537"/>
      <c r="AJ4" s="537"/>
      <c r="AK4" s="537"/>
      <c r="AL4" s="537"/>
      <c r="AM4" s="537"/>
      <c r="AN4" s="537"/>
      <c r="AO4" s="537"/>
      <c r="AP4" s="537"/>
    </row>
    <row r="5" spans="2:42" s="15" customFormat="1" ht="13.1">
      <c r="B5" s="869" t="s">
        <v>192</v>
      </c>
      <c r="C5" s="869"/>
      <c r="D5" s="869"/>
      <c r="E5" s="869"/>
      <c r="F5" s="869"/>
      <c r="G5" s="869"/>
      <c r="H5" s="869"/>
      <c r="I5" s="869"/>
      <c r="J5" s="869"/>
      <c r="K5" s="869"/>
      <c r="L5" s="869"/>
      <c r="M5" s="869"/>
      <c r="N5" s="869"/>
      <c r="O5" s="869"/>
      <c r="P5" s="869"/>
      <c r="Q5" s="869"/>
      <c r="R5" s="869"/>
      <c r="S5" s="869"/>
      <c r="T5" s="537"/>
      <c r="U5" s="282"/>
      <c r="V5" s="282"/>
      <c r="W5" s="282"/>
      <c r="X5" s="282"/>
      <c r="Y5" s="282"/>
      <c r="Z5" s="282"/>
      <c r="AA5" s="282"/>
      <c r="AB5" s="537"/>
      <c r="AC5" s="537"/>
      <c r="AD5" s="537"/>
      <c r="AE5" s="537"/>
      <c r="AF5" s="537"/>
      <c r="AG5" s="537"/>
      <c r="AH5" s="537"/>
      <c r="AI5" s="537"/>
      <c r="AJ5" s="537"/>
      <c r="AK5" s="537"/>
      <c r="AL5" s="537"/>
      <c r="AM5" s="537"/>
      <c r="AN5" s="537"/>
      <c r="AO5" s="537"/>
      <c r="AP5" s="537"/>
    </row>
    <row r="6" spans="2:42" s="14" customFormat="1" ht="24.05" customHeight="1">
      <c r="B6" s="456" t="s">
        <v>211</v>
      </c>
      <c r="C6" s="857" t="s">
        <v>118</v>
      </c>
      <c r="D6" s="878"/>
      <c r="E6" s="878"/>
      <c r="F6" s="855"/>
      <c r="G6" s="857" t="s">
        <v>120</v>
      </c>
      <c r="H6" s="878"/>
      <c r="I6" s="878"/>
      <c r="J6" s="855"/>
      <c r="K6" s="857" t="s">
        <v>125</v>
      </c>
      <c r="L6" s="878"/>
      <c r="M6" s="878"/>
      <c r="N6" s="855"/>
      <c r="O6" s="870" t="s">
        <v>208</v>
      </c>
      <c r="P6" s="870"/>
      <c r="Q6" s="870"/>
      <c r="R6" s="870"/>
      <c r="S6" s="870"/>
      <c r="T6" s="343"/>
      <c r="U6" s="275"/>
      <c r="V6" s="275"/>
      <c r="W6" s="871"/>
      <c r="X6" s="871"/>
      <c r="Y6" s="871"/>
      <c r="Z6" s="872"/>
      <c r="AA6" s="872"/>
      <c r="AB6" s="872"/>
      <c r="AC6" s="872"/>
      <c r="AD6" s="872"/>
      <c r="AE6" s="872"/>
      <c r="AF6" s="873"/>
      <c r="AG6" s="873"/>
      <c r="AH6" s="873"/>
      <c r="AI6" s="873"/>
      <c r="AJ6" s="343"/>
      <c r="AK6" s="343"/>
      <c r="AL6" s="343"/>
      <c r="AM6" s="343"/>
      <c r="AN6" s="343"/>
      <c r="AO6" s="343"/>
      <c r="AP6" s="343"/>
    </row>
    <row r="7" spans="2:42" s="14" customFormat="1" ht="25.55" customHeight="1">
      <c r="B7" s="197"/>
      <c r="C7" s="124">
        <v>2021</v>
      </c>
      <c r="D7" s="124">
        <v>2022</v>
      </c>
      <c r="E7" s="124">
        <v>2023</v>
      </c>
      <c r="F7" s="124">
        <v>2024</v>
      </c>
      <c r="G7" s="124">
        <v>2021</v>
      </c>
      <c r="H7" s="124">
        <v>2022</v>
      </c>
      <c r="I7" s="124">
        <v>2023</v>
      </c>
      <c r="J7" s="124">
        <v>2024</v>
      </c>
      <c r="K7" s="124">
        <v>2021</v>
      </c>
      <c r="L7" s="124">
        <v>2022</v>
      </c>
      <c r="M7" s="124">
        <v>2023</v>
      </c>
      <c r="N7" s="124">
        <v>2024</v>
      </c>
      <c r="O7" s="124">
        <v>2021</v>
      </c>
      <c r="P7" s="124">
        <v>2022</v>
      </c>
      <c r="Q7" s="124">
        <v>2023</v>
      </c>
      <c r="R7" s="124">
        <v>2024</v>
      </c>
      <c r="S7" s="100" t="s">
        <v>713</v>
      </c>
      <c r="T7" s="343"/>
      <c r="U7" s="275"/>
      <c r="V7" s="275"/>
      <c r="W7" s="635" t="s">
        <v>97</v>
      </c>
      <c r="X7" s="635"/>
      <c r="Y7" s="635"/>
      <c r="Z7" s="635"/>
      <c r="AA7" s="635"/>
      <c r="AB7" s="638"/>
      <c r="AC7" s="638"/>
      <c r="AD7" s="638"/>
      <c r="AE7" s="638"/>
      <c r="AF7" s="638"/>
      <c r="AG7" s="638"/>
      <c r="AH7" s="638"/>
      <c r="AI7" s="637"/>
      <c r="AJ7" s="343"/>
      <c r="AK7" s="343"/>
      <c r="AL7" s="343"/>
      <c r="AM7" s="343"/>
      <c r="AN7" s="343"/>
      <c r="AO7" s="343"/>
      <c r="AP7" s="343"/>
    </row>
    <row r="8" spans="2:42" s="14" customFormat="1" ht="15.75" customHeight="1">
      <c r="B8" s="24" t="s">
        <v>212</v>
      </c>
      <c r="C8" s="345">
        <v>37232.027000000002</v>
      </c>
      <c r="D8" s="44">
        <v>61185.43</v>
      </c>
      <c r="E8" s="44">
        <v>49707.02</v>
      </c>
      <c r="F8" s="44">
        <v>6270</v>
      </c>
      <c r="G8" s="44">
        <v>2631.4520000000002</v>
      </c>
      <c r="H8" s="44">
        <v>23831.526999999998</v>
      </c>
      <c r="I8" s="44">
        <v>30799.655999999999</v>
      </c>
      <c r="J8" s="44">
        <v>34135.4</v>
      </c>
      <c r="K8" s="44">
        <v>23525.08</v>
      </c>
      <c r="L8" s="44">
        <v>2000</v>
      </c>
      <c r="M8" s="44">
        <v>10898.7</v>
      </c>
      <c r="N8" s="44">
        <v>24781.919999999998</v>
      </c>
      <c r="O8" s="44">
        <v>63398.959000000003</v>
      </c>
      <c r="P8" s="44">
        <v>90326.956999999995</v>
      </c>
      <c r="Q8" s="455">
        <v>91547.876000000004</v>
      </c>
      <c r="R8" s="455">
        <v>132048.49</v>
      </c>
      <c r="S8" s="590">
        <f t="shared" ref="S8:S14" si="0">+R8/Q8-1</f>
        <v>0.44239818300099043</v>
      </c>
      <c r="T8" s="343"/>
      <c r="U8" s="762"/>
      <c r="V8" s="275"/>
      <c r="W8" s="275"/>
      <c r="X8" s="275"/>
      <c r="Y8" s="275"/>
      <c r="Z8" s="275"/>
      <c r="AA8" s="275"/>
      <c r="AB8" s="343"/>
      <c r="AC8" s="343"/>
      <c r="AD8" s="343"/>
      <c r="AE8" s="343"/>
      <c r="AF8" s="343"/>
      <c r="AG8" s="343"/>
      <c r="AH8" s="343"/>
      <c r="AI8" s="343"/>
      <c r="AJ8" s="343"/>
      <c r="AK8" s="343"/>
      <c r="AL8" s="343"/>
      <c r="AM8" s="343"/>
      <c r="AN8" s="343"/>
      <c r="AO8" s="343"/>
      <c r="AP8" s="343"/>
    </row>
    <row r="9" spans="2:42" s="14" customFormat="1" ht="15.75" customHeight="1">
      <c r="B9" s="24" t="s">
        <v>213</v>
      </c>
      <c r="C9" s="270">
        <v>57265.148999999998</v>
      </c>
      <c r="D9" s="44">
        <v>59551.519999999997</v>
      </c>
      <c r="E9" s="44">
        <v>20234.84</v>
      </c>
      <c r="F9" s="44">
        <v>13049.65</v>
      </c>
      <c r="G9" s="44">
        <v>17126.95</v>
      </c>
      <c r="H9" s="44">
        <v>7132.22</v>
      </c>
      <c r="I9" s="44">
        <v>24033.611000000001</v>
      </c>
      <c r="J9" s="44">
        <v>2130.31</v>
      </c>
      <c r="K9" s="44">
        <v>5086.2299999999996</v>
      </c>
      <c r="L9" s="44">
        <v>1977.28</v>
      </c>
      <c r="M9" s="44">
        <v>40254.910000000003</v>
      </c>
      <c r="N9" s="44">
        <v>3200</v>
      </c>
      <c r="O9" s="44">
        <v>79487.328999999998</v>
      </c>
      <c r="P9" s="44">
        <v>88013.97</v>
      </c>
      <c r="Q9" s="455">
        <v>84550.341</v>
      </c>
      <c r="R9" s="455">
        <v>48559.38</v>
      </c>
      <c r="S9" s="590">
        <f t="shared" si="0"/>
        <v>-0.42567493607151752</v>
      </c>
      <c r="T9" s="343"/>
      <c r="U9" s="762"/>
      <c r="V9" s="275"/>
      <c r="W9" s="275"/>
      <c r="X9" s="275"/>
      <c r="Y9" s="275"/>
      <c r="Z9" s="275"/>
      <c r="AA9" s="275"/>
      <c r="AB9" s="343"/>
      <c r="AC9" s="343"/>
      <c r="AD9" s="343"/>
      <c r="AE9" s="343"/>
      <c r="AF9" s="343"/>
      <c r="AG9" s="343"/>
      <c r="AH9" s="343"/>
      <c r="AI9" s="343"/>
      <c r="AJ9" s="343"/>
      <c r="AK9" s="343"/>
      <c r="AL9" s="343"/>
      <c r="AM9" s="343"/>
      <c r="AN9" s="343"/>
      <c r="AO9" s="343"/>
      <c r="AP9" s="343"/>
    </row>
    <row r="10" spans="2:42" s="14" customFormat="1" ht="15.75" customHeight="1">
      <c r="B10" s="24" t="s">
        <v>214</v>
      </c>
      <c r="C10" s="270">
        <v>16324.164000000001</v>
      </c>
      <c r="D10" s="44">
        <v>57536.7</v>
      </c>
      <c r="E10" s="44">
        <v>41172.949999999997</v>
      </c>
      <c r="F10" s="44">
        <v>5229.71</v>
      </c>
      <c r="G10" s="44">
        <v>25599.43</v>
      </c>
      <c r="H10" s="44">
        <v>8658</v>
      </c>
      <c r="I10" s="44">
        <v>26990.885999999999</v>
      </c>
      <c r="J10" s="44">
        <v>6493.7359999999999</v>
      </c>
      <c r="K10" s="44">
        <v>11080</v>
      </c>
      <c r="L10" s="44">
        <v>0</v>
      </c>
      <c r="M10" s="44">
        <v>14226.34</v>
      </c>
      <c r="N10" s="44">
        <v>19121.02</v>
      </c>
      <c r="O10" s="44">
        <v>53003.593999999997</v>
      </c>
      <c r="P10" s="44">
        <v>71084.13</v>
      </c>
      <c r="Q10" s="455">
        <v>101274.17600000001</v>
      </c>
      <c r="R10" s="455">
        <v>65309.076000000001</v>
      </c>
      <c r="S10" s="590">
        <f t="shared" si="0"/>
        <v>-0.35512606886083187</v>
      </c>
      <c r="T10" s="343"/>
      <c r="U10" s="762"/>
      <c r="V10" s="275"/>
      <c r="W10" s="275"/>
      <c r="X10" s="275"/>
      <c r="Y10" s="275"/>
      <c r="Z10" s="275"/>
      <c r="AA10" s="275"/>
      <c r="AB10" s="343"/>
      <c r="AC10" s="343"/>
      <c r="AD10" s="343"/>
      <c r="AE10" s="343"/>
      <c r="AF10" s="343"/>
      <c r="AG10" s="343"/>
      <c r="AH10" s="343"/>
      <c r="AI10" s="343"/>
      <c r="AJ10" s="343"/>
      <c r="AK10" s="343"/>
      <c r="AL10" s="343"/>
      <c r="AM10" s="343"/>
      <c r="AN10" s="343"/>
      <c r="AO10" s="343"/>
      <c r="AP10" s="343"/>
    </row>
    <row r="11" spans="2:42" s="14" customFormat="1" ht="15.05" customHeight="1">
      <c r="B11" s="24" t="s">
        <v>215</v>
      </c>
      <c r="C11" s="270">
        <v>54964.597999999998</v>
      </c>
      <c r="D11" s="44">
        <v>21053.7</v>
      </c>
      <c r="E11" s="44">
        <v>38757.379999999997</v>
      </c>
      <c r="F11" s="44">
        <v>1181.17</v>
      </c>
      <c r="G11" s="44">
        <v>77.58</v>
      </c>
      <c r="H11" s="44">
        <v>42344.078000000001</v>
      </c>
      <c r="I11" s="44">
        <v>32359.69</v>
      </c>
      <c r="J11" s="44">
        <v>25752.9</v>
      </c>
      <c r="K11" s="44">
        <v>39118.519999999997</v>
      </c>
      <c r="L11" s="44">
        <v>25324.34</v>
      </c>
      <c r="M11" s="44">
        <v>6654.38</v>
      </c>
      <c r="N11" s="44">
        <v>4107.84</v>
      </c>
      <c r="O11" s="44">
        <v>94189.157999999996</v>
      </c>
      <c r="P11" s="44">
        <v>121222.83</v>
      </c>
      <c r="Q11" s="455">
        <v>93983.53</v>
      </c>
      <c r="R11" s="455">
        <v>67970.542000000001</v>
      </c>
      <c r="S11" s="590">
        <f t="shared" si="0"/>
        <v>-0.27678241070536502</v>
      </c>
      <c r="T11" s="343"/>
      <c r="U11" s="762"/>
      <c r="V11" s="275"/>
      <c r="W11" s="585"/>
      <c r="X11" s="585"/>
      <c r="Y11" s="585"/>
      <c r="Z11" s="585"/>
      <c r="AA11" s="585"/>
      <c r="AB11" s="553"/>
      <c r="AC11" s="553"/>
      <c r="AD11" s="553"/>
      <c r="AE11" s="553"/>
      <c r="AF11" s="636"/>
      <c r="AG11" s="553"/>
      <c r="AH11" s="553"/>
      <c r="AI11" s="343"/>
      <c r="AJ11" s="343"/>
      <c r="AK11" s="343"/>
      <c r="AL11" s="343"/>
      <c r="AM11" s="343"/>
      <c r="AN11" s="343"/>
      <c r="AO11" s="343"/>
      <c r="AP11" s="343"/>
    </row>
    <row r="12" spans="2:42" s="14" customFormat="1" ht="15.75" customHeight="1">
      <c r="B12" s="24" t="s">
        <v>216</v>
      </c>
      <c r="C12" s="270">
        <v>13293.19</v>
      </c>
      <c r="D12" s="44">
        <v>88104.51</v>
      </c>
      <c r="E12" s="44">
        <v>1049.9000000000001</v>
      </c>
      <c r="F12" s="44">
        <v>0</v>
      </c>
      <c r="G12" s="44">
        <v>64748.275999999998</v>
      </c>
      <c r="H12" s="44">
        <v>3391.55</v>
      </c>
      <c r="I12" s="44">
        <v>31062.01</v>
      </c>
      <c r="J12" s="44">
        <v>27573.040000000001</v>
      </c>
      <c r="K12" s="44">
        <v>4490.1499999999996</v>
      </c>
      <c r="L12" s="44">
        <v>2563.61</v>
      </c>
      <c r="M12" s="44">
        <v>16212.15</v>
      </c>
      <c r="N12" s="44">
        <v>22291.29</v>
      </c>
      <c r="O12" s="44">
        <v>82688.937090000007</v>
      </c>
      <c r="P12" s="44">
        <v>97703.228000000003</v>
      </c>
      <c r="Q12" s="455">
        <v>59517.112000000001</v>
      </c>
      <c r="R12" s="455">
        <v>60540.59</v>
      </c>
      <c r="S12" s="590">
        <f t="shared" si="0"/>
        <v>1.7196365307510231E-2</v>
      </c>
      <c r="T12" s="343"/>
      <c r="U12" s="762"/>
      <c r="V12" s="275"/>
      <c r="W12" s="530"/>
      <c r="X12" s="530"/>
      <c r="Y12" s="530"/>
      <c r="Z12" s="530"/>
      <c r="AA12" s="530"/>
      <c r="AB12" s="593"/>
      <c r="AC12" s="593"/>
      <c r="AD12" s="593"/>
      <c r="AE12" s="593"/>
      <c r="AF12" s="593"/>
      <c r="AG12" s="593"/>
      <c r="AH12" s="593"/>
      <c r="AI12" s="343"/>
      <c r="AJ12" s="343"/>
      <c r="AK12" s="343"/>
      <c r="AL12" s="343"/>
      <c r="AM12" s="343"/>
      <c r="AN12" s="343"/>
      <c r="AO12" s="343"/>
      <c r="AP12" s="343"/>
    </row>
    <row r="13" spans="2:42" s="14" customFormat="1" ht="15.75" customHeight="1">
      <c r="B13" s="24" t="s">
        <v>217</v>
      </c>
      <c r="C13" s="270">
        <v>34097.440000000002</v>
      </c>
      <c r="D13" s="44">
        <v>41892.11</v>
      </c>
      <c r="E13" s="44">
        <v>18715.150000000001</v>
      </c>
      <c r="F13" s="44">
        <v>0</v>
      </c>
      <c r="G13" s="44">
        <v>4147.6779999999999</v>
      </c>
      <c r="H13" s="44">
        <v>41886.550000000003</v>
      </c>
      <c r="I13" s="44">
        <v>53788.313999999998</v>
      </c>
      <c r="J13" s="44">
        <v>37171.678</v>
      </c>
      <c r="K13" s="44">
        <v>7357.7</v>
      </c>
      <c r="L13" s="44">
        <v>3495.5</v>
      </c>
      <c r="M13" s="44">
        <v>0</v>
      </c>
      <c r="N13" s="44">
        <v>26903.34</v>
      </c>
      <c r="O13" s="44">
        <v>45814.447999999997</v>
      </c>
      <c r="P13" s="44">
        <v>87814.66</v>
      </c>
      <c r="Q13" s="455">
        <v>72944.664000000004</v>
      </c>
      <c r="R13" s="455">
        <v>64922.197999999997</v>
      </c>
      <c r="S13" s="590">
        <f t="shared" si="0"/>
        <v>-0.10998016249687581</v>
      </c>
      <c r="T13" s="343"/>
      <c r="U13" s="762"/>
      <c r="V13" s="275"/>
      <c r="W13" s="275"/>
      <c r="X13" s="275"/>
      <c r="Y13" s="275"/>
      <c r="Z13" s="275"/>
      <c r="AA13" s="275"/>
      <c r="AB13" s="343"/>
      <c r="AC13" s="343"/>
      <c r="AD13" s="343"/>
      <c r="AE13" s="343"/>
      <c r="AF13" s="343"/>
      <c r="AG13" s="343"/>
      <c r="AH13" s="343"/>
      <c r="AI13" s="343"/>
      <c r="AJ13" s="343"/>
      <c r="AK13" s="343"/>
      <c r="AL13" s="343"/>
      <c r="AM13" s="343"/>
      <c r="AN13" s="343"/>
      <c r="AO13" s="343"/>
      <c r="AP13" s="343"/>
    </row>
    <row r="14" spans="2:42" s="14" customFormat="1" ht="15.75" customHeight="1">
      <c r="B14" s="24" t="s">
        <v>218</v>
      </c>
      <c r="C14" s="270">
        <v>41315.53</v>
      </c>
      <c r="D14" s="44">
        <v>30044.51</v>
      </c>
      <c r="E14" s="44">
        <v>4476.3500000000004</v>
      </c>
      <c r="F14" s="44">
        <v>14320.78</v>
      </c>
      <c r="G14" s="44">
        <v>54073.7</v>
      </c>
      <c r="H14" s="44">
        <v>8828.48</v>
      </c>
      <c r="I14" s="44">
        <v>64052.525999999998</v>
      </c>
      <c r="J14" s="44">
        <v>18835.898000000001</v>
      </c>
      <c r="K14" s="44">
        <v>0</v>
      </c>
      <c r="L14" s="44">
        <v>16930</v>
      </c>
      <c r="M14" s="44">
        <v>1040.49</v>
      </c>
      <c r="N14" s="44">
        <v>49421</v>
      </c>
      <c r="O14" s="44">
        <v>95415.9</v>
      </c>
      <c r="P14" s="44">
        <v>56059.49</v>
      </c>
      <c r="Q14" s="455">
        <v>69569.365999999995</v>
      </c>
      <c r="R14" s="455">
        <v>82577.729500000001</v>
      </c>
      <c r="S14" s="590">
        <f t="shared" si="0"/>
        <v>0.18698407428350006</v>
      </c>
      <c r="T14" s="343"/>
      <c r="U14" s="762"/>
      <c r="V14" s="339"/>
      <c r="W14" s="634"/>
      <c r="X14" s="634"/>
      <c r="Y14" s="634"/>
      <c r="Z14" s="275"/>
      <c r="AA14" s="275"/>
      <c r="AB14" s="343"/>
      <c r="AC14" s="343"/>
      <c r="AD14" s="343"/>
      <c r="AE14" s="343"/>
      <c r="AF14" s="343"/>
      <c r="AG14" s="343"/>
      <c r="AH14" s="343"/>
      <c r="AI14" s="343"/>
      <c r="AJ14" s="343"/>
      <c r="AK14" s="343"/>
      <c r="AL14" s="343"/>
      <c r="AM14" s="343"/>
      <c r="AN14" s="343"/>
      <c r="AO14" s="343"/>
      <c r="AP14" s="343"/>
    </row>
    <row r="15" spans="2:42" s="14" customFormat="1" ht="15.75" customHeight="1">
      <c r="B15" s="316" t="s">
        <v>219</v>
      </c>
      <c r="C15" s="270">
        <v>57138.36</v>
      </c>
      <c r="D15" s="44">
        <v>50975.125999999997</v>
      </c>
      <c r="E15" s="44">
        <v>0</v>
      </c>
      <c r="F15" s="44"/>
      <c r="G15" s="44">
        <v>38475.89</v>
      </c>
      <c r="H15" s="44">
        <v>1595.52</v>
      </c>
      <c r="I15" s="44">
        <v>35787.19</v>
      </c>
      <c r="J15" s="44"/>
      <c r="K15" s="44">
        <v>14398.512000000001</v>
      </c>
      <c r="L15" s="44">
        <v>15162.419</v>
      </c>
      <c r="M15" s="44">
        <v>25098.82</v>
      </c>
      <c r="N15" s="44"/>
      <c r="O15" s="44">
        <v>110012.762</v>
      </c>
      <c r="P15" s="44">
        <v>69042.554999999993</v>
      </c>
      <c r="Q15" s="455">
        <v>60886.01</v>
      </c>
      <c r="R15" s="455"/>
      <c r="S15" s="590"/>
      <c r="T15" s="343"/>
      <c r="U15" s="762"/>
      <c r="V15" s="339" t="s">
        <v>97</v>
      </c>
      <c r="W15" s="339"/>
      <c r="X15" s="339"/>
      <c r="Y15" s="275"/>
      <c r="Z15" s="275"/>
      <c r="AA15" s="275"/>
      <c r="AB15" s="343"/>
      <c r="AC15" s="343"/>
      <c r="AD15" s="343"/>
      <c r="AE15" s="343"/>
      <c r="AF15" s="343"/>
      <c r="AG15" s="343"/>
      <c r="AH15" s="343"/>
      <c r="AI15" s="343"/>
      <c r="AJ15" s="343"/>
      <c r="AK15" s="343"/>
      <c r="AL15" s="343"/>
      <c r="AM15" s="343"/>
      <c r="AN15" s="343"/>
      <c r="AO15" s="343"/>
      <c r="AP15" s="343"/>
    </row>
    <row r="16" spans="2:42" s="14" customFormat="1" ht="15.75" customHeight="1">
      <c r="B16" s="24" t="s">
        <v>220</v>
      </c>
      <c r="C16" s="270">
        <v>26449.01</v>
      </c>
      <c r="D16" s="44">
        <v>37136.980000000003</v>
      </c>
      <c r="E16" s="44">
        <v>0</v>
      </c>
      <c r="F16" s="44"/>
      <c r="G16" s="44">
        <v>7106.93</v>
      </c>
      <c r="H16" s="44">
        <v>1250</v>
      </c>
      <c r="I16" s="44">
        <v>22653.02</v>
      </c>
      <c r="J16" s="44"/>
      <c r="K16" s="44">
        <v>17617.29</v>
      </c>
      <c r="L16" s="44">
        <v>30274.971000000001</v>
      </c>
      <c r="M16" s="44">
        <v>63568.071000000004</v>
      </c>
      <c r="N16" s="44"/>
      <c r="O16" s="44">
        <v>51173.23</v>
      </c>
      <c r="P16" s="44">
        <v>69062.581000000006</v>
      </c>
      <c r="Q16" s="455">
        <v>115168.371</v>
      </c>
      <c r="R16" s="455"/>
      <c r="S16" s="590"/>
      <c r="T16" s="343"/>
      <c r="U16" s="762"/>
      <c r="V16" s="339"/>
      <c r="W16" s="339"/>
      <c r="X16" s="339"/>
      <c r="Y16" s="275"/>
      <c r="Z16" s="275"/>
      <c r="AA16" s="275"/>
      <c r="AB16" s="343"/>
      <c r="AC16" s="343"/>
      <c r="AD16" s="343"/>
      <c r="AE16" s="343"/>
      <c r="AF16" s="343"/>
      <c r="AG16" s="343"/>
      <c r="AH16" s="343"/>
      <c r="AI16" s="343"/>
      <c r="AJ16" s="343"/>
      <c r="AK16" s="343"/>
      <c r="AL16" s="343"/>
      <c r="AM16" s="343"/>
      <c r="AN16" s="343"/>
      <c r="AO16" s="343"/>
      <c r="AP16" s="343"/>
    </row>
    <row r="17" spans="1:42" s="14" customFormat="1" ht="15.75" customHeight="1">
      <c r="A17" s="22"/>
      <c r="B17" s="24" t="s">
        <v>221</v>
      </c>
      <c r="C17" s="44">
        <v>42511.15</v>
      </c>
      <c r="D17" s="44">
        <v>28268.639999999999</v>
      </c>
      <c r="E17" s="44">
        <v>0</v>
      </c>
      <c r="F17" s="44"/>
      <c r="G17" s="44">
        <v>35.18</v>
      </c>
      <c r="H17" s="44">
        <v>36180.031000000003</v>
      </c>
      <c r="I17" s="44">
        <v>54737.36</v>
      </c>
      <c r="J17" s="44"/>
      <c r="K17" s="44">
        <v>3428.31</v>
      </c>
      <c r="L17" s="44">
        <v>111404.21799999999</v>
      </c>
      <c r="M17" s="44">
        <v>37677.531999999999</v>
      </c>
      <c r="N17" s="44"/>
      <c r="O17" s="44">
        <v>45974.64</v>
      </c>
      <c r="P17" s="44">
        <v>176251.649</v>
      </c>
      <c r="Q17" s="455">
        <v>100248.31200000001</v>
      </c>
      <c r="R17" s="455"/>
      <c r="S17" s="590"/>
      <c r="T17" s="343"/>
      <c r="U17" s="762"/>
      <c r="V17" s="530"/>
      <c r="W17" s="530"/>
      <c r="X17" s="397"/>
      <c r="Y17" s="275"/>
      <c r="Z17" s="275"/>
      <c r="AA17" s="275"/>
      <c r="AB17" s="343"/>
      <c r="AC17" s="343"/>
      <c r="AD17" s="343"/>
      <c r="AE17" s="343"/>
      <c r="AF17" s="343"/>
      <c r="AG17" s="343"/>
      <c r="AH17" s="343"/>
      <c r="AI17" s="343"/>
      <c r="AJ17" s="343"/>
      <c r="AK17" s="343"/>
      <c r="AL17" s="343"/>
      <c r="AM17" s="343"/>
      <c r="AN17" s="343"/>
      <c r="AO17" s="343"/>
      <c r="AP17" s="343"/>
    </row>
    <row r="18" spans="1:42" s="14" customFormat="1" ht="15.75" customHeight="1">
      <c r="A18" s="22"/>
      <c r="B18" s="24" t="s">
        <v>206</v>
      </c>
      <c r="C18" s="270">
        <v>36100.633999999998</v>
      </c>
      <c r="D18" s="44">
        <v>385.44</v>
      </c>
      <c r="E18" s="44">
        <v>8985.64</v>
      </c>
      <c r="F18" s="44"/>
      <c r="G18" s="44">
        <v>38241.881999999998</v>
      </c>
      <c r="H18" s="44">
        <v>56467.849000000002</v>
      </c>
      <c r="I18" s="44">
        <v>18809.060000000001</v>
      </c>
      <c r="J18" s="44"/>
      <c r="K18" s="44">
        <v>17755.03</v>
      </c>
      <c r="L18" s="44">
        <v>18268.169999999998</v>
      </c>
      <c r="M18" s="44">
        <v>29739.21</v>
      </c>
      <c r="N18" s="44"/>
      <c r="O18" s="44">
        <v>93437.046000000002</v>
      </c>
      <c r="P18" s="44">
        <v>75404.328999999998</v>
      </c>
      <c r="Q18" s="455">
        <v>59033.91</v>
      </c>
      <c r="R18" s="455"/>
      <c r="S18" s="590"/>
      <c r="T18" s="343"/>
      <c r="U18" s="762"/>
      <c r="V18" s="275"/>
      <c r="W18" s="275"/>
      <c r="X18" s="397"/>
      <c r="Y18" s="275"/>
      <c r="Z18" s="275"/>
      <c r="AA18" s="275"/>
      <c r="AB18" s="343"/>
      <c r="AC18" s="343"/>
      <c r="AD18" s="343"/>
      <c r="AE18" s="343"/>
      <c r="AF18" s="343"/>
      <c r="AG18" s="343"/>
      <c r="AH18" s="343"/>
      <c r="AI18" s="343"/>
      <c r="AJ18" s="343"/>
      <c r="AK18" s="343"/>
      <c r="AL18" s="343"/>
      <c r="AM18" s="343"/>
      <c r="AN18" s="343"/>
      <c r="AO18" s="343"/>
      <c r="AP18" s="343"/>
    </row>
    <row r="19" spans="1:42" s="14" customFormat="1" ht="15.75" customHeight="1">
      <c r="A19" s="22"/>
      <c r="B19" s="24" t="s">
        <v>222</v>
      </c>
      <c r="C19" s="270">
        <v>43609.3</v>
      </c>
      <c r="D19" s="44">
        <v>43352</v>
      </c>
      <c r="E19" s="44">
        <v>0</v>
      </c>
      <c r="F19" s="44"/>
      <c r="G19" s="44">
        <v>73586.600999999995</v>
      </c>
      <c r="H19" s="44">
        <v>28620.397000000001</v>
      </c>
      <c r="I19" s="44">
        <v>16288.075000000001</v>
      </c>
      <c r="J19" s="44"/>
      <c r="K19" s="44">
        <v>154.54</v>
      </c>
      <c r="L19" s="44">
        <v>12990.725</v>
      </c>
      <c r="M19" s="44">
        <v>14379.9</v>
      </c>
      <c r="N19" s="44"/>
      <c r="O19" s="44">
        <v>117948.94100000001</v>
      </c>
      <c r="P19" s="44">
        <v>85282.892000000007</v>
      </c>
      <c r="Q19" s="455">
        <v>33840.864999999998</v>
      </c>
      <c r="R19" s="455"/>
      <c r="S19" s="590"/>
      <c r="T19" s="343"/>
      <c r="U19" s="762"/>
      <c r="V19" s="275"/>
      <c r="W19" s="275"/>
      <c r="X19" s="275"/>
      <c r="Y19" s="275"/>
      <c r="Z19" s="275"/>
      <c r="AA19" s="275"/>
      <c r="AB19" s="343"/>
      <c r="AC19" s="343"/>
      <c r="AD19" s="343"/>
      <c r="AE19" s="343"/>
      <c r="AF19" s="343"/>
      <c r="AG19" s="343"/>
      <c r="AH19" s="343"/>
      <c r="AI19" s="343"/>
      <c r="AJ19" s="343"/>
      <c r="AK19" s="343"/>
      <c r="AL19" s="343"/>
      <c r="AM19" s="343"/>
      <c r="AN19" s="343"/>
      <c r="AO19" s="343"/>
      <c r="AP19" s="343"/>
    </row>
    <row r="20" spans="1:42" s="14" customFormat="1" ht="15.75" customHeight="1">
      <c r="A20" s="22"/>
      <c r="B20" s="24" t="s">
        <v>208</v>
      </c>
      <c r="C20" s="270">
        <f>SUM(C8:C19)</f>
        <v>460300.55200000008</v>
      </c>
      <c r="D20" s="270">
        <f t="shared" ref="D20:O20" si="1">SUM(D8:D19)</f>
        <v>519486.66599999997</v>
      </c>
      <c r="E20" s="270">
        <f t="shared" si="1"/>
        <v>183099.22999999998</v>
      </c>
      <c r="F20" s="270">
        <f t="shared" si="1"/>
        <v>40051.31</v>
      </c>
      <c r="G20" s="270">
        <f t="shared" si="1"/>
        <v>325851.549</v>
      </c>
      <c r="H20" s="270">
        <f t="shared" si="1"/>
        <v>260186.20199999999</v>
      </c>
      <c r="I20" s="270">
        <f t="shared" si="1"/>
        <v>411361.39800000004</v>
      </c>
      <c r="J20" s="270">
        <f t="shared" si="1"/>
        <v>152092.962</v>
      </c>
      <c r="K20" s="270">
        <f t="shared" si="1"/>
        <v>144011.36199999999</v>
      </c>
      <c r="L20" s="270">
        <f t="shared" si="1"/>
        <v>240391.23299999998</v>
      </c>
      <c r="M20" s="270">
        <f t="shared" si="1"/>
        <v>259750.503</v>
      </c>
      <c r="N20" s="270">
        <f t="shared" si="1"/>
        <v>149826.41</v>
      </c>
      <c r="O20" s="270">
        <f t="shared" si="1"/>
        <v>932544.94408999989</v>
      </c>
      <c r="P20" s="270">
        <f>SUM(P8:P19)</f>
        <v>1087269.2710000002</v>
      </c>
      <c r="Q20" s="270">
        <f>SUM(Q8:Q19)</f>
        <v>942564.53300000017</v>
      </c>
      <c r="R20" s="270">
        <f>SUM(R8:R19)</f>
        <v>521928.00549999997</v>
      </c>
      <c r="S20" s="270"/>
      <c r="T20" s="343"/>
      <c r="U20" s="225"/>
      <c r="V20" s="92"/>
      <c r="W20" s="530"/>
      <c r="X20" s="275"/>
      <c r="Y20" s="275"/>
      <c r="Z20" s="275"/>
      <c r="AA20" s="275"/>
      <c r="AB20" s="343"/>
      <c r="AC20" s="343"/>
      <c r="AD20" s="343"/>
      <c r="AE20" s="343"/>
      <c r="AF20" s="343"/>
      <c r="AG20" s="343"/>
      <c r="AH20" s="343"/>
      <c r="AI20" s="343"/>
      <c r="AJ20" s="343"/>
      <c r="AK20" s="343"/>
      <c r="AL20" s="343"/>
      <c r="AM20" s="343"/>
      <c r="AN20" s="343"/>
      <c r="AO20" s="343"/>
      <c r="AP20" s="343"/>
    </row>
    <row r="21" spans="1:42" s="14" customFormat="1" ht="15.75" customHeight="1">
      <c r="A21" s="22"/>
      <c r="B21" s="55" t="s">
        <v>223</v>
      </c>
      <c r="C21" s="457">
        <f>C20/O20</f>
        <v>0.49359610484958727</v>
      </c>
      <c r="D21" s="457">
        <f>+D20/$P$20</f>
        <v>0.47779025845383233</v>
      </c>
      <c r="E21" s="457">
        <f>E20/Q20</f>
        <v>0.19425643930949812</v>
      </c>
      <c r="F21" s="457">
        <f>F20/R20</f>
        <v>7.6737231146719903E-2</v>
      </c>
      <c r="G21" s="457">
        <f>+G20/$O$20</f>
        <v>0.34942181721651377</v>
      </c>
      <c r="H21" s="457">
        <f>+H20/$P$20</f>
        <v>0.23930245150835311</v>
      </c>
      <c r="I21" s="457">
        <f>I20/Q20</f>
        <v>0.43642783448547173</v>
      </c>
      <c r="J21" s="457">
        <f>J20/R20</f>
        <v>0.29140601844941622</v>
      </c>
      <c r="K21" s="457">
        <f>+K20/$O$20</f>
        <v>0.15442833389711827</v>
      </c>
      <c r="L21" s="457">
        <f>+L20/$P$20</f>
        <v>0.22109631846663302</v>
      </c>
      <c r="M21" s="457">
        <f>M20/Q20</f>
        <v>0.27557848179717148</v>
      </c>
      <c r="N21" s="457">
        <f>N20/R20</f>
        <v>0.28706336586876258</v>
      </c>
      <c r="O21" s="457">
        <f>+O20/$O$20</f>
        <v>1</v>
      </c>
      <c r="P21" s="457">
        <f>+P20/$P$20</f>
        <v>1</v>
      </c>
      <c r="Q21" s="457">
        <f>+Q20/$Q$20</f>
        <v>1</v>
      </c>
      <c r="R21" s="457">
        <f>+R20/$R$20</f>
        <v>1</v>
      </c>
      <c r="S21" s="74"/>
      <c r="T21" s="343"/>
      <c r="U21" s="763"/>
      <c r="V21" s="397"/>
      <c r="W21" s="275"/>
      <c r="X21" s="275"/>
      <c r="Y21" s="275"/>
      <c r="Z21" s="275"/>
      <c r="AA21" s="275"/>
      <c r="AB21" s="343"/>
      <c r="AC21" s="343"/>
      <c r="AD21" s="343"/>
      <c r="AE21" s="343"/>
      <c r="AF21" s="343"/>
      <c r="AG21" s="343"/>
      <c r="AH21" s="343"/>
      <c r="AI21" s="343"/>
      <c r="AJ21" s="343"/>
      <c r="AK21" s="343"/>
      <c r="AL21" s="343"/>
      <c r="AM21" s="343"/>
      <c r="AN21" s="343"/>
      <c r="AO21" s="343"/>
      <c r="AP21" s="343"/>
    </row>
    <row r="22" spans="1:42" s="14" customFormat="1" ht="37.35" customHeight="1">
      <c r="A22" s="22"/>
      <c r="B22" s="875" t="s">
        <v>224</v>
      </c>
      <c r="C22" s="876"/>
      <c r="D22" s="876"/>
      <c r="E22" s="876"/>
      <c r="F22" s="876"/>
      <c r="G22" s="876"/>
      <c r="H22" s="876"/>
      <c r="I22" s="876"/>
      <c r="J22" s="876"/>
      <c r="K22" s="876"/>
      <c r="L22" s="876"/>
      <c r="M22" s="876"/>
      <c r="N22" s="876"/>
      <c r="O22" s="876"/>
      <c r="P22" s="876"/>
      <c r="Q22" s="876"/>
      <c r="R22" s="876"/>
      <c r="S22" s="877"/>
      <c r="T22" s="343"/>
      <c r="U22" s="354"/>
      <c r="V22" s="354"/>
      <c r="W22" s="354"/>
      <c r="X22" s="354"/>
      <c r="Y22" s="275"/>
      <c r="Z22" s="275"/>
      <c r="AA22" s="275"/>
      <c r="AB22" s="343"/>
      <c r="AC22" s="343"/>
      <c r="AD22" s="343"/>
      <c r="AE22" s="343"/>
      <c r="AF22" s="343"/>
      <c r="AG22" s="343"/>
      <c r="AH22" s="343"/>
      <c r="AI22" s="343"/>
      <c r="AJ22" s="343"/>
      <c r="AK22" s="343"/>
      <c r="AL22" s="343"/>
      <c r="AM22" s="343"/>
      <c r="AN22" s="343"/>
      <c r="AO22" s="343"/>
      <c r="AP22" s="343"/>
    </row>
    <row r="23" spans="1:42" s="14" customFormat="1" ht="8.1999999999999993" customHeight="1">
      <c r="A23" s="22"/>
      <c r="B23" s="29"/>
      <c r="C23" s="29"/>
      <c r="D23" s="29"/>
      <c r="E23" s="29"/>
      <c r="F23" s="29"/>
      <c r="G23" s="29"/>
      <c r="H23" s="29"/>
      <c r="I23" s="29"/>
      <c r="J23" s="29"/>
      <c r="K23" s="29"/>
      <c r="L23" s="29"/>
      <c r="M23" s="29"/>
      <c r="N23" s="29"/>
      <c r="O23" s="431"/>
      <c r="P23" s="431"/>
      <c r="Q23" s="431"/>
      <c r="R23" s="431"/>
      <c r="S23" s="29"/>
      <c r="T23" s="343"/>
      <c r="U23" s="354"/>
      <c r="V23" s="354"/>
      <c r="W23" s="354"/>
      <c r="X23" s="354"/>
      <c r="Y23" s="275"/>
      <c r="Z23" s="275"/>
      <c r="AA23" s="275"/>
      <c r="AB23" s="343"/>
      <c r="AC23" s="343"/>
      <c r="AD23" s="343"/>
      <c r="AE23" s="343"/>
      <c r="AF23" s="343"/>
      <c r="AG23" s="343"/>
      <c r="AH23" s="343"/>
      <c r="AI23" s="343"/>
      <c r="AJ23" s="343"/>
      <c r="AK23" s="343"/>
      <c r="AL23" s="343"/>
      <c r="AM23" s="343"/>
      <c r="AN23" s="343"/>
      <c r="AO23" s="343"/>
      <c r="AP23" s="343"/>
    </row>
    <row r="24" spans="1:42" s="14" customFormat="1" ht="15.75" customHeight="1">
      <c r="A24" s="22"/>
      <c r="B24" s="874"/>
      <c r="C24" s="874"/>
      <c r="D24" s="874"/>
      <c r="E24" s="874"/>
      <c r="F24" s="874"/>
      <c r="G24" s="874"/>
      <c r="H24" s="874"/>
      <c r="I24" s="874"/>
      <c r="J24" s="874"/>
      <c r="K24" s="874"/>
      <c r="L24" s="874"/>
      <c r="M24" s="874"/>
      <c r="N24" s="874"/>
      <c r="O24" s="874"/>
      <c r="P24" s="874"/>
      <c r="Q24" s="874"/>
      <c r="R24" s="874"/>
      <c r="S24" s="874"/>
      <c r="T24" s="343"/>
      <c r="U24" s="354"/>
      <c r="V24" s="354"/>
      <c r="W24" s="354"/>
      <c r="X24" s="354"/>
      <c r="Y24" s="275"/>
      <c r="Z24" s="275"/>
      <c r="AA24" s="275"/>
      <c r="AB24" s="343"/>
      <c r="AC24" s="343"/>
      <c r="AD24" s="343"/>
      <c r="AE24" s="343"/>
      <c r="AF24" s="343"/>
      <c r="AG24" s="343"/>
      <c r="AH24" s="343"/>
      <c r="AI24" s="343"/>
      <c r="AJ24" s="343"/>
      <c r="AK24" s="343"/>
      <c r="AL24" s="343"/>
      <c r="AM24" s="343"/>
      <c r="AN24" s="343"/>
      <c r="AO24" s="343"/>
      <c r="AP24" s="343"/>
    </row>
    <row r="25" spans="1:42" s="14" customFormat="1" ht="15.75" customHeight="1">
      <c r="A25" s="22"/>
      <c r="B25" s="1"/>
      <c r="C25" s="22"/>
      <c r="D25" s="22"/>
      <c r="E25" s="22"/>
      <c r="F25" s="22"/>
      <c r="G25" s="22"/>
      <c r="H25" s="22"/>
      <c r="I25" s="22"/>
      <c r="J25" s="22"/>
      <c r="K25" s="22"/>
      <c r="L25" s="22"/>
      <c r="M25" s="22"/>
      <c r="N25" s="22"/>
      <c r="O25" s="22"/>
      <c r="P25" s="22"/>
      <c r="Q25" s="22"/>
      <c r="R25" s="22"/>
      <c r="S25" s="22"/>
      <c r="T25" s="343"/>
      <c r="U25" s="354"/>
      <c r="V25" s="354"/>
      <c r="W25" s="354"/>
      <c r="X25" s="354"/>
      <c r="Y25" s="275"/>
      <c r="Z25" s="275"/>
      <c r="AA25" s="275"/>
      <c r="AB25" s="343"/>
      <c r="AC25" s="343"/>
      <c r="AD25" s="343"/>
      <c r="AE25" s="343"/>
      <c r="AF25" s="343"/>
      <c r="AG25" s="343"/>
      <c r="AH25" s="343"/>
      <c r="AI25" s="343"/>
      <c r="AJ25" s="343"/>
      <c r="AK25" s="343"/>
      <c r="AL25" s="343"/>
      <c r="AM25" s="343"/>
      <c r="AN25" s="343"/>
      <c r="AO25" s="343"/>
      <c r="AP25" s="343"/>
    </row>
    <row r="26" spans="1:42" ht="17.2" customHeight="1">
      <c r="B26" s="57"/>
      <c r="C26" s="57"/>
      <c r="D26" s="57"/>
      <c r="E26" s="57"/>
      <c r="F26" s="57"/>
      <c r="G26" s="57"/>
      <c r="H26" s="57"/>
      <c r="I26" s="57"/>
      <c r="J26" s="57"/>
      <c r="K26" s="57"/>
      <c r="L26" s="57"/>
      <c r="M26" s="57"/>
      <c r="N26" s="57"/>
      <c r="O26" s="57"/>
      <c r="P26" s="57"/>
      <c r="Q26" s="57"/>
      <c r="R26" s="57"/>
      <c r="S26" s="57"/>
      <c r="T26" s="535"/>
      <c r="U26" s="354"/>
      <c r="V26" s="354"/>
      <c r="W26" s="354"/>
      <c r="X26" s="354"/>
    </row>
    <row r="27" spans="1:42" ht="15.05" customHeight="1">
      <c r="B27" s="2"/>
      <c r="C27" s="2"/>
      <c r="D27" s="2"/>
      <c r="E27" s="2"/>
      <c r="F27" s="2"/>
      <c r="G27" s="2"/>
      <c r="H27" s="2"/>
      <c r="I27" s="2"/>
      <c r="J27" s="2"/>
      <c r="K27" s="2"/>
      <c r="L27" s="2"/>
      <c r="M27" s="2"/>
      <c r="N27" s="2"/>
      <c r="O27" s="2"/>
      <c r="P27" s="2"/>
      <c r="Q27" s="2"/>
      <c r="R27" s="2"/>
      <c r="S27" s="2"/>
      <c r="U27" s="354"/>
      <c r="V27" s="354"/>
      <c r="W27" s="354"/>
      <c r="X27" s="354"/>
    </row>
    <row r="28" spans="1:42" ht="15.05" customHeight="1">
      <c r="U28" s="354"/>
      <c r="V28" s="354"/>
      <c r="W28" s="354"/>
      <c r="X28" s="354"/>
    </row>
    <row r="29" spans="1:42" ht="15.05" customHeight="1">
      <c r="U29" s="354"/>
      <c r="V29" s="354"/>
      <c r="W29" s="354"/>
      <c r="X29" s="354"/>
    </row>
    <row r="30" spans="1:42" ht="15.05" customHeight="1">
      <c r="U30" s="354"/>
      <c r="V30" s="354"/>
      <c r="W30" s="354"/>
      <c r="X30" s="354"/>
    </row>
    <row r="31" spans="1:42" ht="15.05" customHeight="1">
      <c r="U31" s="354"/>
      <c r="V31" s="354"/>
      <c r="W31" s="354"/>
      <c r="X31" s="354"/>
    </row>
    <row r="32" spans="1:42" ht="15.05" customHeight="1"/>
    <row r="33" spans="26:26" ht="15.05" customHeight="1"/>
    <row r="34" spans="26:26" ht="15.05" customHeight="1"/>
    <row r="35" spans="26:26" ht="15.05" customHeight="1"/>
    <row r="36" spans="26:26" ht="15.05" customHeight="1"/>
    <row r="37" spans="26:26" ht="15.05" customHeight="1"/>
    <row r="38" spans="26:26" ht="15.05" customHeight="1">
      <c r="Z38" s="608"/>
    </row>
    <row r="39" spans="26:26" ht="15.05" customHeight="1"/>
    <row r="40" spans="26:26" ht="15.05" customHeight="1"/>
    <row r="41" spans="26:26" ht="15.05" customHeight="1"/>
  </sheetData>
  <customSheetViews>
    <customSheetView guid="{5CDC6F58-B038-4A0E-A13D-C643B013E119}" hiddenColumns="1" topLeftCell="A31">
      <selection activeCell="A43" sqref="A43:J43"/>
      <pageMargins left="0" right="0" top="0" bottom="0" header="0" footer="0"/>
      <printOptions horizontalCentered="1"/>
      <pageSetup scale="95" firstPageNumber="0" orientation="portrait" r:id="rId1"/>
      <headerFooter alignWithMargins="0">
        <oddFooter>&amp;C&amp;10&amp;A</oddFooter>
      </headerFooter>
    </customSheetView>
  </customSheetViews>
  <mergeCells count="14">
    <mergeCell ref="W6:Y6"/>
    <mergeCell ref="Z6:AB6"/>
    <mergeCell ref="AC6:AE6"/>
    <mergeCell ref="AF6:AI6"/>
    <mergeCell ref="B24:S24"/>
    <mergeCell ref="B22:S22"/>
    <mergeCell ref="C6:F6"/>
    <mergeCell ref="G6:J6"/>
    <mergeCell ref="K6:N6"/>
    <mergeCell ref="B1:S1"/>
    <mergeCell ref="B3:S3"/>
    <mergeCell ref="B5:S5"/>
    <mergeCell ref="O6:S6"/>
    <mergeCell ref="B4:S4"/>
  </mergeCells>
  <printOptions horizontalCentered="1"/>
  <pageMargins left="0.59055118110236227" right="0.59055118110236227" top="0.74803149606299213" bottom="0.78740157480314965" header="0.51181102362204722" footer="0.59055118110236227"/>
  <pageSetup paperSize="126" scale="51" firstPageNumber="0" orientation="portrait" r:id="rId2"/>
  <headerFooter alignWithMargins="0">
    <oddFooter>&amp;C&amp;10&amp;A</oddFooter>
  </headerFooter>
  <ignoredErrors>
    <ignoredError sqref="C20:D20 E20 M20 I20 O20:R20 G20:H20 K20:L20 F20 N20 J20" formulaRange="1"/>
    <ignoredError sqref="O21" formula="1" formulaRange="1"/>
    <ignoredError sqref="K21:L21 G21:H21 D21" formula="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C38"/>
  <sheetViews>
    <sheetView zoomScale="90" zoomScaleNormal="90" zoomScalePageLayoutView="90" workbookViewId="0">
      <selection activeCell="X33" sqref="X33"/>
    </sheetView>
  </sheetViews>
  <sheetFormatPr baseColWidth="10" defaultColWidth="10.9140625" defaultRowHeight="11.8"/>
  <cols>
    <col min="1" max="1" width="1.4140625" style="1" customWidth="1"/>
    <col min="2" max="2" width="9.83203125" style="1" customWidth="1"/>
    <col min="3" max="3" width="5.08203125" style="1" bestFit="1" customWidth="1"/>
    <col min="4" max="4" width="5.75" style="1" bestFit="1" customWidth="1"/>
    <col min="5" max="5" width="5.08203125" style="1" bestFit="1" customWidth="1"/>
    <col min="6" max="6" width="5.08203125" style="1" customWidth="1"/>
    <col min="7" max="8" width="5.4140625" style="1" bestFit="1" customWidth="1"/>
    <col min="9" max="9" width="5.08203125" style="1" bestFit="1" customWidth="1"/>
    <col min="10" max="10" width="5.08203125" style="1" customWidth="1"/>
    <col min="11" max="13" width="5.4140625" style="1" bestFit="1" customWidth="1"/>
    <col min="14" max="14" width="5.4140625" style="1" customWidth="1"/>
    <col min="15" max="15" width="5.75" style="1" bestFit="1" customWidth="1"/>
    <col min="16" max="16" width="5.9140625" style="1" bestFit="1" customWidth="1"/>
    <col min="17" max="17" width="5.75" style="1" bestFit="1" customWidth="1"/>
    <col min="18" max="18" width="5.75" style="1" customWidth="1"/>
    <col min="19" max="19" width="6.08203125" style="1" customWidth="1"/>
    <col min="20" max="20" width="1.4140625" style="531" customWidth="1"/>
    <col min="21" max="21" width="7.6640625" style="752" customWidth="1"/>
    <col min="22" max="22" width="8.33203125" style="425" bestFit="1" customWidth="1"/>
    <col min="23" max="23" width="7.1640625" style="425" bestFit="1" customWidth="1"/>
    <col min="24" max="24" width="6.6640625" style="425" bestFit="1" customWidth="1"/>
    <col min="25" max="25" width="9.4140625" style="425" customWidth="1"/>
    <col min="26" max="26" width="10.9140625" style="339"/>
    <col min="27" max="27" width="10.9140625" style="753"/>
    <col min="28" max="28" width="10.9140625" style="339"/>
    <col min="29" max="29" width="10.9140625" style="531"/>
    <col min="30" max="16384" width="10.9140625" style="1"/>
  </cols>
  <sheetData>
    <row r="1" spans="2:29" s="15" customFormat="1" ht="13.1">
      <c r="B1" s="791" t="s">
        <v>225</v>
      </c>
      <c r="C1" s="791"/>
      <c r="D1" s="791"/>
      <c r="E1" s="791"/>
      <c r="F1" s="791"/>
      <c r="G1" s="791"/>
      <c r="H1" s="791"/>
      <c r="I1" s="791"/>
      <c r="J1" s="791"/>
      <c r="K1" s="791"/>
      <c r="L1" s="791"/>
      <c r="M1" s="791"/>
      <c r="N1" s="791"/>
      <c r="O1" s="791"/>
      <c r="P1" s="791"/>
      <c r="Q1" s="791"/>
      <c r="R1" s="791"/>
      <c r="S1" s="791"/>
      <c r="T1" s="537"/>
      <c r="U1" s="741"/>
      <c r="V1" s="421" t="str">
        <f>G6</f>
        <v>Intermedio</v>
      </c>
      <c r="W1" s="421" t="str">
        <f>K6</f>
        <v>Fuerte</v>
      </c>
      <c r="X1" s="421" t="s">
        <v>210</v>
      </c>
      <c r="Y1" s="421"/>
      <c r="Z1" s="282"/>
      <c r="AA1" s="742"/>
      <c r="AB1" s="282"/>
      <c r="AC1" s="537"/>
    </row>
    <row r="2" spans="2:29" s="15" customFormat="1" ht="13.1">
      <c r="B2" s="17"/>
      <c r="C2" s="17"/>
      <c r="D2" s="17"/>
      <c r="E2" s="17"/>
      <c r="F2" s="17"/>
      <c r="G2" s="17"/>
      <c r="H2" s="17"/>
      <c r="I2" s="17"/>
      <c r="J2" s="17"/>
      <c r="K2" s="17"/>
      <c r="L2" s="17"/>
      <c r="M2" s="17"/>
      <c r="N2" s="17"/>
      <c r="T2" s="537"/>
      <c r="U2" s="743"/>
      <c r="V2" s="422"/>
      <c r="W2" s="422"/>
      <c r="X2" s="422"/>
      <c r="Y2" s="422"/>
      <c r="Z2" s="282"/>
      <c r="AA2" s="742"/>
      <c r="AB2" s="282"/>
      <c r="AC2" s="537"/>
    </row>
    <row r="3" spans="2:29" s="15" customFormat="1" ht="13.1">
      <c r="B3" s="791" t="s">
        <v>43</v>
      </c>
      <c r="C3" s="791"/>
      <c r="D3" s="791"/>
      <c r="E3" s="791"/>
      <c r="F3" s="791"/>
      <c r="G3" s="791"/>
      <c r="H3" s="791"/>
      <c r="I3" s="791"/>
      <c r="J3" s="791"/>
      <c r="K3" s="791"/>
      <c r="L3" s="791"/>
      <c r="M3" s="791"/>
      <c r="N3" s="791"/>
      <c r="O3" s="791"/>
      <c r="P3" s="791"/>
      <c r="Q3" s="791"/>
      <c r="R3" s="791"/>
      <c r="S3" s="791"/>
      <c r="T3" s="537"/>
      <c r="U3" s="741"/>
      <c r="V3" s="421"/>
      <c r="W3" s="421"/>
      <c r="X3" s="421"/>
      <c r="Y3" s="421"/>
      <c r="Z3" s="282"/>
      <c r="AA3" s="742"/>
      <c r="AB3" s="282"/>
      <c r="AC3" s="537"/>
    </row>
    <row r="4" spans="2:29" s="15" customFormat="1" ht="13.1">
      <c r="B4" s="867" t="s">
        <v>714</v>
      </c>
      <c r="C4" s="867"/>
      <c r="D4" s="867"/>
      <c r="E4" s="867"/>
      <c r="F4" s="867"/>
      <c r="G4" s="867"/>
      <c r="H4" s="867"/>
      <c r="I4" s="867"/>
      <c r="J4" s="867"/>
      <c r="K4" s="867"/>
      <c r="L4" s="867"/>
      <c r="M4" s="867"/>
      <c r="N4" s="867"/>
      <c r="O4" s="867"/>
      <c r="P4" s="867"/>
      <c r="Q4" s="867"/>
      <c r="R4" s="867"/>
      <c r="S4" s="867"/>
      <c r="T4" s="537"/>
      <c r="U4" s="741"/>
      <c r="V4" s="421"/>
      <c r="W4" s="421"/>
      <c r="X4" s="421"/>
      <c r="Y4" s="421"/>
      <c r="Z4" s="282"/>
      <c r="AA4" s="742"/>
      <c r="AB4" s="282"/>
      <c r="AC4" s="537"/>
    </row>
    <row r="5" spans="2:29" s="15" customFormat="1" ht="13.1">
      <c r="B5" s="886" t="s">
        <v>192</v>
      </c>
      <c r="C5" s="886"/>
      <c r="D5" s="886"/>
      <c r="E5" s="886"/>
      <c r="F5" s="886"/>
      <c r="G5" s="886"/>
      <c r="H5" s="886"/>
      <c r="I5" s="886"/>
      <c r="J5" s="886"/>
      <c r="K5" s="886"/>
      <c r="L5" s="886"/>
      <c r="M5" s="886"/>
      <c r="N5" s="886"/>
      <c r="O5" s="886"/>
      <c r="P5" s="886"/>
      <c r="Q5" s="886"/>
      <c r="R5" s="886"/>
      <c r="S5" s="886"/>
      <c r="T5" s="537"/>
      <c r="U5" s="744"/>
      <c r="V5" s="421"/>
      <c r="W5" s="421"/>
      <c r="X5" s="421"/>
      <c r="Y5" s="421"/>
      <c r="Z5" s="282"/>
      <c r="AA5" s="742"/>
      <c r="AB5" s="282"/>
      <c r="AC5" s="537"/>
    </row>
    <row r="6" spans="2:29" s="22" customFormat="1" ht="24.05" customHeight="1">
      <c r="B6" s="888" t="s">
        <v>211</v>
      </c>
      <c r="C6" s="889" t="s">
        <v>226</v>
      </c>
      <c r="D6" s="890"/>
      <c r="E6" s="890"/>
      <c r="F6" s="891"/>
      <c r="G6" s="889" t="s">
        <v>185</v>
      </c>
      <c r="H6" s="890"/>
      <c r="I6" s="890"/>
      <c r="J6" s="891"/>
      <c r="K6" s="889" t="s">
        <v>227</v>
      </c>
      <c r="L6" s="890"/>
      <c r="M6" s="890"/>
      <c r="N6" s="891"/>
      <c r="O6" s="887" t="s">
        <v>208</v>
      </c>
      <c r="P6" s="887"/>
      <c r="Q6" s="887"/>
      <c r="R6" s="887"/>
      <c r="S6" s="887"/>
      <c r="T6" s="343"/>
      <c r="U6" s="744"/>
      <c r="V6" s="423"/>
      <c r="W6" s="423"/>
      <c r="X6" s="423"/>
      <c r="Y6" s="423"/>
      <c r="Z6" s="275"/>
      <c r="AA6" s="745"/>
      <c r="AB6" s="275"/>
      <c r="AC6" s="343"/>
    </row>
    <row r="7" spans="2:29" s="22" customFormat="1" ht="35.35">
      <c r="B7" s="888"/>
      <c r="C7" s="596">
        <v>2021</v>
      </c>
      <c r="D7" s="596">
        <v>2022</v>
      </c>
      <c r="E7" s="596">
        <v>2023</v>
      </c>
      <c r="F7" s="596">
        <v>2024</v>
      </c>
      <c r="G7" s="596">
        <v>2021</v>
      </c>
      <c r="H7" s="596">
        <v>2022</v>
      </c>
      <c r="I7" s="596">
        <v>2023</v>
      </c>
      <c r="J7" s="596">
        <v>2024</v>
      </c>
      <c r="K7" s="596">
        <v>2021</v>
      </c>
      <c r="L7" s="596">
        <v>2022</v>
      </c>
      <c r="M7" s="596">
        <v>2023</v>
      </c>
      <c r="N7" s="596">
        <v>2024</v>
      </c>
      <c r="O7" s="596">
        <v>2021</v>
      </c>
      <c r="P7" s="596">
        <v>2022</v>
      </c>
      <c r="Q7" s="596">
        <v>2023</v>
      </c>
      <c r="R7" s="596">
        <v>2024</v>
      </c>
      <c r="S7" s="271" t="s">
        <v>713</v>
      </c>
      <c r="T7" s="343"/>
      <c r="U7" s="744"/>
      <c r="V7" s="424"/>
      <c r="W7" s="423"/>
      <c r="X7" s="423"/>
      <c r="Y7" s="423"/>
      <c r="Z7" s="275"/>
      <c r="AA7" s="745"/>
      <c r="AB7" s="275"/>
      <c r="AC7" s="343"/>
    </row>
    <row r="8" spans="2:29" s="22" customFormat="1" ht="15.75" customHeight="1">
      <c r="B8" s="597" t="s">
        <v>212</v>
      </c>
      <c r="C8" s="598">
        <v>23355.56</v>
      </c>
      <c r="D8" s="598">
        <v>3310</v>
      </c>
      <c r="E8" s="598">
        <v>21559.18</v>
      </c>
      <c r="F8" s="598">
        <v>22245.24</v>
      </c>
      <c r="G8" s="598">
        <v>27135.919999999998</v>
      </c>
      <c r="H8" s="598">
        <v>64657.165000000001</v>
      </c>
      <c r="I8" s="598">
        <v>49057</v>
      </c>
      <c r="J8" s="598">
        <v>75667.850000000006</v>
      </c>
      <c r="K8" s="598">
        <v>11675.478999999999</v>
      </c>
      <c r="L8" s="598">
        <v>22220.472000000002</v>
      </c>
      <c r="M8" s="598">
        <v>20931.696</v>
      </c>
      <c r="N8" s="598">
        <v>34135.4</v>
      </c>
      <c r="O8" s="598">
        <v>63398.958999999995</v>
      </c>
      <c r="P8" s="598">
        <v>90326.957000000024</v>
      </c>
      <c r="Q8" s="598">
        <v>91547.875999999989</v>
      </c>
      <c r="R8" s="598">
        <v>132048.49000000002</v>
      </c>
      <c r="S8" s="599">
        <f t="shared" ref="S8:S14" si="0">R8/Q8-1</f>
        <v>0.4423981830009911</v>
      </c>
      <c r="T8" s="343"/>
      <c r="U8" s="746"/>
      <c r="V8" s="716"/>
      <c r="W8" s="716"/>
      <c r="X8" s="716"/>
      <c r="Y8" s="423"/>
      <c r="Z8" s="275"/>
      <c r="AA8" s="745"/>
      <c r="AB8" s="275"/>
      <c r="AC8" s="343"/>
    </row>
    <row r="9" spans="2:29" s="22" customFormat="1" ht="15.75" customHeight="1">
      <c r="B9" s="597" t="s">
        <v>213</v>
      </c>
      <c r="C9" s="598">
        <v>9652.17</v>
      </c>
      <c r="D9" s="598">
        <v>41091.839999999997</v>
      </c>
      <c r="E9" s="598">
        <v>19763.400000000001</v>
      </c>
      <c r="F9" s="598">
        <v>2400</v>
      </c>
      <c r="G9" s="598">
        <v>40035.879999999997</v>
      </c>
      <c r="H9" s="598">
        <v>39426.449999999997</v>
      </c>
      <c r="I9" s="598">
        <v>55857.400999999998</v>
      </c>
      <c r="J9" s="598">
        <v>40829.07</v>
      </c>
      <c r="K9" s="598">
        <v>28791.278999999999</v>
      </c>
      <c r="L9" s="598">
        <v>7215.68</v>
      </c>
      <c r="M9" s="598">
        <v>8929.5400000000009</v>
      </c>
      <c r="N9" s="598">
        <v>5330.31</v>
      </c>
      <c r="O9" s="598">
        <v>79487.328999999998</v>
      </c>
      <c r="P9" s="598">
        <v>88013.97</v>
      </c>
      <c r="Q9" s="598">
        <v>84550.341000000015</v>
      </c>
      <c r="R9" s="598">
        <v>48559.38</v>
      </c>
      <c r="S9" s="599">
        <f t="shared" si="0"/>
        <v>-0.42567493607151752</v>
      </c>
      <c r="T9" s="343"/>
      <c r="U9" s="746"/>
      <c r="V9" s="716"/>
      <c r="W9" s="716"/>
      <c r="X9" s="716"/>
      <c r="Y9" s="423"/>
      <c r="Z9" s="275"/>
      <c r="AA9" s="745"/>
      <c r="AB9" s="275"/>
      <c r="AC9" s="343"/>
    </row>
    <row r="10" spans="2:29" s="22" customFormat="1" ht="15.75" customHeight="1">
      <c r="B10" s="597" t="s">
        <v>214</v>
      </c>
      <c r="C10" s="598">
        <v>8970</v>
      </c>
      <c r="D10" s="598">
        <v>48619.93</v>
      </c>
      <c r="E10" s="598">
        <v>20887.7</v>
      </c>
      <c r="F10" s="598">
        <v>1623.35</v>
      </c>
      <c r="G10" s="598">
        <v>21938.27</v>
      </c>
      <c r="H10" s="598">
        <v>18602.2</v>
      </c>
      <c r="I10" s="598">
        <v>62705.245999999999</v>
      </c>
      <c r="J10" s="598">
        <v>41094.705999999998</v>
      </c>
      <c r="K10" s="598">
        <v>21087.324000000001</v>
      </c>
      <c r="L10" s="598">
        <v>2708</v>
      </c>
      <c r="M10" s="598">
        <v>17681.23</v>
      </c>
      <c r="N10" s="598">
        <v>19009.88</v>
      </c>
      <c r="O10" s="598">
        <v>53003.593999999997</v>
      </c>
      <c r="P10" s="598">
        <v>71084.13</v>
      </c>
      <c r="Q10" s="598">
        <v>101274.17599999999</v>
      </c>
      <c r="R10" s="598">
        <v>65309.076000000001</v>
      </c>
      <c r="S10" s="599">
        <f t="shared" si="0"/>
        <v>-0.35512606886083176</v>
      </c>
      <c r="T10" s="343"/>
      <c r="U10" s="747"/>
      <c r="V10" s="717">
        <f>J21</f>
        <v>0.52264682700572196</v>
      </c>
      <c r="W10" s="717">
        <f>N21</f>
        <v>0.37235687192876643</v>
      </c>
      <c r="X10" s="718">
        <f>1-V10-W10</f>
        <v>0.10499630106551161</v>
      </c>
      <c r="Y10" s="423"/>
      <c r="Z10" s="275"/>
      <c r="AA10" s="745"/>
      <c r="AB10" s="275"/>
      <c r="AC10" s="343"/>
    </row>
    <row r="11" spans="2:29" s="22" customFormat="1" ht="15.75" customHeight="1">
      <c r="B11" s="597" t="s">
        <v>215</v>
      </c>
      <c r="C11" s="598">
        <v>50475.07</v>
      </c>
      <c r="D11" s="598">
        <v>23088.23</v>
      </c>
      <c r="E11" s="598">
        <v>6662.28</v>
      </c>
      <c r="F11" s="598">
        <v>0</v>
      </c>
      <c r="G11" s="598">
        <v>37006.730000000003</v>
      </c>
      <c r="H11" s="598">
        <v>53532.472000000002</v>
      </c>
      <c r="I11" s="598">
        <v>63344.3</v>
      </c>
      <c r="J11" s="598">
        <v>43418.402000000002</v>
      </c>
      <c r="K11" s="598">
        <v>5951.3580000000002</v>
      </c>
      <c r="L11" s="598">
        <v>32907.578000000001</v>
      </c>
      <c r="M11" s="598">
        <v>23976.95</v>
      </c>
      <c r="N11" s="598">
        <v>24552.14</v>
      </c>
      <c r="O11" s="598">
        <v>94189.157999999996</v>
      </c>
      <c r="P11" s="598">
        <v>121222.83</v>
      </c>
      <c r="Q11" s="598">
        <v>93983.53</v>
      </c>
      <c r="R11" s="598">
        <v>67970.542000000001</v>
      </c>
      <c r="S11" s="599">
        <f t="shared" si="0"/>
        <v>-0.27678241070536502</v>
      </c>
      <c r="T11" s="343"/>
      <c r="U11" s="746"/>
      <c r="V11" s="424"/>
      <c r="W11" s="423"/>
      <c r="X11" s="423"/>
      <c r="Y11" s="423"/>
      <c r="Z11" s="275"/>
      <c r="AA11" s="745"/>
      <c r="AB11" s="275"/>
      <c r="AC11" s="343"/>
    </row>
    <row r="12" spans="2:29" s="22" customFormat="1" ht="15.75" customHeight="1">
      <c r="B12" s="597" t="s">
        <v>216</v>
      </c>
      <c r="C12" s="598">
        <v>5410.4610899999998</v>
      </c>
      <c r="D12" s="598">
        <v>73810.03</v>
      </c>
      <c r="E12" s="598">
        <v>9823.4320000000007</v>
      </c>
      <c r="F12" s="598">
        <v>0</v>
      </c>
      <c r="G12" s="598">
        <v>31537.294000000002</v>
      </c>
      <c r="H12" s="598">
        <v>19838.608</v>
      </c>
      <c r="I12" s="598">
        <v>26851.63</v>
      </c>
      <c r="J12" s="598">
        <v>27183.15</v>
      </c>
      <c r="K12" s="598">
        <v>43489.182000000001</v>
      </c>
      <c r="L12" s="598">
        <v>1262.55</v>
      </c>
      <c r="M12" s="598">
        <v>22842.01</v>
      </c>
      <c r="N12" s="598">
        <v>33357.440000000002</v>
      </c>
      <c r="O12" s="598">
        <v>82688.937089999992</v>
      </c>
      <c r="P12" s="598">
        <v>97703.228000000003</v>
      </c>
      <c r="Q12" s="598">
        <v>59517.112000000001</v>
      </c>
      <c r="R12" s="598">
        <v>60540.590000000004</v>
      </c>
      <c r="S12" s="599">
        <f t="shared" si="0"/>
        <v>1.7196365307510231E-2</v>
      </c>
      <c r="T12" s="343"/>
      <c r="U12" s="748"/>
      <c r="V12" s="275"/>
      <c r="W12" s="423"/>
      <c r="X12" s="423"/>
      <c r="Y12" s="423"/>
      <c r="Z12" s="275"/>
      <c r="AA12" s="745"/>
      <c r="AB12" s="275"/>
      <c r="AC12" s="343"/>
    </row>
    <row r="13" spans="2:29" s="22" customFormat="1" ht="15.75" customHeight="1">
      <c r="B13" s="597" t="s">
        <v>217</v>
      </c>
      <c r="C13" s="598">
        <v>35867.25</v>
      </c>
      <c r="D13" s="598">
        <v>13439.52</v>
      </c>
      <c r="E13" s="598">
        <v>0</v>
      </c>
      <c r="F13" s="598">
        <v>0</v>
      </c>
      <c r="G13" s="598">
        <v>7321.07</v>
      </c>
      <c r="H13" s="598">
        <v>28713.09</v>
      </c>
      <c r="I13" s="598">
        <v>16215.16</v>
      </c>
      <c r="J13" s="598">
        <v>15592.43</v>
      </c>
      <c r="K13" s="598">
        <v>2579.078</v>
      </c>
      <c r="L13" s="598">
        <v>41886.550000000003</v>
      </c>
      <c r="M13" s="598">
        <v>56729.504000000001</v>
      </c>
      <c r="N13" s="598">
        <v>49329.767999999996</v>
      </c>
      <c r="O13" s="598">
        <v>45814.448000000004</v>
      </c>
      <c r="P13" s="598">
        <v>87814.66</v>
      </c>
      <c r="Q13" s="598">
        <v>72944.664000000004</v>
      </c>
      <c r="R13" s="598">
        <v>64922.197999999997</v>
      </c>
      <c r="S13" s="599">
        <f t="shared" si="0"/>
        <v>-0.10998016249687581</v>
      </c>
      <c r="T13" s="343"/>
      <c r="U13" s="749"/>
      <c r="V13" s="424"/>
      <c r="W13" s="719"/>
      <c r="X13" s="719"/>
      <c r="Y13" s="719"/>
      <c r="Z13" s="275"/>
      <c r="AA13" s="745"/>
      <c r="AB13" s="275"/>
      <c r="AC13" s="343"/>
    </row>
    <row r="14" spans="2:29" s="22" customFormat="1" ht="15.75" customHeight="1">
      <c r="B14" s="597" t="s">
        <v>218</v>
      </c>
      <c r="C14" s="598">
        <v>17879.82</v>
      </c>
      <c r="D14" s="598">
        <v>3666.42</v>
      </c>
      <c r="E14" s="598">
        <v>0</v>
      </c>
      <c r="F14" s="598">
        <v>24950.78</v>
      </c>
      <c r="G14" s="598">
        <v>32090.080000000002</v>
      </c>
      <c r="H14" s="598">
        <v>35970.589999999997</v>
      </c>
      <c r="I14" s="598">
        <v>5516.84</v>
      </c>
      <c r="J14" s="598">
        <v>28998.407999999999</v>
      </c>
      <c r="K14" s="598">
        <v>45362</v>
      </c>
      <c r="L14" s="598">
        <v>11858.48</v>
      </c>
      <c r="M14" s="598">
        <v>64052.525999999998</v>
      </c>
      <c r="N14" s="598">
        <v>28628.541499999999</v>
      </c>
      <c r="O14" s="598">
        <v>95415.9</v>
      </c>
      <c r="P14" s="598">
        <v>56059.489999999991</v>
      </c>
      <c r="Q14" s="598">
        <v>69569.365999999995</v>
      </c>
      <c r="R14" s="598">
        <v>82577.729499999987</v>
      </c>
      <c r="S14" s="599">
        <f t="shared" si="0"/>
        <v>0.18698407428349983</v>
      </c>
      <c r="T14" s="343"/>
      <c r="U14" s="746"/>
      <c r="V14" s="424"/>
      <c r="W14" s="423" t="s">
        <v>97</v>
      </c>
      <c r="X14" s="423"/>
      <c r="Y14" s="423"/>
      <c r="Z14" s="275"/>
      <c r="AA14" s="745"/>
      <c r="AB14" s="275"/>
      <c r="AC14" s="343"/>
    </row>
    <row r="15" spans="2:29" s="22" customFormat="1" ht="15.75" customHeight="1">
      <c r="B15" s="601" t="s">
        <v>219</v>
      </c>
      <c r="C15" s="598">
        <v>28102.959999999999</v>
      </c>
      <c r="D15" s="598">
        <v>30193.58</v>
      </c>
      <c r="E15" s="598">
        <v>5932.46</v>
      </c>
      <c r="F15" s="598"/>
      <c r="G15" s="598">
        <v>39953.269999999997</v>
      </c>
      <c r="H15" s="598">
        <v>25923.486000000001</v>
      </c>
      <c r="I15" s="598">
        <v>19616.36</v>
      </c>
      <c r="J15" s="598"/>
      <c r="K15" s="598">
        <v>27026.02</v>
      </c>
      <c r="L15" s="598">
        <v>5281.48</v>
      </c>
      <c r="M15" s="598">
        <v>35337.19</v>
      </c>
      <c r="N15" s="598"/>
      <c r="O15" s="598">
        <v>110012.762</v>
      </c>
      <c r="P15" s="598">
        <v>69042.555000000008</v>
      </c>
      <c r="Q15" s="598">
        <v>60886.01</v>
      </c>
      <c r="R15" s="598"/>
      <c r="S15" s="599"/>
      <c r="T15" s="343"/>
      <c r="U15" s="746"/>
      <c r="V15" s="424"/>
      <c r="W15" s="423"/>
      <c r="X15" s="423"/>
      <c r="Y15" s="423"/>
      <c r="Z15" s="275"/>
      <c r="AA15" s="745"/>
      <c r="AB15" s="275"/>
      <c r="AC15" s="343"/>
    </row>
    <row r="16" spans="2:29" s="22" customFormat="1" ht="15.75" customHeight="1">
      <c r="B16" s="597" t="s">
        <v>220</v>
      </c>
      <c r="C16" s="598">
        <v>10072.530000000001</v>
      </c>
      <c r="D16" s="598">
        <v>57688.550999999999</v>
      </c>
      <c r="E16" s="598">
        <v>24746.241000000002</v>
      </c>
      <c r="F16" s="598"/>
      <c r="G16" s="598">
        <v>31013.35</v>
      </c>
      <c r="H16" s="598">
        <v>8925.2199999999993</v>
      </c>
      <c r="I16" s="598">
        <v>41509.11</v>
      </c>
      <c r="J16" s="598"/>
      <c r="K16" s="598">
        <v>9472.69</v>
      </c>
      <c r="L16" s="598">
        <v>2224.81</v>
      </c>
      <c r="M16" s="598">
        <v>48913.02</v>
      </c>
      <c r="N16" s="598"/>
      <c r="O16" s="598">
        <v>51173.23</v>
      </c>
      <c r="P16" s="598">
        <v>69062.580999999991</v>
      </c>
      <c r="Q16" s="598">
        <v>115168.37099999998</v>
      </c>
      <c r="R16" s="598"/>
      <c r="S16" s="599"/>
      <c r="T16" s="343"/>
      <c r="U16" s="749" t="s">
        <v>97</v>
      </c>
      <c r="V16" s="424"/>
      <c r="W16" s="423"/>
      <c r="X16" s="423"/>
      <c r="Y16" s="423"/>
      <c r="Z16" s="275"/>
      <c r="AA16" s="745"/>
      <c r="AB16" s="275"/>
      <c r="AC16" s="343"/>
    </row>
    <row r="17" spans="2:29" s="22" customFormat="1" ht="15.75" customHeight="1">
      <c r="B17" s="597" t="s">
        <v>221</v>
      </c>
      <c r="C17" s="598">
        <v>17876.93</v>
      </c>
      <c r="D17" s="598">
        <v>117883.898</v>
      </c>
      <c r="E17" s="598">
        <v>24333.401999999998</v>
      </c>
      <c r="F17" s="598"/>
      <c r="G17" s="598">
        <v>27869.42</v>
      </c>
      <c r="H17" s="598">
        <v>22187.72</v>
      </c>
      <c r="I17" s="598">
        <v>13807.55</v>
      </c>
      <c r="J17" s="598"/>
      <c r="K17" s="598">
        <v>0</v>
      </c>
      <c r="L17" s="598">
        <v>36180.031000000003</v>
      </c>
      <c r="M17" s="598">
        <v>62107.360000000001</v>
      </c>
      <c r="N17" s="598"/>
      <c r="O17" s="598">
        <v>45974.64</v>
      </c>
      <c r="P17" s="598">
        <v>176251.64900000003</v>
      </c>
      <c r="Q17" s="598">
        <v>100248.31200000001</v>
      </c>
      <c r="R17" s="598"/>
      <c r="S17" s="599"/>
      <c r="T17" s="343"/>
      <c r="U17" s="749" t="s">
        <v>97</v>
      </c>
      <c r="V17" s="720"/>
      <c r="W17" s="721"/>
      <c r="X17" s="722"/>
      <c r="Y17" s="722"/>
      <c r="Z17" s="275"/>
      <c r="AA17" s="745"/>
      <c r="AB17" s="275"/>
      <c r="AC17" s="343"/>
    </row>
    <row r="18" spans="2:29" s="22" customFormat="1" ht="15.75" customHeight="1">
      <c r="B18" s="597" t="s">
        <v>206</v>
      </c>
      <c r="C18" s="598">
        <v>10700.72</v>
      </c>
      <c r="D18" s="598">
        <v>14684.39</v>
      </c>
      <c r="E18" s="598">
        <v>5700</v>
      </c>
      <c r="F18" s="598"/>
      <c r="G18" s="598">
        <v>46923.824000000001</v>
      </c>
      <c r="H18" s="598">
        <v>13427.09</v>
      </c>
      <c r="I18" s="598">
        <v>24284.85</v>
      </c>
      <c r="J18" s="598"/>
      <c r="K18" s="598">
        <v>27441.882000000001</v>
      </c>
      <c r="L18" s="598">
        <v>47292.849000000002</v>
      </c>
      <c r="M18" s="598">
        <v>29049.06</v>
      </c>
      <c r="N18" s="598"/>
      <c r="O18" s="598">
        <v>93437.046000000002</v>
      </c>
      <c r="P18" s="598">
        <v>75404.328999999998</v>
      </c>
      <c r="Q18" s="598">
        <v>59033.91</v>
      </c>
      <c r="R18" s="598"/>
      <c r="S18" s="599"/>
      <c r="T18" s="343"/>
      <c r="U18" s="750" t="s">
        <v>97</v>
      </c>
      <c r="V18" s="722"/>
      <c r="W18" s="722"/>
      <c r="X18" s="722"/>
      <c r="Y18" s="722"/>
      <c r="Z18" s="275"/>
      <c r="AA18" s="745"/>
      <c r="AB18" s="275"/>
      <c r="AC18" s="343"/>
    </row>
    <row r="19" spans="2:29" s="22" customFormat="1" ht="15.75" customHeight="1">
      <c r="B19" s="597" t="s">
        <v>222</v>
      </c>
      <c r="C19" s="598">
        <v>6580.69</v>
      </c>
      <c r="D19" s="598">
        <v>10907.25</v>
      </c>
      <c r="E19" s="598">
        <v>1672.89</v>
      </c>
      <c r="F19" s="598"/>
      <c r="G19" s="598">
        <v>49491.720999999998</v>
      </c>
      <c r="H19" s="598">
        <v>50835.773999999998</v>
      </c>
      <c r="I19" s="598">
        <v>12863.59</v>
      </c>
      <c r="J19" s="598"/>
      <c r="K19" s="598">
        <v>61581.99</v>
      </c>
      <c r="L19" s="598">
        <v>23539.867999999999</v>
      </c>
      <c r="M19" s="598">
        <v>16304.385</v>
      </c>
      <c r="N19" s="598"/>
      <c r="O19" s="598">
        <v>117948.94099999999</v>
      </c>
      <c r="P19" s="598">
        <v>85282.891999999993</v>
      </c>
      <c r="Q19" s="598">
        <v>33840.864999999998</v>
      </c>
      <c r="R19" s="598"/>
      <c r="S19" s="599"/>
      <c r="T19" s="343"/>
      <c r="U19" s="750"/>
      <c r="V19" s="722"/>
      <c r="W19" s="722"/>
      <c r="X19" s="722"/>
      <c r="Y19" s="722"/>
      <c r="Z19" s="275"/>
      <c r="AA19" s="745"/>
      <c r="AB19" s="275"/>
      <c r="AC19" s="343"/>
    </row>
    <row r="20" spans="2:29" s="22" customFormat="1" ht="16.55" customHeight="1">
      <c r="B20" s="597" t="s">
        <v>208</v>
      </c>
      <c r="C20" s="600">
        <f t="shared" ref="C20:Q20" si="1">SUM(C8:C19)</f>
        <v>224944.16108999998</v>
      </c>
      <c r="D20" s="600">
        <f t="shared" si="1"/>
        <v>438383.63899999997</v>
      </c>
      <c r="E20" s="600">
        <f>SUM(E8:E19)</f>
        <v>141080.98500000002</v>
      </c>
      <c r="F20" s="600">
        <f>SUM(F8:F19)</f>
        <v>51219.369999999995</v>
      </c>
      <c r="G20" s="600">
        <f t="shared" si="1"/>
        <v>392316.82900000003</v>
      </c>
      <c r="H20" s="600">
        <f t="shared" si="1"/>
        <v>382039.86499999993</v>
      </c>
      <c r="I20" s="600">
        <f t="shared" si="1"/>
        <v>391629.03699999995</v>
      </c>
      <c r="J20" s="600">
        <f>SUM(J8:J19)</f>
        <v>272784.016</v>
      </c>
      <c r="K20" s="600">
        <f t="shared" si="1"/>
        <v>284458.28200000001</v>
      </c>
      <c r="L20" s="600">
        <f t="shared" si="1"/>
        <v>234578.34799999997</v>
      </c>
      <c r="M20" s="600">
        <f t="shared" si="1"/>
        <v>406854.47100000002</v>
      </c>
      <c r="N20" s="600">
        <f>SUM(N8:N19)</f>
        <v>194343.47949999999</v>
      </c>
      <c r="O20" s="600">
        <f t="shared" si="1"/>
        <v>932544.94408999989</v>
      </c>
      <c r="P20" s="600">
        <f t="shared" si="1"/>
        <v>1087269.2710000002</v>
      </c>
      <c r="Q20" s="600">
        <f t="shared" si="1"/>
        <v>942564.53300000005</v>
      </c>
      <c r="R20" s="600">
        <f>SUM(R8:R19)</f>
        <v>521928.00549999997</v>
      </c>
      <c r="S20" s="599"/>
      <c r="T20" s="343"/>
      <c r="U20" s="751"/>
      <c r="V20" s="554"/>
      <c r="W20" s="722"/>
      <c r="X20" s="423"/>
      <c r="Y20" s="423"/>
      <c r="Z20" s="275"/>
      <c r="AA20" s="745"/>
      <c r="AB20" s="275"/>
      <c r="AC20" s="343"/>
    </row>
    <row r="21" spans="2:29" s="22" customFormat="1" ht="16.55" customHeight="1">
      <c r="B21" s="602" t="s">
        <v>228</v>
      </c>
      <c r="C21" s="603">
        <f>C20/O20</f>
        <v>0.24121535644537323</v>
      </c>
      <c r="D21" s="603">
        <f>D20/P20</f>
        <v>0.40319693629969233</v>
      </c>
      <c r="E21" s="603">
        <f>E20/Q20</f>
        <v>0.14967779930246963</v>
      </c>
      <c r="F21" s="603">
        <f>F20/R20</f>
        <v>9.813493328631126E-2</v>
      </c>
      <c r="G21" s="603">
        <f>G20/O20</f>
        <v>0.42069482172018247</v>
      </c>
      <c r="H21" s="603">
        <f>H20/P20</f>
        <v>0.35137557474481396</v>
      </c>
      <c r="I21" s="603">
        <f>I20/Q20</f>
        <v>0.41549307584651068</v>
      </c>
      <c r="J21" s="603">
        <f>J20/R20</f>
        <v>0.52264682700572196</v>
      </c>
      <c r="K21" s="603">
        <f>K20/O20</f>
        <v>0.30503439410910255</v>
      </c>
      <c r="L21" s="603">
        <f>L20/P20</f>
        <v>0.21575000255847379</v>
      </c>
      <c r="M21" s="603">
        <f>M20/Q20</f>
        <v>0.43164627646773551</v>
      </c>
      <c r="N21" s="603">
        <f>N20/R20</f>
        <v>0.37235687192876643</v>
      </c>
      <c r="O21" s="603">
        <v>1</v>
      </c>
      <c r="P21" s="603">
        <v>1</v>
      </c>
      <c r="Q21" s="603">
        <v>1</v>
      </c>
      <c r="R21" s="603">
        <v>1</v>
      </c>
      <c r="S21" s="604"/>
      <c r="T21" s="343"/>
      <c r="U21" s="744"/>
      <c r="V21" s="423"/>
      <c r="W21" s="423"/>
      <c r="X21" s="423"/>
      <c r="Y21" s="423"/>
      <c r="Z21" s="275"/>
      <c r="AA21" s="745"/>
      <c r="AB21" s="275"/>
      <c r="AC21" s="343"/>
    </row>
    <row r="22" spans="2:29" s="22" customFormat="1" ht="15.75" customHeight="1">
      <c r="B22" s="879" t="s">
        <v>229</v>
      </c>
      <c r="C22" s="880"/>
      <c r="D22" s="880"/>
      <c r="E22" s="880"/>
      <c r="F22" s="880"/>
      <c r="G22" s="880"/>
      <c r="H22" s="880"/>
      <c r="I22" s="880"/>
      <c r="J22" s="880"/>
      <c r="K22" s="880"/>
      <c r="L22" s="880"/>
      <c r="M22" s="880"/>
      <c r="N22" s="880"/>
      <c r="O22" s="880"/>
      <c r="P22" s="880"/>
      <c r="Q22" s="880"/>
      <c r="R22" s="880"/>
      <c r="S22" s="881"/>
      <c r="T22" s="343"/>
      <c r="U22" s="744"/>
      <c r="V22" s="423"/>
      <c r="W22" s="423"/>
      <c r="X22" s="423"/>
      <c r="Y22" s="423"/>
      <c r="Z22" s="275"/>
      <c r="AA22" s="745"/>
      <c r="AB22" s="275"/>
      <c r="AC22" s="343"/>
    </row>
    <row r="23" spans="2:29" s="22" customFormat="1" ht="29.95" customHeight="1">
      <c r="B23" s="882"/>
      <c r="C23" s="883"/>
      <c r="D23" s="883"/>
      <c r="E23" s="883"/>
      <c r="F23" s="883"/>
      <c r="G23" s="883"/>
      <c r="H23" s="883"/>
      <c r="I23" s="883"/>
      <c r="J23" s="883"/>
      <c r="K23" s="883"/>
      <c r="L23" s="883"/>
      <c r="M23" s="883"/>
      <c r="N23" s="883"/>
      <c r="O23" s="883"/>
      <c r="P23" s="883"/>
      <c r="Q23" s="883"/>
      <c r="R23" s="883"/>
      <c r="S23" s="884"/>
      <c r="T23" s="343"/>
      <c r="U23" s="744"/>
      <c r="V23" s="423"/>
      <c r="W23" s="423"/>
      <c r="X23" s="423"/>
      <c r="Y23" s="423"/>
      <c r="Z23" s="275"/>
      <c r="AA23" s="745"/>
      <c r="AB23" s="275"/>
      <c r="AC23" s="343"/>
    </row>
    <row r="24" spans="2:29" ht="17.2" customHeight="1">
      <c r="B24" s="885"/>
      <c r="C24" s="885"/>
      <c r="D24" s="885"/>
      <c r="E24" s="885"/>
      <c r="F24" s="885"/>
      <c r="G24" s="885"/>
      <c r="H24" s="885"/>
      <c r="I24" s="885"/>
      <c r="J24" s="885"/>
      <c r="K24" s="885"/>
      <c r="L24" s="885"/>
      <c r="M24" s="885"/>
      <c r="N24" s="885"/>
      <c r="O24" s="885"/>
      <c r="P24" s="885"/>
      <c r="Q24" s="885"/>
      <c r="R24" s="885"/>
      <c r="S24" s="885"/>
    </row>
    <row r="25" spans="2:29" ht="15.05" customHeight="1"/>
    <row r="26" spans="2:29" ht="15.05" customHeight="1"/>
    <row r="27" spans="2:29" ht="15.05" customHeight="1"/>
    <row r="28" spans="2:29" ht="15.05" customHeight="1">
      <c r="U28" s="754"/>
    </row>
    <row r="29" spans="2:29" ht="15.05" customHeight="1"/>
    <row r="30" spans="2:29" ht="15.05" customHeight="1"/>
    <row r="31" spans="2:29" ht="15.05" customHeight="1"/>
    <row r="32" spans="2:29" ht="15.05" customHeight="1"/>
    <row r="34" ht="15.05" customHeight="1"/>
    <row r="35" ht="15.05" customHeight="1"/>
    <row r="36" ht="15.05" customHeight="1"/>
    <row r="37" ht="15.05" customHeight="1"/>
    <row r="38" ht="15.05" customHeight="1"/>
  </sheetData>
  <mergeCells count="11">
    <mergeCell ref="B22:S23"/>
    <mergeCell ref="B24:S24"/>
    <mergeCell ref="B1:S1"/>
    <mergeCell ref="B3:S3"/>
    <mergeCell ref="B5:S5"/>
    <mergeCell ref="O6:S6"/>
    <mergeCell ref="B6:B7"/>
    <mergeCell ref="B4:S4"/>
    <mergeCell ref="C6:F6"/>
    <mergeCell ref="G6:J6"/>
    <mergeCell ref="K6:N6"/>
  </mergeCells>
  <phoneticPr fontId="47" type="noConversion"/>
  <printOptions horizontalCentered="1"/>
  <pageMargins left="0.59055118110236227" right="0.59055118110236227" top="0.74803149606299213" bottom="0.78740157480314965" header="0.51181102362204722" footer="0.59055118110236227"/>
  <pageSetup paperSize="126" scale="59" firstPageNumber="0" orientation="portrait" r:id="rId1"/>
  <headerFooter alignWithMargins="0">
    <oddFooter>&amp;C&amp;10&amp;A</oddFooter>
  </headerFooter>
  <ignoredErrors>
    <ignoredError sqref="C20:D20 K20:M20 G20:I20 O20:Q20 E20:F20 R20 J20 N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T22"/>
  <sheetViews>
    <sheetView zoomScale="80" zoomScaleNormal="80" zoomScalePageLayoutView="80" workbookViewId="0">
      <selection activeCell="N15" sqref="N15"/>
    </sheetView>
  </sheetViews>
  <sheetFormatPr baseColWidth="10" defaultColWidth="10.9140625" defaultRowHeight="12.45"/>
  <cols>
    <col min="1" max="1" width="1.6640625" style="228" customWidth="1"/>
    <col min="2" max="2" width="9.9140625" style="228" customWidth="1"/>
    <col min="3" max="3" width="4.6640625" style="228" bestFit="1" customWidth="1"/>
    <col min="4" max="4" width="5.1640625" style="228" customWidth="1"/>
    <col min="5" max="6" width="5.33203125" style="228" customWidth="1"/>
    <col min="7" max="17" width="6.6640625" style="228" customWidth="1"/>
    <col min="18" max="18" width="5.58203125" style="228" customWidth="1"/>
    <col min="19" max="16384" width="10.9140625" style="228"/>
  </cols>
  <sheetData>
    <row r="1" spans="2:18" ht="13.1">
      <c r="B1" s="791" t="s">
        <v>230</v>
      </c>
      <c r="C1" s="791"/>
      <c r="D1" s="791"/>
      <c r="E1" s="791"/>
      <c r="F1" s="791"/>
      <c r="G1" s="791"/>
      <c r="H1" s="791"/>
      <c r="I1" s="791"/>
      <c r="J1" s="791"/>
      <c r="K1" s="791"/>
      <c r="L1" s="791"/>
      <c r="M1" s="791"/>
      <c r="N1" s="791"/>
      <c r="O1" s="791"/>
      <c r="P1" s="791"/>
      <c r="Q1" s="791"/>
      <c r="R1" s="791"/>
    </row>
    <row r="3" spans="2:18" ht="13.1">
      <c r="B3" s="791" t="s">
        <v>45</v>
      </c>
      <c r="C3" s="791"/>
      <c r="D3" s="791"/>
      <c r="E3" s="791"/>
      <c r="F3" s="791"/>
      <c r="G3" s="791"/>
      <c r="H3" s="791"/>
      <c r="I3" s="791"/>
      <c r="J3" s="791"/>
      <c r="K3" s="791"/>
      <c r="L3" s="791"/>
      <c r="M3" s="791"/>
      <c r="N3" s="791"/>
      <c r="O3" s="791"/>
      <c r="P3" s="791"/>
      <c r="Q3" s="791"/>
      <c r="R3" s="791"/>
    </row>
    <row r="4" spans="2:18" ht="13.1">
      <c r="B4" s="791" t="s">
        <v>716</v>
      </c>
      <c r="C4" s="791"/>
      <c r="D4" s="791"/>
      <c r="E4" s="791"/>
      <c r="F4" s="791"/>
      <c r="G4" s="791"/>
      <c r="H4" s="791"/>
      <c r="I4" s="791"/>
      <c r="J4" s="791"/>
      <c r="K4" s="791"/>
      <c r="L4" s="791"/>
      <c r="M4" s="791"/>
      <c r="N4" s="791"/>
      <c r="O4" s="791"/>
      <c r="P4" s="791"/>
      <c r="Q4" s="791"/>
      <c r="R4" s="791"/>
    </row>
    <row r="5" spans="2:18" ht="13.75" customHeight="1">
      <c r="B5" s="808" t="s">
        <v>192</v>
      </c>
      <c r="C5" s="808"/>
      <c r="D5" s="808"/>
      <c r="E5" s="808"/>
      <c r="F5" s="808"/>
      <c r="G5" s="808"/>
      <c r="H5" s="808"/>
      <c r="I5" s="808"/>
      <c r="J5" s="808"/>
      <c r="K5" s="808"/>
      <c r="L5" s="808"/>
      <c r="M5" s="808"/>
      <c r="N5" s="808"/>
      <c r="O5" s="808"/>
      <c r="P5" s="808"/>
      <c r="Q5" s="808"/>
      <c r="R5" s="808"/>
    </row>
    <row r="6" spans="2:18" ht="104.25" customHeight="1">
      <c r="B6" s="430" t="s">
        <v>231</v>
      </c>
      <c r="C6" s="895" t="s">
        <v>232</v>
      </c>
      <c r="D6" s="896"/>
      <c r="E6" s="896"/>
      <c r="F6" s="897"/>
      <c r="G6" s="895" t="s">
        <v>233</v>
      </c>
      <c r="H6" s="896"/>
      <c r="I6" s="896"/>
      <c r="J6" s="897"/>
      <c r="K6" s="895" t="s">
        <v>234</v>
      </c>
      <c r="L6" s="896"/>
      <c r="M6" s="896"/>
      <c r="N6" s="897"/>
      <c r="O6" s="895" t="s">
        <v>235</v>
      </c>
      <c r="P6" s="896"/>
      <c r="Q6" s="896"/>
      <c r="R6" s="897"/>
    </row>
    <row r="7" spans="2:18" ht="15.75" customHeight="1">
      <c r="B7" s="458" t="s">
        <v>236</v>
      </c>
      <c r="C7" s="892" t="s">
        <v>227</v>
      </c>
      <c r="D7" s="893"/>
      <c r="E7" s="894"/>
      <c r="F7" s="701"/>
      <c r="G7" s="892" t="s">
        <v>185</v>
      </c>
      <c r="H7" s="893"/>
      <c r="I7" s="894"/>
      <c r="J7" s="701"/>
      <c r="K7" s="892" t="s">
        <v>226</v>
      </c>
      <c r="L7" s="893"/>
      <c r="M7" s="894"/>
      <c r="N7" s="701"/>
      <c r="O7" s="892" t="s">
        <v>210</v>
      </c>
      <c r="P7" s="893"/>
      <c r="Q7" s="893"/>
      <c r="R7" s="894"/>
    </row>
    <row r="8" spans="2:18" ht="15.75" customHeight="1">
      <c r="B8" s="458" t="s">
        <v>211</v>
      </c>
      <c r="C8" s="283">
        <v>2021</v>
      </c>
      <c r="D8" s="283">
        <v>2022</v>
      </c>
      <c r="E8" s="283">
        <v>2023</v>
      </c>
      <c r="F8" s="283">
        <v>2024</v>
      </c>
      <c r="G8" s="283">
        <v>2021</v>
      </c>
      <c r="H8" s="283">
        <v>2022</v>
      </c>
      <c r="I8" s="283">
        <v>2023</v>
      </c>
      <c r="J8" s="283">
        <v>2024</v>
      </c>
      <c r="K8" s="283">
        <v>2021</v>
      </c>
      <c r="L8" s="283">
        <v>2022</v>
      </c>
      <c r="M8" s="283">
        <v>2023</v>
      </c>
      <c r="N8" s="283">
        <v>2024</v>
      </c>
      <c r="O8" s="283">
        <v>2021</v>
      </c>
      <c r="P8" s="283">
        <v>2022</v>
      </c>
      <c r="Q8" s="283">
        <v>2023</v>
      </c>
      <c r="R8" s="283">
        <v>2024</v>
      </c>
    </row>
    <row r="9" spans="2:18" ht="15.75" customHeight="1">
      <c r="B9" s="318" t="s">
        <v>212</v>
      </c>
      <c r="C9" s="270">
        <v>10533.627</v>
      </c>
      <c r="D9" s="270"/>
      <c r="E9" s="270"/>
      <c r="F9" s="270"/>
      <c r="G9" s="270">
        <v>25466.400000000001</v>
      </c>
      <c r="H9" s="270">
        <v>60216.57</v>
      </c>
      <c r="I9" s="270">
        <v>28851.01</v>
      </c>
      <c r="J9" s="270">
        <v>4820</v>
      </c>
      <c r="K9" s="270"/>
      <c r="L9" s="270"/>
      <c r="M9" s="270">
        <v>20856.009999999998</v>
      </c>
      <c r="N9" s="270">
        <v>1450</v>
      </c>
      <c r="O9" s="270">
        <v>1232</v>
      </c>
      <c r="P9" s="270">
        <v>139.32</v>
      </c>
      <c r="Q9" s="270"/>
      <c r="R9" s="270"/>
    </row>
    <row r="10" spans="2:18" ht="15.75" customHeight="1">
      <c r="B10" s="318" t="s">
        <v>213</v>
      </c>
      <c r="C10" s="270">
        <v>15955.329</v>
      </c>
      <c r="D10" s="270">
        <v>83.46</v>
      </c>
      <c r="E10" s="270"/>
      <c r="F10" s="270"/>
      <c r="G10" s="270">
        <v>30649.65</v>
      </c>
      <c r="H10" s="270">
        <v>35030.57</v>
      </c>
      <c r="I10" s="270">
        <v>19650.349999999999</v>
      </c>
      <c r="J10" s="270">
        <v>10649.65</v>
      </c>
      <c r="K10" s="270">
        <v>9652.17</v>
      </c>
      <c r="L10" s="270">
        <v>21738.89</v>
      </c>
      <c r="M10" s="270">
        <v>584.49</v>
      </c>
      <c r="N10" s="270">
        <v>2400</v>
      </c>
      <c r="O10" s="270">
        <v>1008</v>
      </c>
      <c r="P10" s="270">
        <v>280</v>
      </c>
      <c r="Q10" s="270"/>
      <c r="R10" s="270"/>
    </row>
    <row r="11" spans="2:18" ht="15.75" customHeight="1">
      <c r="B11" s="318" t="s">
        <v>214</v>
      </c>
      <c r="C11" s="270">
        <v>4344.2740000000003</v>
      </c>
      <c r="D11" s="270"/>
      <c r="E11" s="270"/>
      <c r="F11" s="270"/>
      <c r="G11" s="270">
        <v>9471.89</v>
      </c>
      <c r="H11" s="270">
        <v>12028.94</v>
      </c>
      <c r="I11" s="270">
        <v>36757.54</v>
      </c>
      <c r="J11" s="270">
        <v>3606.36</v>
      </c>
      <c r="K11" s="270">
        <v>1500</v>
      </c>
      <c r="L11" s="270">
        <v>43730.5</v>
      </c>
      <c r="M11" s="270">
        <v>4415.41</v>
      </c>
      <c r="N11" s="270">
        <v>1623.35</v>
      </c>
      <c r="O11" s="270">
        <v>1008</v>
      </c>
      <c r="P11" s="270">
        <v>1154</v>
      </c>
      <c r="Q11" s="270"/>
      <c r="R11" s="270"/>
    </row>
    <row r="12" spans="2:18" ht="15.75" customHeight="1">
      <c r="B12" s="318" t="s">
        <v>215</v>
      </c>
      <c r="C12" s="270">
        <v>42.628</v>
      </c>
      <c r="D12" s="270"/>
      <c r="E12" s="270"/>
      <c r="F12" s="270"/>
      <c r="G12" s="270">
        <v>36929.15</v>
      </c>
      <c r="H12" s="270">
        <v>10923.81</v>
      </c>
      <c r="I12" s="270">
        <v>37093.449999999997</v>
      </c>
      <c r="J12" s="270">
        <v>1181.17</v>
      </c>
      <c r="K12" s="270">
        <v>17236.82</v>
      </c>
      <c r="L12" s="270">
        <v>8128.79</v>
      </c>
      <c r="M12" s="270"/>
      <c r="N12" s="270"/>
      <c r="O12" s="270">
        <v>756</v>
      </c>
      <c r="P12" s="270">
        <v>280</v>
      </c>
      <c r="Q12" s="270"/>
      <c r="R12" s="270"/>
    </row>
    <row r="13" spans="2:18" ht="15.75" customHeight="1">
      <c r="B13" s="318" t="s">
        <v>216</v>
      </c>
      <c r="C13" s="270"/>
      <c r="D13" s="270"/>
      <c r="E13" s="270"/>
      <c r="F13" s="270"/>
      <c r="G13" s="270">
        <v>8788.0499999999993</v>
      </c>
      <c r="H13" s="270">
        <v>13001.2</v>
      </c>
      <c r="I13" s="270">
        <v>1049.9000000000001</v>
      </c>
      <c r="J13" s="270"/>
      <c r="K13" s="270">
        <v>4253.1400000000003</v>
      </c>
      <c r="L13" s="270">
        <v>73810.03</v>
      </c>
      <c r="M13" s="270"/>
      <c r="N13" s="270"/>
      <c r="O13" s="270">
        <v>252</v>
      </c>
      <c r="P13" s="270">
        <v>812</v>
      </c>
      <c r="Q13" s="270"/>
      <c r="R13" s="270"/>
    </row>
    <row r="14" spans="2:18" ht="15.75" customHeight="1">
      <c r="B14" s="318" t="s">
        <v>217</v>
      </c>
      <c r="C14" s="270"/>
      <c r="D14" s="270"/>
      <c r="E14" s="270">
        <v>12081.45</v>
      </c>
      <c r="F14" s="270"/>
      <c r="G14" s="270">
        <v>5752.47</v>
      </c>
      <c r="H14" s="270">
        <v>27047.85</v>
      </c>
      <c r="I14" s="270">
        <v>6633.7</v>
      </c>
      <c r="J14" s="270"/>
      <c r="K14" s="270">
        <v>28344.97</v>
      </c>
      <c r="L14" s="270">
        <v>13439.52</v>
      </c>
      <c r="M14" s="270"/>
      <c r="N14" s="270"/>
      <c r="O14" s="270"/>
      <c r="P14" s="270">
        <v>280</v>
      </c>
      <c r="Q14" s="270"/>
      <c r="R14" s="270"/>
    </row>
    <row r="15" spans="2:18" ht="15.75" customHeight="1">
      <c r="B15" s="318" t="s">
        <v>218</v>
      </c>
      <c r="C15" s="270"/>
      <c r="D15" s="270"/>
      <c r="E15" s="270"/>
      <c r="F15" s="270"/>
      <c r="G15" s="270">
        <v>11352.78</v>
      </c>
      <c r="H15" s="270">
        <v>25308.95</v>
      </c>
      <c r="I15" s="270">
        <v>4476.3500000000004</v>
      </c>
      <c r="J15" s="270"/>
      <c r="K15" s="270">
        <v>17853.150000000001</v>
      </c>
      <c r="L15" s="270">
        <v>3666.42</v>
      </c>
      <c r="M15" s="270"/>
      <c r="N15" s="270">
        <v>14320.78</v>
      </c>
      <c r="O15" s="270">
        <v>84</v>
      </c>
      <c r="P15" s="270">
        <v>364</v>
      </c>
      <c r="Q15" s="270"/>
      <c r="R15" s="270"/>
    </row>
    <row r="16" spans="2:18" ht="15.75" customHeight="1">
      <c r="B16" s="318" t="s">
        <v>219</v>
      </c>
      <c r="C16" s="330"/>
      <c r="D16" s="330"/>
      <c r="E16" s="330"/>
      <c r="F16" s="330"/>
      <c r="G16" s="330">
        <v>27694</v>
      </c>
      <c r="H16" s="330">
        <v>19907.626</v>
      </c>
      <c r="I16" s="330"/>
      <c r="J16" s="330"/>
      <c r="K16" s="330">
        <v>28102.959999999999</v>
      </c>
      <c r="L16" s="330">
        <v>30193.58</v>
      </c>
      <c r="M16" s="330"/>
      <c r="N16" s="330"/>
      <c r="O16" s="330">
        <v>532</v>
      </c>
      <c r="P16" s="330">
        <v>644</v>
      </c>
      <c r="Q16" s="330"/>
      <c r="R16" s="330"/>
    </row>
    <row r="17" spans="2:20" ht="15.75" customHeight="1">
      <c r="B17" s="318" t="s">
        <v>220</v>
      </c>
      <c r="C17" s="270"/>
      <c r="D17" s="330"/>
      <c r="E17" s="330"/>
      <c r="F17" s="330"/>
      <c r="G17" s="270">
        <v>25548.73</v>
      </c>
      <c r="H17" s="270">
        <v>6224.59</v>
      </c>
      <c r="I17" s="270"/>
      <c r="J17" s="270"/>
      <c r="K17" s="330"/>
      <c r="L17" s="330">
        <v>30688.39</v>
      </c>
      <c r="M17" s="330"/>
      <c r="N17" s="330"/>
      <c r="O17" s="330">
        <v>614.66</v>
      </c>
      <c r="P17" s="330">
        <v>224</v>
      </c>
      <c r="Q17" s="330"/>
      <c r="R17" s="330"/>
      <c r="S17" s="22"/>
      <c r="T17" s="22"/>
    </row>
    <row r="18" spans="2:20" ht="15.75" customHeight="1">
      <c r="B18" s="318" t="s">
        <v>221</v>
      </c>
      <c r="C18" s="270"/>
      <c r="D18" s="270"/>
      <c r="E18" s="270"/>
      <c r="F18" s="270"/>
      <c r="G18" s="270">
        <v>27311.38</v>
      </c>
      <c r="H18" s="270"/>
      <c r="I18" s="270"/>
      <c r="J18" s="270"/>
      <c r="K18" s="270">
        <v>14448.62</v>
      </c>
      <c r="L18" s="270">
        <v>28268.639999999999</v>
      </c>
      <c r="M18" s="270"/>
      <c r="N18" s="270"/>
      <c r="O18" s="270">
        <v>228.29</v>
      </c>
      <c r="P18" s="270"/>
      <c r="Q18" s="270"/>
      <c r="R18" s="270"/>
      <c r="S18" s="22"/>
      <c r="T18" s="22"/>
    </row>
    <row r="19" spans="2:20" ht="15.75" customHeight="1">
      <c r="B19" s="318" t="s">
        <v>206</v>
      </c>
      <c r="C19" s="270"/>
      <c r="D19" s="270"/>
      <c r="E19" s="270">
        <v>8985.64</v>
      </c>
      <c r="F19" s="270"/>
      <c r="G19" s="270">
        <v>22627.23</v>
      </c>
      <c r="H19" s="270"/>
      <c r="I19" s="270"/>
      <c r="J19" s="270"/>
      <c r="K19" s="270">
        <v>10700.72</v>
      </c>
      <c r="L19" s="270">
        <v>385.44</v>
      </c>
      <c r="M19" s="270"/>
      <c r="N19" s="270"/>
      <c r="O19" s="330">
        <v>616.22</v>
      </c>
      <c r="P19" s="330"/>
      <c r="Q19" s="330"/>
      <c r="R19" s="330"/>
      <c r="S19" s="22"/>
      <c r="T19" s="22"/>
    </row>
    <row r="20" spans="2:20" ht="15.75" customHeight="1">
      <c r="B20" s="318" t="s">
        <v>207</v>
      </c>
      <c r="C20" s="270"/>
      <c r="D20" s="270"/>
      <c r="E20" s="270"/>
      <c r="F20" s="270"/>
      <c r="G20" s="270">
        <v>34943.71</v>
      </c>
      <c r="H20" s="270">
        <v>35902</v>
      </c>
      <c r="I20" s="270"/>
      <c r="J20" s="270"/>
      <c r="K20" s="270">
        <v>6580.69</v>
      </c>
      <c r="L20" s="270">
        <v>7450</v>
      </c>
      <c r="M20" s="270"/>
      <c r="N20" s="270"/>
      <c r="O20" s="330">
        <v>140</v>
      </c>
      <c r="P20" s="330"/>
      <c r="Q20" s="330"/>
      <c r="R20" s="330"/>
      <c r="S20" s="92"/>
      <c r="T20" s="22"/>
    </row>
    <row r="21" spans="2:20">
      <c r="B21" s="318" t="s">
        <v>208</v>
      </c>
      <c r="C21" s="270">
        <f t="shared" ref="C21:O21" si="0">SUM(C9:C20)</f>
        <v>30875.858</v>
      </c>
      <c r="D21" s="270">
        <f t="shared" si="0"/>
        <v>83.46</v>
      </c>
      <c r="E21" s="270">
        <f>SUM(E9:E20)</f>
        <v>21067.09</v>
      </c>
      <c r="F21" s="270">
        <f>SUM(F9:F20)</f>
        <v>0</v>
      </c>
      <c r="G21" s="270">
        <f>SUM(G9:G20)</f>
        <v>266535.44000000006</v>
      </c>
      <c r="H21" s="270">
        <f t="shared" si="0"/>
        <v>245592.106</v>
      </c>
      <c r="I21" s="270">
        <f t="shared" si="0"/>
        <v>134512.29999999999</v>
      </c>
      <c r="J21" s="270">
        <f t="shared" si="0"/>
        <v>20257.18</v>
      </c>
      <c r="K21" s="270">
        <f t="shared" si="0"/>
        <v>138673.24</v>
      </c>
      <c r="L21" s="270">
        <f t="shared" si="0"/>
        <v>261500.2</v>
      </c>
      <c r="M21" s="270">
        <f t="shared" si="0"/>
        <v>25855.91</v>
      </c>
      <c r="N21" s="270">
        <f t="shared" si="0"/>
        <v>19794.13</v>
      </c>
      <c r="O21" s="270">
        <f t="shared" si="0"/>
        <v>6471.17</v>
      </c>
      <c r="P21" s="270">
        <f>SUM(P9:P20)</f>
        <v>4177.32</v>
      </c>
      <c r="Q21" s="270">
        <f t="shared" ref="Q21:R21" si="1">SUM(Q9:Q20)</f>
        <v>0</v>
      </c>
      <c r="R21" s="270">
        <f t="shared" si="1"/>
        <v>0</v>
      </c>
      <c r="S21" s="92"/>
      <c r="T21" s="22"/>
    </row>
    <row r="22" spans="2:20" ht="29.45" customHeight="1">
      <c r="B22" s="860" t="s">
        <v>237</v>
      </c>
      <c r="C22" s="861"/>
      <c r="D22" s="861"/>
      <c r="E22" s="861"/>
      <c r="F22" s="861"/>
      <c r="G22" s="861"/>
      <c r="H22" s="861"/>
      <c r="I22" s="861"/>
      <c r="J22" s="861"/>
      <c r="K22" s="861"/>
      <c r="L22" s="861"/>
      <c r="M22" s="861"/>
      <c r="N22" s="861"/>
      <c r="O22" s="861"/>
      <c r="P22" s="861"/>
      <c r="Q22" s="861"/>
      <c r="R22" s="862"/>
      <c r="S22" s="22"/>
      <c r="T22" s="38"/>
    </row>
  </sheetData>
  <mergeCells count="13">
    <mergeCell ref="B22:R22"/>
    <mergeCell ref="B3:R3"/>
    <mergeCell ref="B4:R4"/>
    <mergeCell ref="B5:R5"/>
    <mergeCell ref="B1:R1"/>
    <mergeCell ref="G7:I7"/>
    <mergeCell ref="K7:M7"/>
    <mergeCell ref="O6:R6"/>
    <mergeCell ref="O7:R7"/>
    <mergeCell ref="C7:E7"/>
    <mergeCell ref="C6:F6"/>
    <mergeCell ref="G6:J6"/>
    <mergeCell ref="K6:N6"/>
  </mergeCells>
  <pageMargins left="0.70866141732283472" right="0.70866141732283472" top="0.74803149606299213" bottom="0.74803149606299213" header="0.31496062992125984" footer="0.31496062992125984"/>
  <pageSetup paperSize="126" scale="53" orientation="portrait" r:id="rId1"/>
  <headerFooter>
    <oddFooter>&amp;C&amp;10 15</oddFooter>
  </headerFooter>
  <ignoredErrors>
    <ignoredError sqref="C21:E21 K21:M21 G21:I21 O21:P21 F21 Q21:R21 J21 N2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Z52"/>
  <sheetViews>
    <sheetView topLeftCell="A6" zoomScale="80" zoomScaleNormal="80" zoomScalePageLayoutView="80" workbookViewId="0">
      <selection activeCell="V22" sqref="V22"/>
    </sheetView>
  </sheetViews>
  <sheetFormatPr baseColWidth="10" defaultColWidth="10.9140625" defaultRowHeight="11.8"/>
  <cols>
    <col min="1" max="1" width="1" style="1" customWidth="1"/>
    <col min="2" max="2" width="8.75" style="1" customWidth="1"/>
    <col min="3" max="18" width="6.08203125" style="1" customWidth="1"/>
    <col min="19" max="19" width="7.33203125" style="1" customWidth="1"/>
    <col min="20" max="20" width="5.08203125" style="339" bestFit="1" customWidth="1"/>
    <col min="21" max="21" width="6.83203125" style="339" customWidth="1"/>
    <col min="22" max="22" width="11.9140625" style="339" bestFit="1" customWidth="1"/>
    <col min="23" max="23" width="4.33203125" style="339" bestFit="1" customWidth="1"/>
    <col min="24" max="24" width="4.75" style="339" customWidth="1"/>
    <col min="25" max="25" width="3.4140625" style="339" customWidth="1"/>
    <col min="26" max="26" width="7.4140625" style="339" customWidth="1"/>
    <col min="27" max="36" width="3.4140625" style="531" customWidth="1"/>
    <col min="37" max="37" width="7.9140625" style="531" customWidth="1"/>
    <col min="38" max="38" width="2" style="339" customWidth="1"/>
    <col min="39" max="40" width="3" style="657" customWidth="1"/>
    <col min="41" max="44" width="3" style="534" customWidth="1"/>
    <col min="45" max="52" width="10.9140625" style="531"/>
    <col min="53" max="16384" width="10.9140625" style="1"/>
  </cols>
  <sheetData>
    <row r="1" spans="2:52" s="22" customFormat="1" ht="12.8" customHeight="1">
      <c r="B1" s="898" t="s">
        <v>238</v>
      </c>
      <c r="C1" s="898"/>
      <c r="D1" s="898"/>
      <c r="E1" s="898"/>
      <c r="F1" s="898"/>
      <c r="G1" s="898"/>
      <c r="H1" s="898"/>
      <c r="I1" s="898"/>
      <c r="J1" s="898"/>
      <c r="K1" s="898"/>
      <c r="L1" s="898"/>
      <c r="M1" s="898"/>
      <c r="N1" s="898"/>
      <c r="O1" s="898"/>
      <c r="P1" s="898"/>
      <c r="Q1" s="898"/>
      <c r="R1" s="898"/>
      <c r="S1" s="898"/>
      <c r="T1" s="275"/>
      <c r="U1" s="275"/>
      <c r="V1" s="275"/>
      <c r="W1" s="275"/>
      <c r="X1" s="275"/>
      <c r="Y1" s="275"/>
      <c r="Z1" s="275"/>
      <c r="AA1" s="343"/>
      <c r="AB1" s="343"/>
      <c r="AC1" s="343"/>
      <c r="AD1" s="343"/>
      <c r="AE1" s="343"/>
      <c r="AF1" s="343"/>
      <c r="AG1" s="343"/>
      <c r="AH1" s="343"/>
      <c r="AI1" s="343"/>
      <c r="AJ1" s="343"/>
      <c r="AK1" s="343"/>
      <c r="AL1" s="275"/>
      <c r="AM1" s="275"/>
      <c r="AN1" s="275"/>
      <c r="AO1" s="343"/>
      <c r="AP1" s="343"/>
      <c r="AQ1" s="343"/>
      <c r="AR1" s="343"/>
      <c r="AS1" s="343"/>
      <c r="AT1" s="343"/>
      <c r="AU1" s="343"/>
      <c r="AV1" s="343"/>
      <c r="AW1" s="343"/>
      <c r="AX1" s="343"/>
      <c r="AY1" s="343"/>
      <c r="AZ1" s="343"/>
    </row>
    <row r="2" spans="2:52" s="22" customFormat="1" ht="12.45">
      <c r="T2" s="275"/>
      <c r="U2" s="275"/>
      <c r="V2" s="275"/>
      <c r="W2" s="275"/>
      <c r="X2" s="275"/>
      <c r="Y2" s="275"/>
      <c r="Z2" s="275"/>
      <c r="AA2" s="343"/>
      <c r="AB2" s="343"/>
      <c r="AC2" s="343"/>
      <c r="AD2" s="343"/>
      <c r="AE2" s="343"/>
      <c r="AF2" s="343"/>
      <c r="AG2" s="343"/>
      <c r="AH2" s="343"/>
      <c r="AI2" s="343"/>
      <c r="AJ2" s="343"/>
      <c r="AK2" s="343"/>
      <c r="AL2" s="275"/>
      <c r="AM2" s="275"/>
      <c r="AN2" s="275"/>
      <c r="AO2" s="343"/>
      <c r="AP2" s="343"/>
      <c r="AQ2" s="343"/>
      <c r="AR2" s="343"/>
      <c r="AS2" s="343"/>
      <c r="AT2" s="343"/>
      <c r="AU2" s="343"/>
      <c r="AV2" s="343"/>
      <c r="AW2" s="343"/>
      <c r="AX2" s="343"/>
      <c r="AY2" s="343"/>
      <c r="AZ2" s="343"/>
    </row>
    <row r="3" spans="2:52" s="22" customFormat="1" ht="13.1">
      <c r="B3" s="791" t="s">
        <v>239</v>
      </c>
      <c r="C3" s="791"/>
      <c r="D3" s="791"/>
      <c r="E3" s="791"/>
      <c r="F3" s="791"/>
      <c r="G3" s="791"/>
      <c r="H3" s="791"/>
      <c r="I3" s="791"/>
      <c r="J3" s="791"/>
      <c r="K3" s="791"/>
      <c r="L3" s="791"/>
      <c r="M3" s="791"/>
      <c r="N3" s="791"/>
      <c r="O3" s="791"/>
      <c r="P3" s="791"/>
      <c r="Q3" s="791"/>
      <c r="R3" s="791"/>
      <c r="S3" s="791"/>
      <c r="T3" s="275"/>
      <c r="U3" s="275"/>
      <c r="V3" s="275"/>
      <c r="W3" s="275"/>
      <c r="X3" s="275"/>
      <c r="Y3" s="275"/>
      <c r="Z3" s="275"/>
      <c r="AA3" s="343"/>
      <c r="AB3" s="343"/>
      <c r="AC3" s="343"/>
      <c r="AD3" s="343"/>
      <c r="AE3" s="343"/>
      <c r="AF3" s="343"/>
      <c r="AG3" s="343"/>
      <c r="AH3" s="343"/>
      <c r="AI3" s="343"/>
      <c r="AJ3" s="343"/>
      <c r="AK3" s="343"/>
      <c r="AL3" s="275"/>
      <c r="AM3" s="275"/>
      <c r="AN3" s="275"/>
      <c r="AO3" s="343"/>
      <c r="AP3" s="343"/>
      <c r="AQ3" s="343"/>
      <c r="AR3" s="343"/>
      <c r="AS3" s="343"/>
      <c r="AT3" s="343"/>
      <c r="AU3" s="343"/>
      <c r="AV3" s="343"/>
      <c r="AW3" s="343"/>
      <c r="AX3" s="343"/>
      <c r="AY3" s="343"/>
      <c r="AZ3" s="343"/>
    </row>
    <row r="4" spans="2:52" s="22" customFormat="1" ht="13.1">
      <c r="B4" s="867" t="s">
        <v>717</v>
      </c>
      <c r="C4" s="867"/>
      <c r="D4" s="867"/>
      <c r="E4" s="867"/>
      <c r="F4" s="867"/>
      <c r="G4" s="867"/>
      <c r="H4" s="867"/>
      <c r="I4" s="867"/>
      <c r="J4" s="867"/>
      <c r="K4" s="867"/>
      <c r="L4" s="867"/>
      <c r="M4" s="867"/>
      <c r="N4" s="867"/>
      <c r="O4" s="867"/>
      <c r="P4" s="867"/>
      <c r="Q4" s="867"/>
      <c r="R4" s="867"/>
      <c r="S4" s="867"/>
      <c r="T4" s="275"/>
      <c r="U4" s="275"/>
      <c r="V4" s="275"/>
      <c r="W4" s="358"/>
      <c r="X4" s="358"/>
      <c r="Y4" s="275"/>
      <c r="Z4" s="275"/>
      <c r="AA4" s="343"/>
      <c r="AB4" s="343"/>
      <c r="AC4" s="343"/>
      <c r="AD4" s="343"/>
      <c r="AE4" s="343"/>
      <c r="AF4" s="343"/>
      <c r="AG4" s="343"/>
      <c r="AH4" s="343"/>
      <c r="AI4" s="343"/>
      <c r="AJ4" s="343"/>
      <c r="AK4" s="343"/>
      <c r="AL4" s="275"/>
      <c r="AM4" s="275"/>
      <c r="AN4" s="275"/>
      <c r="AO4" s="343"/>
      <c r="AP4" s="343"/>
      <c r="AQ4" s="343"/>
      <c r="AR4" s="343"/>
      <c r="AS4" s="343"/>
      <c r="AT4" s="343"/>
      <c r="AU4" s="343"/>
      <c r="AV4" s="343"/>
      <c r="AW4" s="343"/>
      <c r="AX4" s="343"/>
      <c r="AY4" s="343"/>
      <c r="AZ4" s="343"/>
    </row>
    <row r="5" spans="2:52" s="22" customFormat="1" ht="13.1">
      <c r="B5" s="867" t="s">
        <v>240</v>
      </c>
      <c r="C5" s="867"/>
      <c r="D5" s="867"/>
      <c r="E5" s="867"/>
      <c r="F5" s="867"/>
      <c r="G5" s="867"/>
      <c r="H5" s="867"/>
      <c r="I5" s="867"/>
      <c r="J5" s="867"/>
      <c r="K5" s="867"/>
      <c r="L5" s="867"/>
      <c r="M5" s="867"/>
      <c r="N5" s="867"/>
      <c r="O5" s="867"/>
      <c r="P5" s="867"/>
      <c r="Q5" s="867"/>
      <c r="R5" s="867"/>
      <c r="S5" s="867"/>
      <c r="T5" s="275"/>
      <c r="U5" s="275"/>
      <c r="V5" s="275"/>
      <c r="W5" s="275"/>
      <c r="X5" s="275"/>
      <c r="Y5" s="358"/>
      <c r="Z5" s="358"/>
      <c r="AA5" s="683"/>
      <c r="AB5" s="683"/>
      <c r="AC5" s="683"/>
      <c r="AD5" s="683"/>
      <c r="AE5" s="343"/>
      <c r="AF5" s="343"/>
      <c r="AG5" s="343"/>
      <c r="AH5" s="343"/>
      <c r="AI5" s="343"/>
      <c r="AJ5" s="343"/>
      <c r="AK5" s="343"/>
      <c r="AL5" s="275"/>
      <c r="AM5" s="275"/>
      <c r="AN5" s="275"/>
      <c r="AO5" s="343"/>
      <c r="AP5" s="343"/>
      <c r="AQ5" s="343"/>
      <c r="AR5" s="343"/>
      <c r="AS5" s="343"/>
      <c r="AT5" s="343"/>
      <c r="AU5" s="343"/>
      <c r="AV5" s="343"/>
      <c r="AW5" s="343"/>
      <c r="AX5" s="343"/>
      <c r="AY5" s="343"/>
      <c r="AZ5" s="343"/>
    </row>
    <row r="6" spans="2:52" s="22" customFormat="1" ht="29.95" customHeight="1">
      <c r="B6" s="124" t="s">
        <v>211</v>
      </c>
      <c r="C6" s="857" t="s">
        <v>241</v>
      </c>
      <c r="D6" s="878"/>
      <c r="E6" s="878"/>
      <c r="F6" s="855"/>
      <c r="G6" s="857" t="s">
        <v>227</v>
      </c>
      <c r="H6" s="878"/>
      <c r="I6" s="878"/>
      <c r="J6" s="855"/>
      <c r="K6" s="857" t="s">
        <v>242</v>
      </c>
      <c r="L6" s="878"/>
      <c r="M6" s="878"/>
      <c r="N6" s="855"/>
      <c r="O6" s="817" t="s">
        <v>208</v>
      </c>
      <c r="P6" s="817"/>
      <c r="Q6" s="817"/>
      <c r="R6" s="817"/>
      <c r="S6" s="817"/>
      <c r="T6" s="494"/>
      <c r="U6" s="494"/>
      <c r="V6" s="494"/>
      <c r="W6" s="358"/>
      <c r="X6" s="358"/>
      <c r="Y6" s="359"/>
      <c r="Z6" s="359"/>
      <c r="AA6" s="684"/>
      <c r="AB6" s="684"/>
      <c r="AC6" s="684"/>
      <c r="AD6" s="684"/>
      <c r="AE6" s="683"/>
      <c r="AF6" s="683"/>
      <c r="AG6" s="343"/>
      <c r="AH6" s="343"/>
      <c r="AI6" s="343"/>
      <c r="AJ6" s="343"/>
      <c r="AK6" s="343"/>
      <c r="AL6" s="275"/>
      <c r="AM6" s="275"/>
      <c r="AN6" s="275"/>
      <c r="AO6" s="343"/>
      <c r="AP6" s="343"/>
      <c r="AQ6" s="343"/>
      <c r="AR6" s="343"/>
      <c r="AS6" s="343"/>
      <c r="AT6" s="343"/>
      <c r="AU6" s="343"/>
      <c r="AV6" s="343"/>
      <c r="AW6" s="343"/>
      <c r="AX6" s="343"/>
      <c r="AY6" s="343"/>
      <c r="AZ6" s="343"/>
    </row>
    <row r="7" spans="2:52" s="22" customFormat="1" ht="26.2" customHeight="1">
      <c r="B7" s="197"/>
      <c r="C7" s="283">
        <v>2021</v>
      </c>
      <c r="D7" s="283">
        <v>2022</v>
      </c>
      <c r="E7" s="283">
        <v>2023</v>
      </c>
      <c r="F7" s="283">
        <v>2024</v>
      </c>
      <c r="G7" s="283">
        <v>2021</v>
      </c>
      <c r="H7" s="283">
        <v>2022</v>
      </c>
      <c r="I7" s="283">
        <v>2023</v>
      </c>
      <c r="J7" s="283">
        <v>2024</v>
      </c>
      <c r="K7" s="283">
        <v>2021</v>
      </c>
      <c r="L7" s="283">
        <v>2022</v>
      </c>
      <c r="M7" s="283">
        <v>2023</v>
      </c>
      <c r="N7" s="283">
        <v>2024</v>
      </c>
      <c r="O7" s="283">
        <v>2021</v>
      </c>
      <c r="P7" s="283">
        <v>2022</v>
      </c>
      <c r="Q7" s="283">
        <v>2023</v>
      </c>
      <c r="R7" s="283">
        <v>2024</v>
      </c>
      <c r="S7" s="100" t="s">
        <v>713</v>
      </c>
      <c r="T7" s="275"/>
      <c r="U7" s="275" t="s">
        <v>227</v>
      </c>
      <c r="V7" s="275" t="s">
        <v>243</v>
      </c>
      <c r="W7" s="359" t="s">
        <v>244</v>
      </c>
      <c r="X7" s="359"/>
      <c r="Y7" s="359"/>
      <c r="Z7" s="359"/>
      <c r="AA7" s="684"/>
      <c r="AB7" s="684"/>
      <c r="AC7" s="684"/>
      <c r="AD7" s="684"/>
      <c r="AE7" s="684"/>
      <c r="AF7" s="684"/>
      <c r="AG7" s="683"/>
      <c r="AH7" s="683"/>
      <c r="AI7" s="683"/>
      <c r="AJ7" s="683"/>
      <c r="AK7" s="683"/>
      <c r="AL7" s="358"/>
      <c r="AM7" s="275"/>
      <c r="AN7" s="275"/>
      <c r="AO7" s="343"/>
      <c r="AP7" s="343"/>
      <c r="AQ7" s="343"/>
      <c r="AR7" s="343"/>
      <c r="AS7" s="343"/>
      <c r="AT7" s="343"/>
      <c r="AU7" s="343"/>
      <c r="AV7" s="343"/>
      <c r="AW7" s="343"/>
      <c r="AX7" s="343"/>
      <c r="AY7" s="343"/>
      <c r="AZ7" s="343"/>
    </row>
    <row r="8" spans="2:52" s="22" customFormat="1" ht="15.75" customHeight="1">
      <c r="B8" s="51" t="s">
        <v>212</v>
      </c>
      <c r="C8" s="346">
        <v>179.06751708119464</v>
      </c>
      <c r="D8" s="346">
        <v>267.76866535875007</v>
      </c>
      <c r="E8" s="346">
        <v>306.65763765337766</v>
      </c>
      <c r="F8" s="346">
        <v>277.22571833484852</v>
      </c>
      <c r="G8" s="346">
        <v>177.09252557740888</v>
      </c>
      <c r="H8" s="346">
        <v>334.78748379969153</v>
      </c>
      <c r="I8" s="346">
        <v>360.2162358728981</v>
      </c>
      <c r="J8" s="346">
        <v>307.07892389822888</v>
      </c>
      <c r="K8" s="346">
        <v>165.35555572300007</v>
      </c>
      <c r="L8" s="346">
        <v>329.87203343459709</v>
      </c>
      <c r="M8" s="346">
        <v>359.12481606483522</v>
      </c>
      <c r="N8" s="346">
        <v>307.07892389822888</v>
      </c>
      <c r="O8" s="346">
        <v>185.62952478349058</v>
      </c>
      <c r="P8" s="346">
        <v>284.32718506365694</v>
      </c>
      <c r="Q8" s="346">
        <v>333.17409808508927</v>
      </c>
      <c r="R8" s="346">
        <v>276.37032819338197</v>
      </c>
      <c r="S8" s="704">
        <f t="shared" ref="S8:S14" si="0">R8/Q8-1</f>
        <v>-0.17049275504364148</v>
      </c>
      <c r="T8" s="347">
        <v>44197</v>
      </c>
      <c r="U8" s="496">
        <f>G8</f>
        <v>177.09252557740888</v>
      </c>
      <c r="V8" s="496">
        <f>K8</f>
        <v>165.35555572300007</v>
      </c>
      <c r="W8" s="495">
        <f>C8</f>
        <v>179.06751708119464</v>
      </c>
      <c r="X8" s="359"/>
      <c r="Y8" s="359"/>
      <c r="Z8" s="359"/>
      <c r="AA8" s="684"/>
      <c r="AB8" s="684"/>
      <c r="AC8" s="684"/>
      <c r="AD8" s="684"/>
      <c r="AE8" s="684"/>
      <c r="AF8" s="684"/>
      <c r="AG8" s="684"/>
      <c r="AH8" s="684"/>
      <c r="AI8" s="684"/>
      <c r="AJ8" s="343"/>
      <c r="AK8" s="343"/>
      <c r="AL8" s="275"/>
      <c r="AM8" s="275"/>
      <c r="AN8" s="275"/>
      <c r="AO8" s="343"/>
      <c r="AP8" s="343"/>
      <c r="AQ8" s="343"/>
      <c r="AR8" s="343"/>
      <c r="AS8" s="343"/>
      <c r="AT8" s="343"/>
      <c r="AU8" s="343"/>
      <c r="AV8" s="343"/>
      <c r="AW8" s="343"/>
      <c r="AX8" s="343"/>
      <c r="AY8" s="343"/>
      <c r="AZ8" s="343"/>
    </row>
    <row r="9" spans="2:52" s="22" customFormat="1" ht="15.75" customHeight="1">
      <c r="B9" s="51" t="s">
        <v>213</v>
      </c>
      <c r="C9" s="346">
        <v>189.30695667784781</v>
      </c>
      <c r="D9" s="346">
        <v>283.74659203941059</v>
      </c>
      <c r="E9" s="346">
        <v>343.85586884912351</v>
      </c>
      <c r="F9" s="346">
        <v>291.77167307187551</v>
      </c>
      <c r="G9" s="346">
        <v>186.40526781787636</v>
      </c>
      <c r="H9" s="346">
        <v>320.85771562139672</v>
      </c>
      <c r="I9" s="346">
        <v>344.6808349942998</v>
      </c>
      <c r="J9" s="346">
        <v>322.53435530016077</v>
      </c>
      <c r="K9" s="346">
        <v>190.02701916172467</v>
      </c>
      <c r="L9" s="346">
        <v>321.81557368402815</v>
      </c>
      <c r="M9" s="346">
        <v>347.3678893483297</v>
      </c>
      <c r="N9" s="346">
        <v>331.91760968122014</v>
      </c>
      <c r="O9" s="346">
        <v>188.41974828926126</v>
      </c>
      <c r="P9" s="346">
        <v>284.52284094702469</v>
      </c>
      <c r="Q9" s="346">
        <v>329.18036134952314</v>
      </c>
      <c r="R9" s="346">
        <v>273.01779722790531</v>
      </c>
      <c r="S9" s="704">
        <f t="shared" si="0"/>
        <v>-0.17061334974957554</v>
      </c>
      <c r="T9" s="347">
        <v>44228</v>
      </c>
      <c r="U9" s="496">
        <f t="shared" ref="U9:U19" si="1">G9</f>
        <v>186.40526781787636</v>
      </c>
      <c r="V9" s="496">
        <f t="shared" ref="V9:V19" si="2">K9</f>
        <v>190.02701916172467</v>
      </c>
      <c r="W9" s="495">
        <f t="shared" ref="W9:W19" si="3">C9</f>
        <v>189.30695667784781</v>
      </c>
      <c r="X9" s="359"/>
      <c r="Y9" s="359" t="s">
        <v>97</v>
      </c>
      <c r="Z9" s="359"/>
      <c r="AA9" s="684"/>
      <c r="AB9" s="684"/>
      <c r="AC9" s="684"/>
      <c r="AD9" s="684"/>
      <c r="AE9" s="684"/>
      <c r="AF9" s="684"/>
      <c r="AG9" s="684"/>
      <c r="AH9" s="684"/>
      <c r="AI9" s="684"/>
      <c r="AJ9" s="343"/>
      <c r="AK9" s="343"/>
      <c r="AL9" s="275"/>
      <c r="AM9" s="275"/>
      <c r="AN9" s="275"/>
      <c r="AO9" s="343"/>
      <c r="AP9" s="343"/>
      <c r="AQ9" s="343"/>
      <c r="AR9" s="343"/>
      <c r="AS9" s="343"/>
      <c r="AT9" s="343"/>
      <c r="AU9" s="343"/>
      <c r="AV9" s="343"/>
      <c r="AW9" s="343"/>
      <c r="AX9" s="343"/>
      <c r="AY9" s="343"/>
      <c r="AZ9" s="343"/>
    </row>
    <row r="10" spans="2:52" s="22" customFormat="1" ht="15.75" customHeight="1">
      <c r="B10" s="51" t="s">
        <v>214</v>
      </c>
      <c r="C10" s="346">
        <v>183.41406272080454</v>
      </c>
      <c r="D10" s="346">
        <v>278.05501162064633</v>
      </c>
      <c r="E10" s="346">
        <v>305.16560469823025</v>
      </c>
      <c r="F10" s="346">
        <v>294.52251426870703</v>
      </c>
      <c r="G10" s="346">
        <v>195.4833534485978</v>
      </c>
      <c r="H10" s="346">
        <v>321.00137457112265</v>
      </c>
      <c r="I10" s="346">
        <v>347.55026126434643</v>
      </c>
      <c r="J10" s="346">
        <v>321.74351697872896</v>
      </c>
      <c r="K10" s="346">
        <v>195.2668893943185</v>
      </c>
      <c r="L10" s="346">
        <v>348.01290512199125</v>
      </c>
      <c r="M10" s="346">
        <v>342.31326281601133</v>
      </c>
      <c r="N10" s="346">
        <v>309.08470959175116</v>
      </c>
      <c r="O10" s="344">
        <v>194.8454914500345</v>
      </c>
      <c r="P10" s="344">
        <v>285.80656074562773</v>
      </c>
      <c r="Q10" s="344">
        <v>313.96406846109522</v>
      </c>
      <c r="R10" s="344">
        <v>283.47320119211304</v>
      </c>
      <c r="S10" s="704">
        <f t="shared" si="0"/>
        <v>-9.7115785951029765E-2</v>
      </c>
      <c r="T10" s="347">
        <v>44256</v>
      </c>
      <c r="U10" s="496">
        <f t="shared" si="1"/>
        <v>195.4833534485978</v>
      </c>
      <c r="V10" s="496">
        <f t="shared" si="2"/>
        <v>195.2668893943185</v>
      </c>
      <c r="W10" s="495">
        <f t="shared" si="3"/>
        <v>183.41406272080454</v>
      </c>
      <c r="X10" s="359"/>
      <c r="Y10" s="359"/>
      <c r="Z10" s="359"/>
      <c r="AA10" s="684"/>
      <c r="AB10" s="684"/>
      <c r="AC10" s="684"/>
      <c r="AD10" s="684"/>
      <c r="AE10" s="684"/>
      <c r="AF10" s="684"/>
      <c r="AG10" s="684"/>
      <c r="AH10" s="684"/>
      <c r="AI10" s="684"/>
      <c r="AJ10" s="343"/>
      <c r="AK10" s="343"/>
      <c r="AL10" s="275"/>
      <c r="AM10" s="275"/>
      <c r="AN10" s="275"/>
      <c r="AO10" s="343"/>
      <c r="AP10" s="343"/>
      <c r="AQ10" s="343"/>
      <c r="AR10" s="343"/>
      <c r="AS10" s="343"/>
      <c r="AT10" s="343"/>
      <c r="AU10" s="343"/>
      <c r="AV10" s="343"/>
      <c r="AW10" s="343"/>
      <c r="AX10" s="343"/>
      <c r="AY10" s="343"/>
      <c r="AZ10" s="343"/>
    </row>
    <row r="11" spans="2:52" s="22" customFormat="1" ht="15.75" customHeight="1">
      <c r="B11" s="51" t="s">
        <v>215</v>
      </c>
      <c r="C11" s="346">
        <v>204.15279983555058</v>
      </c>
      <c r="D11" s="346">
        <v>290.36895454054587</v>
      </c>
      <c r="E11" s="346">
        <v>295.83677462236597</v>
      </c>
      <c r="F11" s="346">
        <v>267.27266562950297</v>
      </c>
      <c r="G11" s="346">
        <v>217.17736414688881</v>
      </c>
      <c r="H11" s="346">
        <v>397.65525544327801</v>
      </c>
      <c r="I11" s="346">
        <v>332.38217737004913</v>
      </c>
      <c r="J11" s="346">
        <v>321.18277671133347</v>
      </c>
      <c r="K11" s="346">
        <v>195.18521229698376</v>
      </c>
      <c r="L11" s="346">
        <v>386.44084813733855</v>
      </c>
      <c r="M11" s="346">
        <v>329.14365214846009</v>
      </c>
      <c r="N11" s="346">
        <v>315.25738713134439</v>
      </c>
      <c r="O11" s="346">
        <v>205.05762532232222</v>
      </c>
      <c r="P11" s="346">
        <v>333.86352384336192</v>
      </c>
      <c r="Q11" s="346">
        <v>311.57566551787107</v>
      </c>
      <c r="R11" s="346">
        <v>278.30506934564391</v>
      </c>
      <c r="S11" s="704">
        <f t="shared" si="0"/>
        <v>-0.10678175433542914</v>
      </c>
      <c r="T11" s="347">
        <v>44287</v>
      </c>
      <c r="U11" s="496">
        <f t="shared" si="1"/>
        <v>217.17736414688881</v>
      </c>
      <c r="V11" s="496">
        <f t="shared" si="2"/>
        <v>195.18521229698376</v>
      </c>
      <c r="W11" s="495">
        <f t="shared" si="3"/>
        <v>204.15279983555058</v>
      </c>
      <c r="X11" s="359"/>
      <c r="Y11" s="359"/>
      <c r="Z11" s="359"/>
      <c r="AA11" s="684"/>
      <c r="AB11" s="684"/>
      <c r="AC11" s="684"/>
      <c r="AD11" s="684"/>
      <c r="AE11" s="684"/>
      <c r="AF11" s="684"/>
      <c r="AG11" s="684"/>
      <c r="AH11" s="684"/>
      <c r="AI11" s="684"/>
      <c r="AJ11" s="343"/>
      <c r="AK11" s="343"/>
      <c r="AL11" s="275"/>
      <c r="AM11" s="275"/>
      <c r="AN11" s="275"/>
      <c r="AO11" s="343"/>
      <c r="AP11" s="343"/>
      <c r="AQ11" s="343"/>
      <c r="AR11" s="343"/>
      <c r="AS11" s="343"/>
      <c r="AT11" s="343"/>
      <c r="AU11" s="343"/>
      <c r="AV11" s="343"/>
      <c r="AW11" s="343"/>
      <c r="AX11" s="343"/>
      <c r="AY11" s="343"/>
      <c r="AZ11" s="343"/>
    </row>
    <row r="12" spans="2:52" s="22" customFormat="1" ht="15.75" customHeight="1">
      <c r="B12" s="51" t="s">
        <v>216</v>
      </c>
      <c r="C12" s="346">
        <v>210.65756835698585</v>
      </c>
      <c r="D12" s="346">
        <v>350.13848762681442</v>
      </c>
      <c r="E12" s="346">
        <v>303.18345326983513</v>
      </c>
      <c r="F12" s="346"/>
      <c r="G12" s="346">
        <v>204.15676618910891</v>
      </c>
      <c r="H12" s="346">
        <v>399.84846382464059</v>
      </c>
      <c r="I12" s="346">
        <v>318.988802797267</v>
      </c>
      <c r="J12" s="346">
        <v>297.67302664396317</v>
      </c>
      <c r="K12" s="346">
        <v>206.0752893210522</v>
      </c>
      <c r="L12" s="346">
        <v>389.23358922477922</v>
      </c>
      <c r="M12" s="346">
        <v>314.1780727104782</v>
      </c>
      <c r="N12" s="346">
        <v>288.15947397824829</v>
      </c>
      <c r="O12" s="346">
        <v>208.69301977498188</v>
      </c>
      <c r="P12" s="346">
        <v>348.02108258961721</v>
      </c>
      <c r="Q12" s="346">
        <v>310.53462400711913</v>
      </c>
      <c r="R12" s="346">
        <v>275.8391535235649</v>
      </c>
      <c r="S12" s="704">
        <f t="shared" si="0"/>
        <v>-0.11172818681487451</v>
      </c>
      <c r="T12" s="347">
        <v>44317</v>
      </c>
      <c r="U12" s="496">
        <f t="shared" si="1"/>
        <v>204.15676618910891</v>
      </c>
      <c r="V12" s="496">
        <f t="shared" si="2"/>
        <v>206.0752893210522</v>
      </c>
      <c r="W12" s="495">
        <f t="shared" si="3"/>
        <v>210.65756835698585</v>
      </c>
      <c r="X12" s="359"/>
      <c r="Y12" s="359"/>
      <c r="Z12" s="275"/>
      <c r="AA12" s="343"/>
      <c r="AB12" s="684"/>
      <c r="AC12" s="684"/>
      <c r="AD12" s="684"/>
      <c r="AE12" s="684"/>
      <c r="AF12" s="684"/>
      <c r="AG12" s="684"/>
      <c r="AH12" s="684"/>
      <c r="AI12" s="684"/>
      <c r="AJ12" s="343"/>
      <c r="AK12" s="343"/>
      <c r="AL12" s="275"/>
      <c r="AM12" s="275"/>
      <c r="AN12" s="275"/>
      <c r="AO12" s="343"/>
      <c r="AP12" s="343"/>
      <c r="AQ12" s="343"/>
      <c r="AR12" s="343"/>
      <c r="AS12" s="343"/>
      <c r="AT12" s="343"/>
      <c r="AU12" s="343"/>
      <c r="AV12" s="343"/>
      <c r="AW12" s="343"/>
      <c r="AX12" s="343"/>
      <c r="AY12" s="343"/>
      <c r="AZ12" s="343"/>
    </row>
    <row r="13" spans="2:52" s="22" customFormat="1" ht="15.75" customHeight="1">
      <c r="B13" s="51" t="s">
        <v>217</v>
      </c>
      <c r="C13" s="346">
        <v>209.66826032490411</v>
      </c>
      <c r="D13" s="346">
        <v>358.36082903826508</v>
      </c>
      <c r="E13" s="346">
        <v>291.004170782676</v>
      </c>
      <c r="F13" s="346"/>
      <c r="G13" s="346">
        <v>214.82520559874493</v>
      </c>
      <c r="H13" s="346">
        <v>438.76759809033916</v>
      </c>
      <c r="I13" s="346">
        <v>296.29013206855296</v>
      </c>
      <c r="J13" s="346">
        <v>303.97703952563484</v>
      </c>
      <c r="K13" s="346">
        <v>215.4115169975104</v>
      </c>
      <c r="L13" s="346">
        <v>438.76759809033916</v>
      </c>
      <c r="M13" s="346">
        <v>300.19464978742968</v>
      </c>
      <c r="N13" s="346">
        <v>303.19408411264385</v>
      </c>
      <c r="O13" s="346">
        <v>209.33781443581296</v>
      </c>
      <c r="P13" s="346">
        <v>398.45727520959827</v>
      </c>
      <c r="Q13" s="346">
        <v>297.85370728296317</v>
      </c>
      <c r="R13" s="346">
        <v>293.35585850571482</v>
      </c>
      <c r="S13" s="704">
        <f t="shared" si="0"/>
        <v>-1.5100865516423978E-2</v>
      </c>
      <c r="T13" s="347">
        <v>44348</v>
      </c>
      <c r="U13" s="496">
        <f t="shared" si="1"/>
        <v>214.82520559874493</v>
      </c>
      <c r="V13" s="496">
        <f t="shared" si="2"/>
        <v>215.4115169975104</v>
      </c>
      <c r="W13" s="495">
        <f t="shared" si="3"/>
        <v>209.66826032490411</v>
      </c>
      <c r="X13" s="359"/>
      <c r="Y13" s="359"/>
      <c r="Z13" s="358"/>
      <c r="AA13" s="683"/>
      <c r="AB13" s="684"/>
      <c r="AC13" s="343"/>
      <c r="AD13" s="343"/>
      <c r="AE13" s="684"/>
      <c r="AF13" s="684"/>
      <c r="AG13" s="684"/>
      <c r="AH13" s="684"/>
      <c r="AI13" s="684"/>
      <c r="AJ13" s="343"/>
      <c r="AK13" s="343"/>
      <c r="AL13" s="275"/>
      <c r="AM13" s="275"/>
      <c r="AN13" s="275"/>
      <c r="AO13" s="343"/>
      <c r="AP13" s="343"/>
      <c r="AQ13" s="343"/>
      <c r="AR13" s="343"/>
      <c r="AS13" s="343"/>
      <c r="AT13" s="343"/>
      <c r="AU13" s="343"/>
      <c r="AV13" s="343"/>
      <c r="AW13" s="343"/>
      <c r="AX13" s="343"/>
      <c r="AY13" s="343"/>
      <c r="AZ13" s="343"/>
    </row>
    <row r="14" spans="2:52" s="22" customFormat="1" ht="15.75" customHeight="1">
      <c r="B14" s="51" t="s">
        <v>218</v>
      </c>
      <c r="C14" s="346">
        <v>220.76350792425433</v>
      </c>
      <c r="D14" s="346">
        <v>478.33443848605827</v>
      </c>
      <c r="E14" s="346">
        <v>304.47742072268699</v>
      </c>
      <c r="F14" s="346">
        <v>241.83459870627155</v>
      </c>
      <c r="G14" s="346">
        <v>224.71672620383583</v>
      </c>
      <c r="H14" s="346">
        <v>508.83957840154892</v>
      </c>
      <c r="I14" s="346">
        <v>291.6779226907305</v>
      </c>
      <c r="J14" s="346">
        <v>313.57168130186426</v>
      </c>
      <c r="K14" s="346">
        <v>224.52085389448848</v>
      </c>
      <c r="L14" s="346">
        <v>492.85101014629925</v>
      </c>
      <c r="M14" s="346">
        <v>291.6779226907305</v>
      </c>
      <c r="N14" s="346">
        <v>300.08020795514011</v>
      </c>
      <c r="O14" s="346">
        <v>222.56568284165644</v>
      </c>
      <c r="P14" s="346">
        <v>484.19614182236052</v>
      </c>
      <c r="Q14" s="346">
        <v>291.78092805077455</v>
      </c>
      <c r="R14" s="346">
        <v>284.33182595814031</v>
      </c>
      <c r="S14" s="704">
        <f t="shared" si="0"/>
        <v>-2.5529777228407324E-2</v>
      </c>
      <c r="T14" s="347">
        <v>44378</v>
      </c>
      <c r="U14" s="496">
        <f t="shared" si="1"/>
        <v>224.71672620383583</v>
      </c>
      <c r="V14" s="496">
        <f t="shared" si="2"/>
        <v>224.52085389448848</v>
      </c>
      <c r="W14" s="495">
        <f t="shared" si="3"/>
        <v>220.76350792425433</v>
      </c>
      <c r="X14" s="359"/>
      <c r="Y14" s="359"/>
      <c r="Z14" s="359"/>
      <c r="AA14" s="684"/>
      <c r="AB14" s="343"/>
      <c r="AC14" s="343"/>
      <c r="AD14" s="683"/>
      <c r="AE14" s="343"/>
      <c r="AF14" s="343"/>
      <c r="AG14" s="684"/>
      <c r="AH14" s="684"/>
      <c r="AI14" s="684"/>
      <c r="AJ14" s="343"/>
      <c r="AK14" s="343"/>
      <c r="AL14" s="275"/>
      <c r="AM14" s="275"/>
      <c r="AN14" s="275"/>
      <c r="AO14" s="343"/>
      <c r="AP14" s="343"/>
      <c r="AQ14" s="343"/>
      <c r="AR14" s="343"/>
      <c r="AS14" s="343"/>
      <c r="AT14" s="343"/>
      <c r="AU14" s="343"/>
      <c r="AV14" s="343"/>
      <c r="AW14" s="343"/>
      <c r="AX14" s="343"/>
      <c r="AY14" s="343"/>
      <c r="AZ14" s="343"/>
    </row>
    <row r="15" spans="2:52" s="22" customFormat="1" ht="15.75" customHeight="1">
      <c r="B15" s="51" t="s">
        <v>219</v>
      </c>
      <c r="C15" s="346">
        <v>241.25919977991967</v>
      </c>
      <c r="D15" s="346">
        <v>452.4490248681422</v>
      </c>
      <c r="E15" s="346"/>
      <c r="F15" s="346"/>
      <c r="G15" s="346">
        <v>251.7965352415338</v>
      </c>
      <c r="H15" s="346">
        <v>509.76466956582243</v>
      </c>
      <c r="I15" s="346">
        <v>305.86555205119595</v>
      </c>
      <c r="J15" s="346"/>
      <c r="K15" s="346">
        <v>242.16923152955016</v>
      </c>
      <c r="L15" s="346">
        <v>470.01336496502705</v>
      </c>
      <c r="M15" s="346">
        <v>306.24723725209492</v>
      </c>
      <c r="N15" s="346"/>
      <c r="O15" s="346">
        <v>248.42215999538408</v>
      </c>
      <c r="P15" s="346">
        <v>461.63001785733456</v>
      </c>
      <c r="Q15" s="346">
        <v>285.9644030443676</v>
      </c>
      <c r="R15" s="346"/>
      <c r="S15" s="550"/>
      <c r="T15" s="347">
        <v>44409</v>
      </c>
      <c r="U15" s="496">
        <f t="shared" si="1"/>
        <v>251.7965352415338</v>
      </c>
      <c r="V15" s="496">
        <f t="shared" si="2"/>
        <v>242.16923152955016</v>
      </c>
      <c r="W15" s="495">
        <f t="shared" si="3"/>
        <v>241.25919977991967</v>
      </c>
      <c r="X15" s="359"/>
      <c r="Y15" s="359"/>
      <c r="Z15" s="359"/>
      <c r="AA15" s="684"/>
      <c r="AB15" s="683"/>
      <c r="AC15" s="683"/>
      <c r="AD15" s="684"/>
      <c r="AE15" s="683"/>
      <c r="AF15" s="683"/>
      <c r="AG15" s="684"/>
      <c r="AH15" s="684"/>
      <c r="AI15" s="684"/>
      <c r="AJ15" s="343"/>
      <c r="AK15" s="343"/>
      <c r="AL15" s="275"/>
      <c r="AM15" s="275"/>
      <c r="AN15" s="275"/>
      <c r="AO15" s="343"/>
      <c r="AP15" s="343"/>
      <c r="AQ15" s="343"/>
      <c r="AR15" s="343"/>
      <c r="AS15" s="343"/>
      <c r="AT15" s="343"/>
      <c r="AU15" s="343"/>
      <c r="AV15" s="343"/>
      <c r="AW15" s="343"/>
      <c r="AX15" s="343"/>
      <c r="AY15" s="343"/>
      <c r="AZ15" s="343"/>
    </row>
    <row r="16" spans="2:52" ht="15.75" customHeight="1">
      <c r="B16" s="51" t="s">
        <v>220</v>
      </c>
      <c r="C16" s="346">
        <v>254.62518425105466</v>
      </c>
      <c r="D16" s="346">
        <v>467.19882378305124</v>
      </c>
      <c r="E16" s="346"/>
      <c r="F16" s="346"/>
      <c r="G16" s="346">
        <v>291.05351928467002</v>
      </c>
      <c r="H16" s="346">
        <v>514.83178169304335</v>
      </c>
      <c r="I16" s="346">
        <v>282.8232551661705</v>
      </c>
      <c r="J16" s="346"/>
      <c r="K16" s="346">
        <v>236.72206263368295</v>
      </c>
      <c r="L16" s="346">
        <v>497.88473608792003</v>
      </c>
      <c r="M16" s="346">
        <v>311.39242146292196</v>
      </c>
      <c r="N16" s="346"/>
      <c r="O16" s="346">
        <v>257.7661227506569</v>
      </c>
      <c r="P16" s="346">
        <v>460.22453479716029</v>
      </c>
      <c r="Q16" s="346">
        <v>286.81960051761087</v>
      </c>
      <c r="R16" s="346"/>
      <c r="S16" s="550"/>
      <c r="T16" s="347">
        <v>44440</v>
      </c>
      <c r="U16" s="496">
        <f t="shared" si="1"/>
        <v>291.05351928467002</v>
      </c>
      <c r="V16" s="496">
        <f t="shared" si="2"/>
        <v>236.72206263368295</v>
      </c>
      <c r="W16" s="495">
        <f t="shared" si="3"/>
        <v>254.62518425105466</v>
      </c>
      <c r="X16" s="359"/>
      <c r="Y16" s="359"/>
      <c r="Z16" s="359"/>
      <c r="AA16" s="684"/>
      <c r="AB16" s="684"/>
      <c r="AC16" s="684"/>
      <c r="AD16" s="684"/>
      <c r="AE16" s="684"/>
      <c r="AF16" s="684"/>
      <c r="AG16" s="684"/>
      <c r="AH16" s="684"/>
      <c r="AI16" s="684"/>
    </row>
    <row r="17" spans="1:44" ht="15.75" customHeight="1">
      <c r="B17" s="51" t="s">
        <v>221</v>
      </c>
      <c r="C17" s="346">
        <v>259.79918706588194</v>
      </c>
      <c r="D17" s="346">
        <v>410.00199101717311</v>
      </c>
      <c r="E17" s="346"/>
      <c r="F17" s="346"/>
      <c r="G17" s="346"/>
      <c r="H17" s="346">
        <v>496.90008536260228</v>
      </c>
      <c r="I17" s="346">
        <v>318.84289007071789</v>
      </c>
      <c r="J17" s="346"/>
      <c r="K17" s="346">
        <v>246.77399957362135</v>
      </c>
      <c r="L17" s="346">
        <v>496.90008536260228</v>
      </c>
      <c r="M17" s="346">
        <v>319.41938306190679</v>
      </c>
      <c r="N17" s="346"/>
      <c r="O17" s="346">
        <v>258.87184680399889</v>
      </c>
      <c r="P17" s="346">
        <v>440.6246891134619</v>
      </c>
      <c r="Q17" s="346">
        <v>318.56492646473691</v>
      </c>
      <c r="R17" s="346"/>
      <c r="S17" s="550"/>
      <c r="T17" s="347">
        <v>44470</v>
      </c>
      <c r="U17" s="496"/>
      <c r="V17" s="496">
        <f t="shared" si="2"/>
        <v>246.77399957362135</v>
      </c>
      <c r="W17" s="495">
        <f t="shared" si="3"/>
        <v>259.79918706588194</v>
      </c>
      <c r="X17" s="359"/>
      <c r="Y17" s="359"/>
      <c r="Z17" s="359"/>
      <c r="AA17" s="684"/>
      <c r="AB17" s="684"/>
      <c r="AC17" s="684"/>
      <c r="AD17" s="684"/>
      <c r="AE17" s="684"/>
      <c r="AF17" s="684"/>
      <c r="AG17" s="684"/>
      <c r="AH17" s="684"/>
      <c r="AI17" s="684"/>
    </row>
    <row r="18" spans="1:44" ht="15.75" customHeight="1">
      <c r="B18" s="51" t="s">
        <v>206</v>
      </c>
      <c r="C18" s="346">
        <v>269.92286061216396</v>
      </c>
      <c r="D18" s="346">
        <v>386.43928832892283</v>
      </c>
      <c r="E18" s="346">
        <v>292.51182373572721</v>
      </c>
      <c r="F18" s="346"/>
      <c r="G18" s="346">
        <v>314.47832685103737</v>
      </c>
      <c r="H18" s="346">
        <v>396.71049736427381</v>
      </c>
      <c r="I18" s="346">
        <v>306.27310427693703</v>
      </c>
      <c r="J18" s="346"/>
      <c r="K18" s="346">
        <v>297.82257417658997</v>
      </c>
      <c r="L18" s="346">
        <v>398.89874211896216</v>
      </c>
      <c r="M18" s="346">
        <v>311.87766284634108</v>
      </c>
      <c r="N18" s="346"/>
      <c r="O18" s="346">
        <v>285.22992451601266</v>
      </c>
      <c r="P18" s="346">
        <v>403.98802379861371</v>
      </c>
      <c r="Q18" s="346">
        <v>290.23365484709382</v>
      </c>
      <c r="R18" s="346"/>
      <c r="S18" s="550"/>
      <c r="T18" s="347">
        <v>44501</v>
      </c>
      <c r="U18" s="496">
        <f t="shared" si="1"/>
        <v>314.47832685103737</v>
      </c>
      <c r="V18" s="496">
        <f t="shared" si="2"/>
        <v>297.82257417658997</v>
      </c>
      <c r="W18" s="495">
        <f t="shared" si="3"/>
        <v>269.92286061216396</v>
      </c>
      <c r="X18" s="359"/>
      <c r="Y18" s="359"/>
      <c r="Z18" s="359"/>
      <c r="AA18" s="684"/>
      <c r="AB18" s="684"/>
      <c r="AC18" s="684"/>
      <c r="AD18" s="684"/>
      <c r="AE18" s="684"/>
      <c r="AF18" s="684"/>
      <c r="AG18" s="684"/>
      <c r="AH18" s="684"/>
      <c r="AI18" s="684"/>
    </row>
    <row r="19" spans="1:44" ht="15.75" customHeight="1">
      <c r="B19" s="51" t="s">
        <v>207</v>
      </c>
      <c r="C19" s="346">
        <v>294.84701899390365</v>
      </c>
      <c r="D19" s="346">
        <v>308.3459822919865</v>
      </c>
      <c r="E19" s="346"/>
      <c r="F19" s="346"/>
      <c r="G19" s="346">
        <v>365.18341981231845</v>
      </c>
      <c r="H19" s="346">
        <v>389.95840335703673</v>
      </c>
      <c r="I19" s="346">
        <v>306.19489500944064</v>
      </c>
      <c r="J19" s="346"/>
      <c r="K19" s="346">
        <v>349.62283716758714</v>
      </c>
      <c r="L19" s="346">
        <v>387.80459059031227</v>
      </c>
      <c r="M19" s="346">
        <v>306.24910927380921</v>
      </c>
      <c r="N19" s="346"/>
      <c r="O19" s="346">
        <v>327.59651989061945</v>
      </c>
      <c r="P19" s="346">
        <v>349.21811371057396</v>
      </c>
      <c r="Q19" s="346">
        <v>287.01781135447044</v>
      </c>
      <c r="R19" s="346"/>
      <c r="S19" s="550"/>
      <c r="T19" s="347">
        <v>44531</v>
      </c>
      <c r="U19" s="496">
        <f t="shared" si="1"/>
        <v>365.18341981231845</v>
      </c>
      <c r="V19" s="496">
        <f t="shared" si="2"/>
        <v>349.62283716758714</v>
      </c>
      <c r="W19" s="495">
        <f t="shared" si="3"/>
        <v>294.84701899390365</v>
      </c>
      <c r="X19" s="275"/>
      <c r="Y19" s="275"/>
      <c r="Z19" s="359"/>
      <c r="AA19" s="684"/>
      <c r="AB19" s="684"/>
      <c r="AC19" s="684"/>
      <c r="AD19" s="684"/>
      <c r="AE19" s="684"/>
      <c r="AF19" s="684"/>
      <c r="AG19" s="684"/>
      <c r="AH19" s="684"/>
      <c r="AI19" s="684"/>
    </row>
    <row r="20" spans="1:44" ht="32.25" customHeight="1">
      <c r="B20" s="882" t="s">
        <v>245</v>
      </c>
      <c r="C20" s="883"/>
      <c r="D20" s="883"/>
      <c r="E20" s="883"/>
      <c r="F20" s="883"/>
      <c r="G20" s="883"/>
      <c r="H20" s="883"/>
      <c r="I20" s="883"/>
      <c r="J20" s="883"/>
      <c r="K20" s="883"/>
      <c r="L20" s="883"/>
      <c r="M20" s="883"/>
      <c r="N20" s="883"/>
      <c r="O20" s="883"/>
      <c r="P20" s="883"/>
      <c r="Q20" s="883"/>
      <c r="R20" s="883"/>
      <c r="S20" s="884"/>
      <c r="T20" s="347">
        <v>44562</v>
      </c>
      <c r="U20" s="496">
        <f>H8</f>
        <v>334.78748379969153</v>
      </c>
      <c r="V20" s="496">
        <f>L8</f>
        <v>329.87203343459709</v>
      </c>
      <c r="W20" s="496">
        <f>D8</f>
        <v>267.76866535875007</v>
      </c>
      <c r="X20" s="275"/>
      <c r="Y20" s="275"/>
      <c r="Z20" s="359"/>
      <c r="AA20" s="684"/>
      <c r="AB20" s="684"/>
      <c r="AC20" s="684"/>
      <c r="AD20" s="684"/>
      <c r="AE20" s="684"/>
      <c r="AF20" s="684"/>
      <c r="AG20" s="685"/>
      <c r="AH20" s="685"/>
    </row>
    <row r="21" spans="1:44" ht="15.05" customHeight="1">
      <c r="D21" s="274"/>
      <c r="E21" s="274"/>
      <c r="F21" s="274"/>
      <c r="H21" s="274"/>
      <c r="I21" s="274"/>
      <c r="J21" s="274"/>
      <c r="L21" s="274"/>
      <c r="M21" s="274"/>
      <c r="N21" s="274"/>
      <c r="P21" s="274"/>
      <c r="Q21" s="274"/>
      <c r="R21" s="274"/>
      <c r="T21" s="347">
        <v>44593</v>
      </c>
      <c r="U21" s="496">
        <f t="shared" ref="U21" si="4">H9</f>
        <v>320.85771562139672</v>
      </c>
      <c r="V21" s="496">
        <f t="shared" ref="V21" si="5">L9</f>
        <v>321.81557368402815</v>
      </c>
      <c r="W21" s="496">
        <f t="shared" ref="W21" si="6">D9</f>
        <v>283.74659203941059</v>
      </c>
      <c r="X21" s="275"/>
      <c r="Y21" s="275"/>
      <c r="Z21" s="359"/>
      <c r="AA21" s="684"/>
      <c r="AB21" s="684"/>
      <c r="AC21" s="684"/>
      <c r="AD21" s="684"/>
      <c r="AE21" s="684"/>
      <c r="AF21" s="684"/>
    </row>
    <row r="22" spans="1:44" ht="27" customHeight="1">
      <c r="T22" s="347">
        <v>44621</v>
      </c>
      <c r="U22" s="496">
        <f>H10</f>
        <v>321.00137457112265</v>
      </c>
      <c r="V22" s="496">
        <f>L10</f>
        <v>348.01290512199125</v>
      </c>
      <c r="W22" s="496">
        <f>D10</f>
        <v>278.05501162064633</v>
      </c>
      <c r="X22" s="275"/>
      <c r="Y22" s="275"/>
      <c r="Z22" s="275"/>
      <c r="AA22" s="343"/>
      <c r="AB22" s="684"/>
      <c r="AC22" s="684"/>
      <c r="AD22" s="684"/>
      <c r="AE22" s="684"/>
      <c r="AF22" s="684"/>
    </row>
    <row r="23" spans="1:44" ht="15.05" customHeight="1">
      <c r="T23" s="347">
        <v>44652</v>
      </c>
      <c r="U23" s="496">
        <f>H11</f>
        <v>397.65525544327801</v>
      </c>
      <c r="V23" s="496">
        <f>L11</f>
        <v>386.44084813733855</v>
      </c>
      <c r="W23" s="496">
        <f>D11</f>
        <v>290.36895454054587</v>
      </c>
      <c r="X23" s="275"/>
      <c r="Y23" s="275"/>
      <c r="Z23" s="275"/>
      <c r="AA23" s="343"/>
      <c r="AB23" s="684"/>
      <c r="AC23" s="684"/>
      <c r="AE23" s="684"/>
      <c r="AF23" s="684"/>
    </row>
    <row r="24" spans="1:44" ht="15.05" customHeight="1">
      <c r="T24" s="347">
        <v>44682</v>
      </c>
      <c r="U24" s="496">
        <f>H12</f>
        <v>399.84846382464059</v>
      </c>
      <c r="V24" s="496">
        <f>L12</f>
        <v>389.23358922477922</v>
      </c>
      <c r="W24" s="496">
        <f>D12</f>
        <v>350.13848762681442</v>
      </c>
      <c r="X24" s="275"/>
      <c r="Y24" s="275"/>
      <c r="Z24" s="275"/>
      <c r="AA24" s="343"/>
      <c r="AB24" s="343"/>
    </row>
    <row r="25" spans="1:44" ht="15.05" customHeight="1">
      <c r="T25" s="347">
        <v>44713</v>
      </c>
      <c r="U25" s="496">
        <f>H13</f>
        <v>438.76759809033916</v>
      </c>
      <c r="V25" s="496">
        <f>L13</f>
        <v>438.76759809033916</v>
      </c>
      <c r="W25" s="496">
        <f>D13</f>
        <v>358.36082903826508</v>
      </c>
      <c r="X25" s="275"/>
      <c r="Y25" s="275"/>
      <c r="Z25" s="275"/>
      <c r="AA25" s="343"/>
      <c r="AB25" s="343"/>
    </row>
    <row r="26" spans="1:44" ht="15.05" customHeight="1">
      <c r="T26" s="347">
        <v>44743</v>
      </c>
      <c r="U26" s="496">
        <f t="shared" ref="U26:U27" si="7">H14</f>
        <v>508.83957840154892</v>
      </c>
      <c r="V26" s="496">
        <f t="shared" ref="V26:V28" si="8">L14</f>
        <v>492.85101014629925</v>
      </c>
      <c r="W26" s="496">
        <f t="shared" ref="W26:W28" si="9">D14</f>
        <v>478.33443848605827</v>
      </c>
      <c r="X26" s="275"/>
      <c r="Y26" s="275"/>
      <c r="Z26" s="275"/>
      <c r="AA26" s="343"/>
      <c r="AB26" s="343"/>
      <c r="AM26" s="339"/>
      <c r="AN26" s="339"/>
      <c r="AO26" s="531"/>
      <c r="AP26" s="531"/>
      <c r="AQ26" s="531"/>
      <c r="AR26" s="531"/>
    </row>
    <row r="27" spans="1:44" ht="15.05" customHeight="1">
      <c r="T27" s="347">
        <v>44774</v>
      </c>
      <c r="U27" s="496">
        <f t="shared" si="7"/>
        <v>509.76466956582243</v>
      </c>
      <c r="V27" s="496">
        <f t="shared" si="8"/>
        <v>470.01336496502705</v>
      </c>
      <c r="W27" s="496">
        <f t="shared" si="9"/>
        <v>452.4490248681422</v>
      </c>
      <c r="X27" s="275"/>
      <c r="Y27" s="275"/>
      <c r="Z27" s="275"/>
      <c r="AA27" s="343"/>
      <c r="AB27" s="343"/>
    </row>
    <row r="28" spans="1:44" ht="17.2" customHeight="1">
      <c r="T28" s="347">
        <v>44805</v>
      </c>
      <c r="U28" s="496">
        <f>H16</f>
        <v>514.83178169304335</v>
      </c>
      <c r="V28" s="496">
        <f t="shared" si="8"/>
        <v>497.88473608792003</v>
      </c>
      <c r="W28" s="496">
        <f t="shared" si="9"/>
        <v>467.19882378305124</v>
      </c>
    </row>
    <row r="29" spans="1:44" ht="18" customHeight="1">
      <c r="A29" s="29"/>
      <c r="B29" s="29"/>
      <c r="C29" s="29"/>
      <c r="D29" s="29"/>
      <c r="E29" s="29"/>
      <c r="F29" s="29"/>
      <c r="G29" s="29"/>
      <c r="H29" s="29"/>
      <c r="I29" s="29"/>
      <c r="J29" s="29"/>
      <c r="K29" s="29"/>
      <c r="L29" s="29"/>
      <c r="M29" s="29"/>
      <c r="N29" s="29"/>
      <c r="O29" s="29"/>
      <c r="P29" s="29"/>
      <c r="Q29" s="29"/>
      <c r="R29" s="29"/>
      <c r="S29" s="29"/>
      <c r="T29" s="347">
        <v>44835</v>
      </c>
      <c r="U29" s="496">
        <f>H17</f>
        <v>496.90008536260228</v>
      </c>
      <c r="V29" s="496">
        <f t="shared" ref="V29" si="10">L17</f>
        <v>496.90008536260228</v>
      </c>
      <c r="W29" s="496">
        <f>D17</f>
        <v>410.00199101717311</v>
      </c>
    </row>
    <row r="30" spans="1:44" ht="15.05" customHeight="1">
      <c r="T30" s="347">
        <v>44866</v>
      </c>
      <c r="U30" s="496">
        <f>H18</f>
        <v>396.71049736427381</v>
      </c>
      <c r="V30" s="496">
        <f>L18</f>
        <v>398.89874211896216</v>
      </c>
      <c r="W30" s="496">
        <f>D18</f>
        <v>386.43928832892283</v>
      </c>
      <c r="AM30" s="658"/>
    </row>
    <row r="31" spans="1:44" ht="15.05" customHeight="1">
      <c r="O31" s="13"/>
      <c r="P31" s="13"/>
      <c r="Q31" s="13"/>
      <c r="R31" s="13"/>
      <c r="T31" s="347">
        <v>44896</v>
      </c>
      <c r="U31" s="496">
        <f>H19</f>
        <v>389.95840335703673</v>
      </c>
      <c r="V31" s="496">
        <f>L19</f>
        <v>387.80459059031227</v>
      </c>
      <c r="W31" s="496">
        <f>D19</f>
        <v>308.3459822919865</v>
      </c>
      <c r="AM31" s="658"/>
    </row>
    <row r="32" spans="1:44" ht="15.05" customHeight="1">
      <c r="T32" s="347">
        <v>44927</v>
      </c>
      <c r="U32" s="496">
        <f t="shared" ref="U32:U37" si="11">I8</f>
        <v>360.2162358728981</v>
      </c>
      <c r="V32" s="496">
        <f t="shared" ref="V32:V37" si="12">M8</f>
        <v>359.12481606483522</v>
      </c>
      <c r="W32" s="496">
        <f t="shared" ref="W32:W37" si="13">E8</f>
        <v>306.65763765337766</v>
      </c>
      <c r="AM32" s="658"/>
    </row>
    <row r="33" spans="2:44" ht="15.05" customHeight="1">
      <c r="T33" s="347">
        <v>44958</v>
      </c>
      <c r="U33" s="496">
        <f t="shared" si="11"/>
        <v>344.6808349942998</v>
      </c>
      <c r="V33" s="496">
        <f t="shared" si="12"/>
        <v>347.3678893483297</v>
      </c>
      <c r="W33" s="496">
        <f t="shared" si="13"/>
        <v>343.85586884912351</v>
      </c>
      <c r="AM33" s="658"/>
    </row>
    <row r="34" spans="2:44" ht="57.8" customHeight="1">
      <c r="B34" s="880" t="s">
        <v>246</v>
      </c>
      <c r="C34" s="880"/>
      <c r="D34" s="880"/>
      <c r="E34" s="880"/>
      <c r="F34" s="880"/>
      <c r="G34" s="880"/>
      <c r="H34" s="880"/>
      <c r="I34" s="880"/>
      <c r="J34" s="880"/>
      <c r="K34" s="880"/>
      <c r="L34" s="880"/>
      <c r="M34" s="880"/>
      <c r="N34" s="880"/>
      <c r="O34" s="880"/>
      <c r="P34" s="880"/>
      <c r="Q34" s="880"/>
      <c r="R34" s="880"/>
      <c r="S34" s="880"/>
      <c r="T34" s="347">
        <v>44986</v>
      </c>
      <c r="U34" s="496">
        <f t="shared" si="11"/>
        <v>347.55026126434643</v>
      </c>
      <c r="V34" s="496">
        <f t="shared" si="12"/>
        <v>342.31326281601133</v>
      </c>
      <c r="W34" s="496">
        <f t="shared" si="13"/>
        <v>305.16560469823025</v>
      </c>
      <c r="AM34" s="658"/>
      <c r="AN34" s="658"/>
      <c r="AO34" s="536"/>
      <c r="AP34" s="536"/>
      <c r="AQ34" s="536"/>
      <c r="AR34" s="536"/>
    </row>
    <row r="35" spans="2:44" ht="15.05" customHeight="1">
      <c r="T35" s="347">
        <v>45017</v>
      </c>
      <c r="U35" s="496">
        <f t="shared" si="11"/>
        <v>332.38217737004913</v>
      </c>
      <c r="V35" s="496">
        <f t="shared" si="12"/>
        <v>329.14365214846009</v>
      </c>
      <c r="W35" s="496">
        <f t="shared" si="13"/>
        <v>295.83677462236597</v>
      </c>
      <c r="AM35" s="658"/>
      <c r="AN35" s="658"/>
      <c r="AO35" s="536"/>
      <c r="AP35" s="536"/>
      <c r="AQ35" s="536"/>
      <c r="AR35" s="536"/>
    </row>
    <row r="36" spans="2:44" ht="15.05" customHeight="1">
      <c r="T36" s="347">
        <v>45047</v>
      </c>
      <c r="U36" s="496">
        <f t="shared" si="11"/>
        <v>318.988802797267</v>
      </c>
      <c r="V36" s="496">
        <f t="shared" si="12"/>
        <v>314.1780727104782</v>
      </c>
      <c r="W36" s="496">
        <f t="shared" si="13"/>
        <v>303.18345326983513</v>
      </c>
      <c r="AM36" s="658"/>
      <c r="AN36" s="658"/>
      <c r="AO36" s="536"/>
      <c r="AP36" s="536"/>
      <c r="AQ36" s="536"/>
      <c r="AR36" s="536"/>
    </row>
    <row r="37" spans="2:44" ht="15.05" customHeight="1">
      <c r="T37" s="347">
        <v>45078</v>
      </c>
      <c r="U37" s="496">
        <f t="shared" si="11"/>
        <v>296.29013206855296</v>
      </c>
      <c r="V37" s="496">
        <f t="shared" si="12"/>
        <v>300.19464978742968</v>
      </c>
      <c r="W37" s="496">
        <f t="shared" si="13"/>
        <v>291.004170782676</v>
      </c>
      <c r="AM37" s="658"/>
      <c r="AN37" s="658"/>
      <c r="AO37" s="536"/>
      <c r="AP37" s="536"/>
      <c r="AQ37" s="536"/>
      <c r="AR37" s="536"/>
    </row>
    <row r="38" spans="2:44" ht="15.05" customHeight="1">
      <c r="T38" s="347">
        <v>45108</v>
      </c>
      <c r="U38" s="496">
        <f t="shared" ref="U38" si="14">I14</f>
        <v>291.6779226907305</v>
      </c>
      <c r="V38" s="496">
        <f t="shared" ref="V38" si="15">M14</f>
        <v>291.6779226907305</v>
      </c>
      <c r="W38" s="496">
        <f>E14</f>
        <v>304.47742072268699</v>
      </c>
      <c r="AM38" s="658"/>
      <c r="AN38" s="658"/>
      <c r="AO38" s="536"/>
      <c r="AP38" s="536"/>
      <c r="AQ38" s="536"/>
      <c r="AR38" s="536"/>
    </row>
    <row r="39" spans="2:44" ht="15.05" customHeight="1">
      <c r="T39" s="347">
        <v>45139</v>
      </c>
      <c r="U39" s="496">
        <f t="shared" ref="U39:U42" si="16">I15</f>
        <v>305.86555205119595</v>
      </c>
      <c r="V39" s="496">
        <f t="shared" ref="V39:V42" si="17">M15</f>
        <v>306.24723725209492</v>
      </c>
      <c r="W39" s="496"/>
      <c r="AM39" s="658"/>
      <c r="AN39" s="658"/>
      <c r="AO39" s="536"/>
      <c r="AP39" s="536"/>
      <c r="AQ39" s="536"/>
      <c r="AR39" s="536"/>
    </row>
    <row r="40" spans="2:44" ht="15.05" customHeight="1">
      <c r="T40" s="347">
        <v>45170</v>
      </c>
      <c r="U40" s="496">
        <f t="shared" si="16"/>
        <v>282.8232551661705</v>
      </c>
      <c r="V40" s="496">
        <f t="shared" si="17"/>
        <v>311.39242146292196</v>
      </c>
      <c r="W40" s="496"/>
      <c r="AM40" s="658"/>
      <c r="AN40" s="658"/>
      <c r="AO40" s="536"/>
      <c r="AP40" s="536"/>
      <c r="AQ40" s="536"/>
      <c r="AR40" s="536"/>
    </row>
    <row r="41" spans="2:44" ht="15.05" customHeight="1">
      <c r="T41" s="347">
        <v>45200</v>
      </c>
      <c r="U41" s="496">
        <f t="shared" si="16"/>
        <v>318.84289007071789</v>
      </c>
      <c r="V41" s="496">
        <f t="shared" si="17"/>
        <v>319.41938306190679</v>
      </c>
      <c r="W41" s="496"/>
      <c r="AM41" s="658"/>
      <c r="AN41" s="658"/>
      <c r="AO41" s="536"/>
      <c r="AP41" s="536"/>
      <c r="AQ41" s="536"/>
      <c r="AR41" s="536"/>
    </row>
    <row r="42" spans="2:44" ht="15.05" customHeight="1">
      <c r="T42" s="347">
        <v>45231</v>
      </c>
      <c r="U42" s="496">
        <f t="shared" si="16"/>
        <v>306.27310427693703</v>
      </c>
      <c r="V42" s="496">
        <f t="shared" si="17"/>
        <v>311.87766284634108</v>
      </c>
      <c r="W42" s="496">
        <f>E18</f>
        <v>292.51182373572721</v>
      </c>
      <c r="AM42" s="658"/>
      <c r="AN42" s="658"/>
      <c r="AO42" s="536"/>
      <c r="AP42" s="536"/>
      <c r="AQ42" s="536"/>
      <c r="AR42" s="536"/>
    </row>
    <row r="43" spans="2:44" ht="15.05" customHeight="1">
      <c r="T43" s="347">
        <v>45261</v>
      </c>
      <c r="U43" s="496">
        <f>I19</f>
        <v>306.19489500944064</v>
      </c>
      <c r="V43" s="496">
        <f t="shared" ref="V43" si="18">M19</f>
        <v>306.24910927380921</v>
      </c>
      <c r="W43" s="496"/>
      <c r="AM43" s="658"/>
      <c r="AN43" s="658"/>
      <c r="AO43" s="536"/>
      <c r="AP43" s="536"/>
      <c r="AQ43" s="536"/>
      <c r="AR43" s="536"/>
    </row>
    <row r="44" spans="2:44" ht="15.05" customHeight="1">
      <c r="T44" s="347">
        <v>45292</v>
      </c>
      <c r="U44" s="496">
        <f>J8</f>
        <v>307.07892389822888</v>
      </c>
      <c r="V44" s="496">
        <f>N8</f>
        <v>307.07892389822888</v>
      </c>
      <c r="W44" s="496">
        <f>F8</f>
        <v>277.22571833484852</v>
      </c>
      <c r="AM44" s="658"/>
      <c r="AN44" s="658"/>
      <c r="AO44" s="536"/>
      <c r="AP44" s="536"/>
      <c r="AQ44" s="536"/>
      <c r="AR44" s="536"/>
    </row>
    <row r="45" spans="2:44" ht="15.05" customHeight="1">
      <c r="T45" s="347">
        <v>45323</v>
      </c>
      <c r="U45" s="496">
        <f>J9</f>
        <v>322.53435530016077</v>
      </c>
      <c r="V45" s="496">
        <f>N9</f>
        <v>331.91760968122014</v>
      </c>
      <c r="W45" s="496">
        <f>F9</f>
        <v>291.77167307187551</v>
      </c>
      <c r="AM45" s="658"/>
      <c r="AN45" s="658"/>
      <c r="AO45" s="536"/>
      <c r="AP45" s="536"/>
      <c r="AQ45" s="536"/>
      <c r="AR45" s="536"/>
    </row>
    <row r="46" spans="2:44" ht="15.05" customHeight="1">
      <c r="T46" s="347">
        <v>45352</v>
      </c>
      <c r="U46" s="496">
        <f>J10</f>
        <v>321.74351697872896</v>
      </c>
      <c r="V46" s="496">
        <f>N10</f>
        <v>309.08470959175116</v>
      </c>
      <c r="W46" s="496">
        <f>F10</f>
        <v>294.52251426870703</v>
      </c>
      <c r="AM46" s="658"/>
    </row>
    <row r="47" spans="2:44" ht="15.05" customHeight="1">
      <c r="T47" s="347">
        <v>45383</v>
      </c>
      <c r="U47" s="496">
        <f>J11</f>
        <v>321.18277671133347</v>
      </c>
      <c r="V47" s="496">
        <f>N11</f>
        <v>315.25738713134439</v>
      </c>
      <c r="W47" s="496">
        <f>F11</f>
        <v>267.27266562950297</v>
      </c>
    </row>
    <row r="48" spans="2:44" ht="15.05" customHeight="1">
      <c r="T48" s="347">
        <v>45413</v>
      </c>
      <c r="U48" s="496">
        <f t="shared" ref="U48:U49" si="19">J12</f>
        <v>297.67302664396317</v>
      </c>
      <c r="V48" s="496">
        <f t="shared" ref="V48" si="20">N12</f>
        <v>288.15947397824829</v>
      </c>
      <c r="W48" s="496"/>
    </row>
    <row r="49" spans="20:23" ht="15.05" customHeight="1">
      <c r="T49" s="347">
        <v>45444</v>
      </c>
      <c r="U49" s="496">
        <f t="shared" si="19"/>
        <v>303.97703952563484</v>
      </c>
      <c r="V49" s="496">
        <f>N13</f>
        <v>303.19408411264385</v>
      </c>
      <c r="W49" s="496"/>
    </row>
    <row r="50" spans="20:23" ht="15.05" customHeight="1">
      <c r="T50" s="347">
        <v>45474</v>
      </c>
      <c r="U50" s="496">
        <f t="shared" ref="U50" si="21">J14</f>
        <v>313.57168130186426</v>
      </c>
      <c r="V50" s="496">
        <f>N14</f>
        <v>300.08020795514011</v>
      </c>
      <c r="W50" s="496">
        <f t="shared" ref="W48:W50" si="22">F14</f>
        <v>241.83459870627155</v>
      </c>
    </row>
    <row r="51" spans="20:23" ht="15.05" customHeight="1"/>
    <row r="52" spans="20:23" ht="15.05" customHeight="1"/>
  </sheetData>
  <customSheetViews>
    <customSheetView guid="{5CDC6F58-B038-4A0E-A13D-C643B013E119}" topLeftCell="A16">
      <selection activeCell="E34" sqref="E34"/>
      <pageMargins left="0" right="0" top="0" bottom="0" header="0" footer="0"/>
      <printOptions horizontalCentered="1"/>
      <pageSetup scale="90" firstPageNumber="0" orientation="portrait" r:id="rId1"/>
      <headerFooter alignWithMargins="0">
        <oddFooter>&amp;C&amp;10&amp;A</oddFooter>
      </headerFooter>
    </customSheetView>
  </customSheetViews>
  <mergeCells count="10">
    <mergeCell ref="B34:S34"/>
    <mergeCell ref="B20:S20"/>
    <mergeCell ref="B1:S1"/>
    <mergeCell ref="O6:S6"/>
    <mergeCell ref="B3:S3"/>
    <mergeCell ref="B4:S4"/>
    <mergeCell ref="B5:S5"/>
    <mergeCell ref="C6:F6"/>
    <mergeCell ref="G6:J6"/>
    <mergeCell ref="K6:N6"/>
  </mergeCells>
  <printOptions horizontalCentered="1"/>
  <pageMargins left="0.19685039370078741" right="0.27559055118110237" top="1.2204724409448819" bottom="0.78740157480314965" header="0.51181102362204722" footer="0.59055118110236227"/>
  <pageSetup paperSize="126" scale="64"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21"/>
  <sheetViews>
    <sheetView zoomScale="80" zoomScaleNormal="80" zoomScalePageLayoutView="90" workbookViewId="0">
      <selection activeCell="R15" sqref="R15"/>
    </sheetView>
  </sheetViews>
  <sheetFormatPr baseColWidth="10" defaultColWidth="10.9140625" defaultRowHeight="12.45"/>
  <cols>
    <col min="1" max="1" width="2.4140625" style="228" customWidth="1"/>
    <col min="2" max="2" width="8.9140625" style="228" bestFit="1" customWidth="1"/>
    <col min="3" max="17" width="6.33203125" style="228" customWidth="1"/>
    <col min="18" max="18" width="6.25" style="228" customWidth="1"/>
    <col min="19" max="16384" width="10.9140625" style="228"/>
  </cols>
  <sheetData>
    <row r="1" spans="2:19" ht="13.1">
      <c r="B1" s="902" t="s">
        <v>247</v>
      </c>
      <c r="C1" s="902"/>
      <c r="D1" s="902"/>
      <c r="E1" s="902"/>
      <c r="F1" s="902"/>
      <c r="G1" s="902"/>
      <c r="H1" s="902"/>
      <c r="I1" s="902"/>
      <c r="J1" s="902"/>
      <c r="K1" s="902"/>
      <c r="L1" s="902"/>
      <c r="M1" s="902"/>
      <c r="N1" s="902"/>
      <c r="O1" s="902"/>
      <c r="P1" s="902"/>
      <c r="Q1" s="902"/>
      <c r="R1" s="902"/>
      <c r="S1" s="22"/>
    </row>
    <row r="2" spans="2:19" ht="13.1">
      <c r="B2" s="459"/>
      <c r="C2" s="459"/>
      <c r="D2" s="459"/>
      <c r="E2" s="459"/>
      <c r="F2" s="459"/>
      <c r="G2" s="459"/>
      <c r="H2" s="459"/>
      <c r="I2" s="459"/>
      <c r="J2" s="459"/>
      <c r="K2" s="459"/>
      <c r="L2" s="459"/>
      <c r="M2" s="459"/>
      <c r="N2" s="459"/>
      <c r="O2" s="459"/>
      <c r="P2" s="22"/>
      <c r="Q2" s="22"/>
      <c r="R2" s="22"/>
      <c r="S2" s="22"/>
    </row>
    <row r="3" spans="2:19" ht="32.9" customHeight="1">
      <c r="B3" s="903" t="s">
        <v>49</v>
      </c>
      <c r="C3" s="903"/>
      <c r="D3" s="903"/>
      <c r="E3" s="903"/>
      <c r="F3" s="903"/>
      <c r="G3" s="903"/>
      <c r="H3" s="903"/>
      <c r="I3" s="903"/>
      <c r="J3" s="903"/>
      <c r="K3" s="903"/>
      <c r="L3" s="903"/>
      <c r="M3" s="903"/>
      <c r="N3" s="903"/>
      <c r="O3" s="903"/>
      <c r="P3" s="903"/>
      <c r="Q3" s="903"/>
      <c r="R3" s="903"/>
      <c r="S3" s="22"/>
    </row>
    <row r="4" spans="2:19" ht="15.75" customHeight="1">
      <c r="B4" s="867" t="s">
        <v>717</v>
      </c>
      <c r="C4" s="867"/>
      <c r="D4" s="867"/>
      <c r="E4" s="867"/>
      <c r="F4" s="867"/>
      <c r="G4" s="867"/>
      <c r="H4" s="867"/>
      <c r="I4" s="867"/>
      <c r="J4" s="867"/>
      <c r="K4" s="867"/>
      <c r="L4" s="867"/>
      <c r="M4" s="867"/>
      <c r="N4" s="867"/>
      <c r="O4" s="867"/>
      <c r="P4" s="867"/>
      <c r="Q4" s="867"/>
      <c r="R4" s="867"/>
      <c r="S4" s="22"/>
    </row>
    <row r="5" spans="2:19" ht="15.75" customHeight="1">
      <c r="B5" s="868" t="s">
        <v>248</v>
      </c>
      <c r="C5" s="868"/>
      <c r="D5" s="868"/>
      <c r="E5" s="868"/>
      <c r="F5" s="868"/>
      <c r="G5" s="868"/>
      <c r="H5" s="868"/>
      <c r="I5" s="868"/>
      <c r="J5" s="868"/>
      <c r="K5" s="868"/>
      <c r="L5" s="868"/>
      <c r="M5" s="868"/>
      <c r="N5" s="868"/>
      <c r="O5" s="868"/>
      <c r="P5" s="868"/>
      <c r="Q5" s="868"/>
      <c r="R5" s="868"/>
      <c r="S5" s="22"/>
    </row>
    <row r="6" spans="2:19" ht="103.75" customHeight="1">
      <c r="B6" s="460" t="s">
        <v>231</v>
      </c>
      <c r="C6" s="904" t="s">
        <v>232</v>
      </c>
      <c r="D6" s="905"/>
      <c r="E6" s="905"/>
      <c r="F6" s="906"/>
      <c r="G6" s="904" t="s">
        <v>249</v>
      </c>
      <c r="H6" s="905"/>
      <c r="I6" s="905"/>
      <c r="J6" s="906"/>
      <c r="K6" s="904" t="s">
        <v>234</v>
      </c>
      <c r="L6" s="905"/>
      <c r="M6" s="905"/>
      <c r="N6" s="906"/>
      <c r="O6" s="904" t="s">
        <v>235</v>
      </c>
      <c r="P6" s="905"/>
      <c r="Q6" s="905"/>
      <c r="R6" s="906"/>
      <c r="S6" s="22"/>
    </row>
    <row r="7" spans="2:19" ht="15.75" customHeight="1">
      <c r="B7" s="461" t="s">
        <v>236</v>
      </c>
      <c r="C7" s="899" t="s">
        <v>227</v>
      </c>
      <c r="D7" s="900"/>
      <c r="E7" s="900"/>
      <c r="F7" s="901"/>
      <c r="G7" s="899" t="s">
        <v>185</v>
      </c>
      <c r="H7" s="900"/>
      <c r="I7" s="900"/>
      <c r="J7" s="901"/>
      <c r="K7" s="899" t="s">
        <v>226</v>
      </c>
      <c r="L7" s="900"/>
      <c r="M7" s="900"/>
      <c r="N7" s="901"/>
      <c r="O7" s="899" t="s">
        <v>210</v>
      </c>
      <c r="P7" s="900"/>
      <c r="Q7" s="900"/>
      <c r="R7" s="901"/>
      <c r="S7" s="22"/>
    </row>
    <row r="8" spans="2:19" ht="15.75" customHeight="1">
      <c r="B8" s="462" t="s">
        <v>211</v>
      </c>
      <c r="C8" s="283">
        <v>2021</v>
      </c>
      <c r="D8" s="283">
        <v>2022</v>
      </c>
      <c r="E8" s="283">
        <v>2023</v>
      </c>
      <c r="F8" s="283">
        <v>2024</v>
      </c>
      <c r="G8" s="283">
        <v>2021</v>
      </c>
      <c r="H8" s="283">
        <v>2022</v>
      </c>
      <c r="I8" s="283">
        <v>2023</v>
      </c>
      <c r="J8" s="283">
        <v>2024</v>
      </c>
      <c r="K8" s="283">
        <v>2021</v>
      </c>
      <c r="L8" s="283">
        <v>2022</v>
      </c>
      <c r="M8" s="283">
        <v>2023</v>
      </c>
      <c r="N8" s="283">
        <v>2024</v>
      </c>
      <c r="O8" s="283">
        <v>2021</v>
      </c>
      <c r="P8" s="283">
        <v>2022</v>
      </c>
      <c r="Q8" s="283">
        <v>2023</v>
      </c>
      <c r="R8" s="283">
        <v>2024</v>
      </c>
      <c r="S8" s="22"/>
    </row>
    <row r="9" spans="2:19" ht="15.75" customHeight="1">
      <c r="B9" s="462" t="s">
        <v>212</v>
      </c>
      <c r="C9" s="285">
        <v>245.2445278345246</v>
      </c>
      <c r="D9" s="285"/>
      <c r="E9" s="285"/>
      <c r="F9" s="285"/>
      <c r="G9" s="285">
        <v>248.01186543838159</v>
      </c>
      <c r="H9" s="344">
        <v>324.00897825963852</v>
      </c>
      <c r="I9" s="344">
        <v>377.73143747827203</v>
      </c>
      <c r="J9" s="344">
        <v>308.34562655601655</v>
      </c>
      <c r="K9" s="285"/>
      <c r="L9" s="344"/>
      <c r="M9" s="344">
        <v>361.93470850848274</v>
      </c>
      <c r="N9" s="344">
        <v>295.2538827586207</v>
      </c>
      <c r="O9" s="285">
        <v>255.63636363636363</v>
      </c>
      <c r="P9" s="285">
        <v>321.19997128911859</v>
      </c>
      <c r="Q9" s="285"/>
      <c r="R9" s="285"/>
      <c r="S9" s="22"/>
    </row>
    <row r="10" spans="2:19" ht="15.75" customHeight="1">
      <c r="B10" s="462" t="s">
        <v>213</v>
      </c>
      <c r="C10" s="285">
        <v>252.68105533894033</v>
      </c>
      <c r="D10" s="285">
        <v>296.1357536544453</v>
      </c>
      <c r="E10" s="285"/>
      <c r="F10" s="285"/>
      <c r="G10" s="285">
        <v>265.94090111958866</v>
      </c>
      <c r="H10" s="344">
        <v>344.00532192310885</v>
      </c>
      <c r="I10" s="344">
        <v>431.20072008895511</v>
      </c>
      <c r="J10" s="344">
        <v>304.55405952308291</v>
      </c>
      <c r="K10" s="285">
        <v>264.48345397977863</v>
      </c>
      <c r="L10" s="344">
        <v>359.29841772049997</v>
      </c>
      <c r="M10" s="344">
        <v>415.83000564594778</v>
      </c>
      <c r="N10" s="344">
        <v>295.25388333333331</v>
      </c>
      <c r="O10" s="285">
        <v>264.16000000000003</v>
      </c>
      <c r="P10" s="285">
        <v>280.22000000000003</v>
      </c>
      <c r="Q10" s="285"/>
      <c r="R10" s="285"/>
      <c r="S10" s="22"/>
    </row>
    <row r="11" spans="2:19" ht="15.75" customHeight="1">
      <c r="B11" s="462" t="s">
        <v>214</v>
      </c>
      <c r="C11" s="285">
        <v>253.02971221428484</v>
      </c>
      <c r="D11" s="285"/>
      <c r="E11" s="285"/>
      <c r="F11" s="285"/>
      <c r="G11" s="285">
        <v>245.65849265563682</v>
      </c>
      <c r="H11" s="344">
        <v>335.76538581121855</v>
      </c>
      <c r="I11" s="344">
        <v>380.30961457159538</v>
      </c>
      <c r="J11" s="344">
        <v>308.34413092425609</v>
      </c>
      <c r="K11" s="285">
        <v>264.48205999999999</v>
      </c>
      <c r="L11" s="344">
        <v>351.53667691885516</v>
      </c>
      <c r="M11" s="344">
        <v>349.26491764071739</v>
      </c>
      <c r="N11" s="344">
        <v>295.25388856377242</v>
      </c>
      <c r="O11" s="285">
        <v>296.8</v>
      </c>
      <c r="P11" s="285">
        <v>287.62251299826693</v>
      </c>
      <c r="Q11" s="285"/>
      <c r="R11" s="285"/>
      <c r="S11" s="22"/>
    </row>
    <row r="12" spans="2:19" ht="15.75" customHeight="1">
      <c r="B12" s="462" t="s">
        <v>215</v>
      </c>
      <c r="C12" s="299">
        <v>252.73505677019799</v>
      </c>
      <c r="D12" s="285"/>
      <c r="E12" s="285"/>
      <c r="F12" s="285"/>
      <c r="G12" s="285">
        <v>286.84215991973826</v>
      </c>
      <c r="H12" s="285">
        <v>360.2739108424625</v>
      </c>
      <c r="I12" s="285">
        <v>368.02942702822196</v>
      </c>
      <c r="J12" s="285">
        <v>278.3684313011675</v>
      </c>
      <c r="K12" s="285">
        <v>291.41221234543264</v>
      </c>
      <c r="L12" s="285">
        <v>342.70712123206528</v>
      </c>
      <c r="M12" s="285"/>
      <c r="N12" s="285"/>
      <c r="O12" s="285">
        <v>298.74</v>
      </c>
      <c r="P12" s="285">
        <v>313.37192857142855</v>
      </c>
      <c r="Q12" s="285"/>
      <c r="R12" s="285"/>
      <c r="S12" s="22"/>
    </row>
    <row r="13" spans="2:19" ht="15.75" customHeight="1">
      <c r="B13" s="462" t="s">
        <v>216</v>
      </c>
      <c r="C13" s="285"/>
      <c r="D13" s="285"/>
      <c r="E13" s="285"/>
      <c r="F13" s="285"/>
      <c r="G13" s="285">
        <v>296.73973407069832</v>
      </c>
      <c r="H13" s="285">
        <v>348.65271282650826</v>
      </c>
      <c r="I13" s="285">
        <v>379.62467854081331</v>
      </c>
      <c r="J13" s="285"/>
      <c r="K13" s="285">
        <v>293.55708723437266</v>
      </c>
      <c r="L13" s="285">
        <v>424.54593339143747</v>
      </c>
      <c r="M13" s="285"/>
      <c r="N13" s="285"/>
      <c r="O13" s="285">
        <v>298.74</v>
      </c>
      <c r="P13" s="285">
        <v>309.97490147783253</v>
      </c>
      <c r="Q13" s="285"/>
      <c r="R13" s="285"/>
      <c r="S13" s="22" t="s">
        <v>97</v>
      </c>
    </row>
    <row r="14" spans="2:19" ht="15.75" customHeight="1">
      <c r="B14" s="462" t="s">
        <v>217</v>
      </c>
      <c r="C14" s="285"/>
      <c r="D14" s="285"/>
      <c r="E14" s="285">
        <v>352.75388301900847</v>
      </c>
      <c r="F14" s="285"/>
      <c r="G14" s="285">
        <v>292.59709655156826</v>
      </c>
      <c r="H14" s="285">
        <v>431.79332035633144</v>
      </c>
      <c r="I14" s="285">
        <v>383.9578847400395</v>
      </c>
      <c r="J14" s="285"/>
      <c r="K14" s="285">
        <v>287.77029222468747</v>
      </c>
      <c r="L14" s="285">
        <v>391.92641924711592</v>
      </c>
      <c r="M14" s="285"/>
      <c r="N14" s="285"/>
      <c r="O14" s="285"/>
      <c r="P14" s="285">
        <v>305.31321428571425</v>
      </c>
      <c r="Q14" s="285"/>
      <c r="R14" s="285"/>
      <c r="S14" s="22"/>
    </row>
    <row r="15" spans="2:19" ht="15.75" customHeight="1">
      <c r="B15" s="462" t="s">
        <v>218</v>
      </c>
      <c r="C15" s="285"/>
      <c r="D15" s="285"/>
      <c r="E15" s="285"/>
      <c r="F15" s="285"/>
      <c r="G15" s="285">
        <v>286.655369874163</v>
      </c>
      <c r="H15" s="285">
        <v>503.54362982265161</v>
      </c>
      <c r="I15" s="285">
        <v>374.32680197035529</v>
      </c>
      <c r="J15" s="285"/>
      <c r="K15" s="285">
        <v>299.99107440423677</v>
      </c>
      <c r="L15" s="285">
        <v>500.37335057085653</v>
      </c>
      <c r="M15" s="285"/>
      <c r="N15" s="285">
        <v>257.94039710127515</v>
      </c>
      <c r="O15" s="285">
        <v>287.45999999999998</v>
      </c>
      <c r="P15" s="285">
        <v>374.88505494505495</v>
      </c>
      <c r="Q15" s="285"/>
      <c r="R15" s="285"/>
      <c r="S15" s="22"/>
    </row>
    <row r="16" spans="2:19" ht="15.75" customHeight="1">
      <c r="B16" s="462" t="s">
        <v>219</v>
      </c>
      <c r="C16" s="285"/>
      <c r="D16" s="285"/>
      <c r="E16" s="285"/>
      <c r="F16" s="285"/>
      <c r="G16" s="285">
        <v>316.09199537806018</v>
      </c>
      <c r="H16" s="344">
        <v>497.41324706421534</v>
      </c>
      <c r="I16" s="344"/>
      <c r="J16" s="344"/>
      <c r="K16" s="285">
        <v>303.16879538667814</v>
      </c>
      <c r="L16" s="344">
        <v>502.7361409279722</v>
      </c>
      <c r="M16" s="344"/>
      <c r="N16" s="344"/>
      <c r="O16" s="285">
        <v>287.45999999999998</v>
      </c>
      <c r="P16" s="285">
        <v>475.55652173913046</v>
      </c>
      <c r="Q16" s="285"/>
      <c r="R16" s="285"/>
      <c r="S16" s="22"/>
    </row>
    <row r="17" spans="2:18" ht="15.75" customHeight="1">
      <c r="B17" s="462" t="s">
        <v>220</v>
      </c>
      <c r="C17" s="285"/>
      <c r="D17" s="285"/>
      <c r="E17" s="285"/>
      <c r="F17" s="285"/>
      <c r="G17" s="285">
        <v>325.43502984297066</v>
      </c>
      <c r="H17" s="344">
        <v>503.87237713648608</v>
      </c>
      <c r="I17" s="344"/>
      <c r="J17" s="344"/>
      <c r="K17" s="285"/>
      <c r="L17" s="344">
        <v>508.33377410805838</v>
      </c>
      <c r="M17" s="344"/>
      <c r="N17" s="344"/>
      <c r="O17" s="285">
        <v>303.95377932515538</v>
      </c>
      <c r="P17" s="285">
        <v>455.59999999999997</v>
      </c>
      <c r="Q17" s="285"/>
      <c r="R17" s="285"/>
    </row>
    <row r="18" spans="2:18" ht="15.75" customHeight="1">
      <c r="B18" s="462" t="s">
        <v>221</v>
      </c>
      <c r="C18" s="285"/>
      <c r="D18" s="285"/>
      <c r="E18" s="285"/>
      <c r="F18" s="285"/>
      <c r="G18" s="285">
        <v>321.69534860559958</v>
      </c>
      <c r="H18" s="344"/>
      <c r="I18" s="344"/>
      <c r="J18" s="344"/>
      <c r="K18" s="285">
        <v>314.03975673801369</v>
      </c>
      <c r="L18" s="344">
        <v>428.92172845952263</v>
      </c>
      <c r="M18" s="344"/>
      <c r="N18" s="344"/>
      <c r="O18" s="285">
        <v>344.17999036313466</v>
      </c>
      <c r="P18" s="285"/>
      <c r="Q18" s="285"/>
      <c r="R18" s="285"/>
    </row>
    <row r="19" spans="2:18" ht="15.75" customHeight="1">
      <c r="B19" s="462" t="s">
        <v>206</v>
      </c>
      <c r="C19" s="285"/>
      <c r="D19" s="285"/>
      <c r="E19" s="285">
        <v>329.92163830289218</v>
      </c>
      <c r="F19" s="285"/>
      <c r="G19" s="285">
        <v>335.78767750184187</v>
      </c>
      <c r="H19" s="344"/>
      <c r="I19" s="344"/>
      <c r="J19" s="344"/>
      <c r="K19" s="285">
        <v>325.17170713746373</v>
      </c>
      <c r="L19" s="344">
        <v>421.39391344956414</v>
      </c>
      <c r="M19" s="344"/>
      <c r="N19" s="344"/>
      <c r="O19" s="285">
        <v>320.5096880984064</v>
      </c>
      <c r="P19" s="285"/>
      <c r="Q19" s="285"/>
      <c r="R19" s="285"/>
    </row>
    <row r="20" spans="2:18" ht="15.75" customHeight="1">
      <c r="B20" s="462" t="s">
        <v>207</v>
      </c>
      <c r="C20" s="285"/>
      <c r="D20" s="285"/>
      <c r="E20" s="285"/>
      <c r="F20" s="285"/>
      <c r="G20" s="285">
        <v>347.48302512812751</v>
      </c>
      <c r="H20" s="344">
        <v>340.582612946354</v>
      </c>
      <c r="I20" s="344"/>
      <c r="J20" s="344"/>
      <c r="K20" s="285">
        <v>346.690000592643</v>
      </c>
      <c r="L20" s="344">
        <v>407.77640268456378</v>
      </c>
      <c r="M20" s="344"/>
      <c r="N20" s="344"/>
      <c r="O20" s="285">
        <v>311.94</v>
      </c>
      <c r="P20" s="285"/>
      <c r="Q20" s="285"/>
      <c r="R20" s="285"/>
    </row>
    <row r="21" spans="2:18" ht="29.15" customHeight="1">
      <c r="B21" s="860" t="s">
        <v>246</v>
      </c>
      <c r="C21" s="861"/>
      <c r="D21" s="861"/>
      <c r="E21" s="861"/>
      <c r="F21" s="861"/>
      <c r="G21" s="861"/>
      <c r="H21" s="861"/>
      <c r="I21" s="861"/>
      <c r="J21" s="861"/>
      <c r="K21" s="861"/>
      <c r="L21" s="861"/>
      <c r="M21" s="861"/>
      <c r="N21" s="861"/>
      <c r="O21" s="861"/>
      <c r="P21" s="861"/>
      <c r="Q21" s="861"/>
      <c r="R21" s="862"/>
    </row>
  </sheetData>
  <mergeCells count="13">
    <mergeCell ref="C7:F7"/>
    <mergeCell ref="G7:J7"/>
    <mergeCell ref="K7:N7"/>
    <mergeCell ref="B21:R21"/>
    <mergeCell ref="B1:R1"/>
    <mergeCell ref="B3:R3"/>
    <mergeCell ref="B4:R4"/>
    <mergeCell ref="B5:R5"/>
    <mergeCell ref="O6:R6"/>
    <mergeCell ref="O7:R7"/>
    <mergeCell ref="C6:F6"/>
    <mergeCell ref="G6:J6"/>
    <mergeCell ref="K6:N6"/>
  </mergeCells>
  <pageMargins left="0.70866141732283472" right="0.70866141732283472" top="0.74803149606299213" bottom="0.74803149606299213" header="0.31496062992125984" footer="0.31496062992125984"/>
  <pageSetup paperSize="126" scale="52" orientation="portrait" r:id="rId1"/>
  <headerFooter>
    <oddFooter>&amp;C&amp;10 17</oddFooter>
  </headerFooter>
  <ignoredErrors>
    <ignoredError sqref="G19 K19:L19 O19 E1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BFCD-45A2-4956-ACE5-24365DEC8E35}">
  <sheetPr>
    <pageSetUpPr fitToPage="1"/>
  </sheetPr>
  <dimension ref="B1:AL93"/>
  <sheetViews>
    <sheetView zoomScale="80" zoomScaleNormal="80" zoomScaleSheetLayoutView="75" zoomScalePageLayoutView="90" workbookViewId="0">
      <selection activeCell="V26" sqref="V26"/>
    </sheetView>
  </sheetViews>
  <sheetFormatPr baseColWidth="10" defaultColWidth="7.25" defaultRowHeight="11.8"/>
  <cols>
    <col min="1" max="1" width="1.25" style="1" customWidth="1"/>
    <col min="2" max="2" width="7.75" style="1" customWidth="1"/>
    <col min="3" max="3" width="5.4140625" style="1" customWidth="1"/>
    <col min="4" max="4" width="6.1640625" style="1" bestFit="1" customWidth="1"/>
    <col min="5" max="6" width="6.1640625" style="1" customWidth="1"/>
    <col min="7" max="7" width="5.4140625" style="1" customWidth="1"/>
    <col min="8" max="8" width="6.1640625" style="1" bestFit="1" customWidth="1"/>
    <col min="9" max="10" width="6.1640625" style="1" customWidth="1"/>
    <col min="11" max="11" width="5.4140625" style="1" customWidth="1"/>
    <col min="12" max="12" width="6.1640625" style="1" bestFit="1" customWidth="1"/>
    <col min="13" max="14" width="6.1640625" style="1" customWidth="1"/>
    <col min="15" max="15" width="5.4140625" style="1" customWidth="1"/>
    <col min="16" max="16" width="6.1640625" style="1" bestFit="1" customWidth="1"/>
    <col min="17" max="18" width="6.1640625" style="1" customWidth="1"/>
    <col min="19" max="19" width="7" style="1" customWidth="1"/>
    <col min="20" max="20" width="13.83203125" style="531" bestFit="1" customWidth="1"/>
    <col min="21" max="21" width="7.25" style="339"/>
    <col min="22" max="23" width="7.25" style="339" customWidth="1"/>
    <col min="24" max="24" width="7.25" style="339"/>
    <col min="25" max="25" width="7.4140625" style="339" bestFit="1" customWidth="1"/>
    <col min="26" max="26" width="7.4140625" style="531" bestFit="1" customWidth="1"/>
    <col min="27" max="28" width="7.25" style="531"/>
    <col min="29" max="30" width="7.25" style="339"/>
    <col min="31" max="38" width="7.25" style="531"/>
    <col min="39" max="16384" width="7.25" style="1"/>
  </cols>
  <sheetData>
    <row r="1" spans="2:38" s="15" customFormat="1" ht="13.1">
      <c r="B1" s="791" t="s">
        <v>250</v>
      </c>
      <c r="C1" s="791"/>
      <c r="D1" s="791"/>
      <c r="E1" s="791"/>
      <c r="F1" s="791"/>
      <c r="G1" s="791"/>
      <c r="H1" s="791"/>
      <c r="I1" s="791"/>
      <c r="J1" s="791"/>
      <c r="K1" s="791"/>
      <c r="L1" s="791"/>
      <c r="M1" s="791"/>
      <c r="N1" s="791"/>
      <c r="O1" s="791"/>
      <c r="P1" s="791"/>
      <c r="Q1" s="791"/>
      <c r="R1" s="791"/>
      <c r="S1" s="791"/>
      <c r="T1" s="537"/>
      <c r="U1" s="282"/>
      <c r="V1" s="282"/>
      <c r="W1" s="282"/>
      <c r="X1" s="282"/>
      <c r="Y1" s="282"/>
      <c r="Z1" s="537"/>
      <c r="AA1" s="537"/>
      <c r="AB1" s="537"/>
      <c r="AC1" s="282"/>
      <c r="AD1" s="282"/>
      <c r="AE1" s="537"/>
      <c r="AF1" s="537"/>
      <c r="AG1" s="537"/>
      <c r="AH1" s="537"/>
      <c r="AI1" s="537"/>
      <c r="AJ1" s="537"/>
      <c r="AK1" s="537"/>
      <c r="AL1" s="537"/>
    </row>
    <row r="2" spans="2:38" s="15" customFormat="1" ht="13.1">
      <c r="T2" s="537"/>
      <c r="U2" s="282"/>
      <c r="V2" s="282"/>
      <c r="W2" s="282"/>
      <c r="X2" s="282"/>
      <c r="Y2" s="282"/>
      <c r="Z2" s="537"/>
      <c r="AA2" s="537"/>
      <c r="AB2" s="537"/>
      <c r="AC2" s="282"/>
      <c r="AD2" s="282"/>
      <c r="AE2" s="537"/>
      <c r="AF2" s="537"/>
      <c r="AG2" s="537"/>
      <c r="AH2" s="537"/>
      <c r="AI2" s="537"/>
      <c r="AJ2" s="537"/>
      <c r="AK2" s="537"/>
      <c r="AL2" s="537"/>
    </row>
    <row r="3" spans="2:38" s="15" customFormat="1" ht="13.1">
      <c r="B3" s="791" t="s">
        <v>251</v>
      </c>
      <c r="C3" s="791"/>
      <c r="D3" s="791"/>
      <c r="E3" s="791"/>
      <c r="F3" s="791"/>
      <c r="G3" s="791"/>
      <c r="H3" s="791"/>
      <c r="I3" s="791"/>
      <c r="J3" s="791"/>
      <c r="K3" s="791"/>
      <c r="L3" s="791"/>
      <c r="M3" s="791"/>
      <c r="N3" s="791"/>
      <c r="O3" s="791"/>
      <c r="P3" s="791"/>
      <c r="Q3" s="791"/>
      <c r="R3" s="791"/>
      <c r="S3" s="791"/>
      <c r="T3" s="537"/>
      <c r="U3" s="282"/>
      <c r="V3" s="282"/>
      <c r="W3" s="282"/>
      <c r="X3" s="282"/>
      <c r="Y3" s="282"/>
      <c r="Z3" s="537"/>
      <c r="AA3" s="537"/>
      <c r="AB3" s="537"/>
      <c r="AC3" s="282"/>
      <c r="AD3" s="282"/>
      <c r="AE3" s="537"/>
      <c r="AF3" s="537"/>
      <c r="AG3" s="537"/>
      <c r="AH3" s="537"/>
      <c r="AI3" s="537"/>
      <c r="AJ3" s="537"/>
      <c r="AK3" s="537"/>
      <c r="AL3" s="537"/>
    </row>
    <row r="4" spans="2:38" s="15" customFormat="1" ht="13.1">
      <c r="B4" s="791" t="s">
        <v>717</v>
      </c>
      <c r="C4" s="791"/>
      <c r="D4" s="791"/>
      <c r="E4" s="791"/>
      <c r="F4" s="791"/>
      <c r="G4" s="791"/>
      <c r="H4" s="791"/>
      <c r="I4" s="791"/>
      <c r="J4" s="791"/>
      <c r="K4" s="791"/>
      <c r="L4" s="791"/>
      <c r="M4" s="791"/>
      <c r="N4" s="791"/>
      <c r="O4" s="791"/>
      <c r="P4" s="791"/>
      <c r="Q4" s="791"/>
      <c r="R4" s="791"/>
      <c r="S4" s="791"/>
      <c r="T4" s="537"/>
      <c r="U4" s="282"/>
      <c r="V4" s="282"/>
      <c r="W4" s="282"/>
      <c r="X4" s="282"/>
      <c r="Y4" s="282"/>
      <c r="Z4" s="537"/>
      <c r="AA4" s="537"/>
      <c r="AB4" s="537"/>
      <c r="AC4" s="282"/>
      <c r="AD4" s="282"/>
      <c r="AE4" s="537"/>
      <c r="AF4" s="537"/>
      <c r="AG4" s="537"/>
      <c r="AH4" s="537"/>
      <c r="AI4" s="537"/>
      <c r="AJ4" s="537"/>
      <c r="AK4" s="537"/>
      <c r="AL4" s="537"/>
    </row>
    <row r="5" spans="2:38" s="15" customFormat="1" ht="18" customHeight="1">
      <c r="B5" s="791" t="s">
        <v>252</v>
      </c>
      <c r="C5" s="791"/>
      <c r="D5" s="791"/>
      <c r="E5" s="791"/>
      <c r="F5" s="791"/>
      <c r="G5" s="791"/>
      <c r="H5" s="791"/>
      <c r="I5" s="791"/>
      <c r="J5" s="791"/>
      <c r="K5" s="791"/>
      <c r="L5" s="791"/>
      <c r="M5" s="791"/>
      <c r="N5" s="791"/>
      <c r="O5" s="791"/>
      <c r="P5" s="791"/>
      <c r="Q5" s="791"/>
      <c r="R5" s="791"/>
      <c r="S5" s="791"/>
      <c r="T5" s="537"/>
      <c r="U5" s="282"/>
      <c r="V5" s="282"/>
      <c r="W5" s="282"/>
      <c r="X5" s="282"/>
      <c r="Y5" s="282"/>
      <c r="Z5" s="537"/>
      <c r="AA5" s="537"/>
      <c r="AB5" s="537"/>
      <c r="AC5" s="282"/>
      <c r="AD5" s="282"/>
      <c r="AE5" s="537"/>
      <c r="AF5" s="537"/>
      <c r="AG5" s="537"/>
      <c r="AH5" s="537"/>
      <c r="AI5" s="537"/>
      <c r="AJ5" s="537"/>
      <c r="AK5" s="537"/>
      <c r="AL5" s="537"/>
    </row>
    <row r="6" spans="2:38" s="22" customFormat="1" ht="24.75" customHeight="1">
      <c r="B6" s="817" t="s">
        <v>211</v>
      </c>
      <c r="C6" s="857" t="s">
        <v>226</v>
      </c>
      <c r="D6" s="878"/>
      <c r="E6" s="855"/>
      <c r="F6" s="700"/>
      <c r="G6" s="857" t="s">
        <v>185</v>
      </c>
      <c r="H6" s="878"/>
      <c r="I6" s="855"/>
      <c r="J6" s="700"/>
      <c r="K6" s="857" t="s">
        <v>227</v>
      </c>
      <c r="L6" s="878"/>
      <c r="M6" s="855"/>
      <c r="N6" s="699"/>
      <c r="O6" s="817" t="s">
        <v>208</v>
      </c>
      <c r="P6" s="817"/>
      <c r="Q6" s="817"/>
      <c r="R6" s="817"/>
      <c r="S6" s="817"/>
      <c r="T6" s="343"/>
      <c r="U6" s="275"/>
      <c r="V6" s="275"/>
      <c r="W6" s="275"/>
      <c r="X6" s="275"/>
      <c r="Y6" s="275"/>
      <c r="Z6" s="343"/>
      <c r="AA6" s="343"/>
      <c r="AB6" s="343"/>
      <c r="AC6" s="275"/>
      <c r="AD6" s="275"/>
      <c r="AE6" s="343"/>
      <c r="AF6" s="343"/>
      <c r="AG6" s="343"/>
      <c r="AH6" s="343"/>
      <c r="AI6" s="343"/>
      <c r="AJ6" s="343"/>
      <c r="AK6" s="343"/>
      <c r="AL6" s="343"/>
    </row>
    <row r="7" spans="2:38" s="22" customFormat="1" ht="47.95" customHeight="1">
      <c r="B7" s="817"/>
      <c r="C7" s="283">
        <v>2021</v>
      </c>
      <c r="D7" s="283">
        <v>2022</v>
      </c>
      <c r="E7" s="283">
        <v>2023</v>
      </c>
      <c r="F7" s="283">
        <v>2024</v>
      </c>
      <c r="G7" s="283">
        <v>2021</v>
      </c>
      <c r="H7" s="283">
        <v>2022</v>
      </c>
      <c r="I7" s="283">
        <v>2023</v>
      </c>
      <c r="J7" s="283">
        <v>2024</v>
      </c>
      <c r="K7" s="283">
        <v>2021</v>
      </c>
      <c r="L7" s="283">
        <v>2022</v>
      </c>
      <c r="M7" s="283">
        <v>2023</v>
      </c>
      <c r="N7" s="283">
        <v>2024</v>
      </c>
      <c r="O7" s="283">
        <v>2021</v>
      </c>
      <c r="P7" s="283">
        <v>2022</v>
      </c>
      <c r="Q7" s="283">
        <v>2023</v>
      </c>
      <c r="R7" s="283">
        <v>2024</v>
      </c>
      <c r="S7" s="100" t="s">
        <v>713</v>
      </c>
      <c r="T7" s="343"/>
      <c r="U7" s="275"/>
      <c r="V7" s="275" t="s">
        <v>97</v>
      </c>
      <c r="W7" s="275"/>
      <c r="X7" s="275"/>
      <c r="Y7" s="275"/>
      <c r="Z7" s="343"/>
      <c r="AA7" s="343"/>
      <c r="AB7" s="343"/>
      <c r="AC7" s="275"/>
      <c r="AD7" s="275"/>
      <c r="AE7" s="343"/>
      <c r="AF7" s="343"/>
      <c r="AG7" s="343"/>
      <c r="AH7" s="343"/>
      <c r="AI7" s="343"/>
      <c r="AJ7" s="343"/>
      <c r="AK7" s="343"/>
      <c r="AL7" s="343"/>
    </row>
    <row r="8" spans="2:38" s="22" customFormat="1" ht="15.75" customHeight="1">
      <c r="B8" s="51" t="s">
        <v>212</v>
      </c>
      <c r="C8" s="344">
        <v>190.7912081790758</v>
      </c>
      <c r="D8" s="344">
        <v>296.72220207125514</v>
      </c>
      <c r="E8" s="344">
        <v>320.87073742540497</v>
      </c>
      <c r="F8" s="344">
        <v>223.30016887137634</v>
      </c>
      <c r="G8" s="344">
        <v>195.03810664112387</v>
      </c>
      <c r="H8" s="344">
        <v>302.83298429290295</v>
      </c>
      <c r="I8" s="344">
        <v>337.47900883838383</v>
      </c>
      <c r="J8" s="344">
        <v>230.93741919844859</v>
      </c>
      <c r="K8" s="344">
        <v>199.09104166666665</v>
      </c>
      <c r="L8" s="344">
        <v>304.37498602402354</v>
      </c>
      <c r="M8" s="344">
        <v>343.68229166666674</v>
      </c>
      <c r="N8" s="344">
        <v>237.07555555555555</v>
      </c>
      <c r="O8" s="344">
        <v>194.0952477085016</v>
      </c>
      <c r="P8" s="344">
        <v>300.76105179839061</v>
      </c>
      <c r="Q8" s="344">
        <v>330.18559798045089</v>
      </c>
      <c r="R8" s="344">
        <v>229.07777532302276</v>
      </c>
      <c r="S8" s="591">
        <f t="shared" ref="S8:S14" si="0">R8/Q8-1</f>
        <v>-0.30621512045299548</v>
      </c>
      <c r="T8" s="343"/>
      <c r="U8" s="347"/>
      <c r="V8" s="275" t="s">
        <v>253</v>
      </c>
      <c r="W8" s="275" t="s">
        <v>185</v>
      </c>
      <c r="X8" s="275" t="s">
        <v>227</v>
      </c>
      <c r="Y8" s="354"/>
      <c r="Z8" s="529"/>
      <c r="AA8" s="529"/>
      <c r="AB8" s="529"/>
      <c r="AC8" s="275"/>
      <c r="AD8" s="275"/>
      <c r="AE8" s="343"/>
      <c r="AF8" s="343"/>
      <c r="AG8" s="343"/>
      <c r="AH8" s="343"/>
      <c r="AI8" s="343"/>
      <c r="AJ8" s="343"/>
      <c r="AK8" s="343"/>
      <c r="AL8" s="343"/>
    </row>
    <row r="9" spans="2:38" s="22" customFormat="1" ht="15.75" customHeight="1">
      <c r="B9" s="51" t="s">
        <v>213</v>
      </c>
      <c r="C9" s="344">
        <v>194.04661943319834</v>
      </c>
      <c r="D9" s="344">
        <v>298.88499861003208</v>
      </c>
      <c r="E9" s="344">
        <v>279.98397435897436</v>
      </c>
      <c r="F9" s="344">
        <v>225.27457264957266</v>
      </c>
      <c r="G9" s="344">
        <v>197.594057537743</v>
      </c>
      <c r="H9" s="344">
        <v>302.96309112589893</v>
      </c>
      <c r="I9" s="344">
        <v>313.37179487179486</v>
      </c>
      <c r="J9" s="344">
        <v>225.32874060565868</v>
      </c>
      <c r="K9" s="344">
        <v>201.98578373015877</v>
      </c>
      <c r="L9" s="344">
        <v>306.50197736556436</v>
      </c>
      <c r="M9" s="344">
        <v>318.10683760683759</v>
      </c>
      <c r="N9" s="344">
        <v>234.6451461169668</v>
      </c>
      <c r="O9" s="344">
        <v>196.69490219373131</v>
      </c>
      <c r="P9" s="344">
        <v>301.97271149869175</v>
      </c>
      <c r="Q9" s="344">
        <v>301.67373737373737</v>
      </c>
      <c r="R9" s="344">
        <v>224.91069084362141</v>
      </c>
      <c r="S9" s="591">
        <f t="shared" si="0"/>
        <v>-0.25445717349606667</v>
      </c>
      <c r="T9" s="343"/>
      <c r="U9" s="347">
        <v>44197</v>
      </c>
      <c r="V9" s="354">
        <f>C8</f>
        <v>190.7912081790758</v>
      </c>
      <c r="W9" s="354" t="s">
        <v>97</v>
      </c>
      <c r="X9" s="354">
        <f t="shared" ref="X9:X20" si="1">K8</f>
        <v>199.09104166666665</v>
      </c>
      <c r="Y9" s="275"/>
      <c r="Z9" s="529"/>
      <c r="AA9" s="529"/>
      <c r="AB9" s="529"/>
      <c r="AC9" s="275"/>
      <c r="AD9" s="275"/>
      <c r="AE9" s="343"/>
      <c r="AF9" s="343"/>
      <c r="AG9" s="343"/>
      <c r="AH9" s="343"/>
      <c r="AI9" s="343"/>
      <c r="AJ9" s="343"/>
      <c r="AK9" s="343"/>
      <c r="AL9" s="343"/>
    </row>
    <row r="10" spans="2:38" s="22" customFormat="1" ht="15.75" customHeight="1">
      <c r="B10" s="51" t="s">
        <v>214</v>
      </c>
      <c r="C10" s="344">
        <v>195.93255131964807</v>
      </c>
      <c r="D10" s="344">
        <v>304.3157952781043</v>
      </c>
      <c r="E10" s="344">
        <v>289.67391304347825</v>
      </c>
      <c r="F10" s="344">
        <v>227.52167080231595</v>
      </c>
      <c r="G10" s="344">
        <v>201.09551971326164</v>
      </c>
      <c r="H10" s="344">
        <v>308.17002688172045</v>
      </c>
      <c r="I10" s="344">
        <v>304.89130434782606</v>
      </c>
      <c r="J10" s="344">
        <v>233.87344086021506</v>
      </c>
      <c r="K10" s="344">
        <v>203.53825475599669</v>
      </c>
      <c r="L10" s="344">
        <v>310.54892473118281</v>
      </c>
      <c r="M10" s="344">
        <v>310.21739130434781</v>
      </c>
      <c r="N10" s="344">
        <v>240.35405913978494</v>
      </c>
      <c r="O10" s="344">
        <v>199.68956093189965</v>
      </c>
      <c r="P10" s="344">
        <v>306.84014537460752</v>
      </c>
      <c r="Q10" s="344">
        <v>294.39833113746158</v>
      </c>
      <c r="R10" s="344">
        <v>230.22338625979756</v>
      </c>
      <c r="S10" s="591">
        <f t="shared" si="0"/>
        <v>-0.21798678215909861</v>
      </c>
      <c r="T10" s="343"/>
      <c r="U10" s="347">
        <v>44228</v>
      </c>
      <c r="V10" s="354" t="s">
        <v>97</v>
      </c>
      <c r="W10" s="354">
        <f t="shared" ref="W10:W20" si="2">G9</f>
        <v>197.594057537743</v>
      </c>
      <c r="X10" s="354">
        <f t="shared" si="1"/>
        <v>201.98578373015877</v>
      </c>
      <c r="Y10" s="275"/>
      <c r="Z10" s="529"/>
      <c r="AA10" s="529"/>
      <c r="AB10" s="529"/>
      <c r="AC10" s="275"/>
      <c r="AD10" s="275"/>
      <c r="AE10" s="343"/>
      <c r="AF10" s="343"/>
      <c r="AG10" s="343"/>
      <c r="AH10" s="343"/>
      <c r="AI10" s="343"/>
      <c r="AJ10" s="343"/>
      <c r="AK10" s="343"/>
      <c r="AL10" s="343"/>
    </row>
    <row r="11" spans="2:38" s="22" customFormat="1" ht="15.75" customHeight="1">
      <c r="B11" s="51" t="s">
        <v>215</v>
      </c>
      <c r="C11" s="360">
        <v>200.89111111111114</v>
      </c>
      <c r="D11" s="360">
        <v>318.56333333333328</v>
      </c>
      <c r="E11" s="360">
        <v>292.33333333333331</v>
      </c>
      <c r="F11" s="360">
        <v>228.20079365079368</v>
      </c>
      <c r="G11" s="360">
        <v>205.39523809523808</v>
      </c>
      <c r="H11" s="360">
        <v>319.00555555555559</v>
      </c>
      <c r="I11" s="360">
        <v>300.33333333333331</v>
      </c>
      <c r="J11" s="360">
        <v>235.85624999999999</v>
      </c>
      <c r="K11" s="360">
        <v>208.02047619047619</v>
      </c>
      <c r="L11" s="360">
        <v>309.75833333333333</v>
      </c>
      <c r="M11" s="360">
        <v>300.66666666666669</v>
      </c>
      <c r="N11" s="360">
        <v>240.85763888888894</v>
      </c>
      <c r="O11" s="360">
        <v>205.06735690235692</v>
      </c>
      <c r="P11" s="360">
        <v>315.95068330362449</v>
      </c>
      <c r="Q11" s="360">
        <v>296.85185185185185</v>
      </c>
      <c r="R11" s="360">
        <v>230.67218137254906</v>
      </c>
      <c r="S11" s="591">
        <f t="shared" si="0"/>
        <v>-0.22293837840813169</v>
      </c>
      <c r="T11" s="343" t="s">
        <v>97</v>
      </c>
      <c r="U11" s="347">
        <v>44256</v>
      </c>
      <c r="V11" s="354">
        <f>C10</f>
        <v>195.93255131964807</v>
      </c>
      <c r="W11" s="354">
        <f t="shared" si="2"/>
        <v>201.09551971326164</v>
      </c>
      <c r="X11" s="354">
        <f t="shared" si="1"/>
        <v>203.53825475599669</v>
      </c>
      <c r="Y11" s="275"/>
      <c r="Z11" s="343"/>
      <c r="AA11" s="343"/>
      <c r="AB11" s="343"/>
      <c r="AC11" s="275"/>
      <c r="AD11" s="275"/>
      <c r="AE11" s="343"/>
      <c r="AF11" s="343"/>
      <c r="AG11" s="343"/>
      <c r="AH11" s="343"/>
      <c r="AI11" s="343"/>
      <c r="AJ11" s="343"/>
      <c r="AK11" s="343"/>
      <c r="AL11" s="343"/>
    </row>
    <row r="12" spans="2:38" s="22" customFormat="1" ht="15.75" customHeight="1">
      <c r="B12" s="51" t="s">
        <v>216</v>
      </c>
      <c r="C12" s="360">
        <v>203.28819444444446</v>
      </c>
      <c r="D12" s="360">
        <v>398.56896551724139</v>
      </c>
      <c r="E12" s="360">
        <v>290</v>
      </c>
      <c r="F12" s="360">
        <v>236.91258741258741</v>
      </c>
      <c r="G12" s="360">
        <v>208.30208333333331</v>
      </c>
      <c r="H12" s="360">
        <v>400.54597701149424</v>
      </c>
      <c r="I12" s="360">
        <v>301.66666666666669</v>
      </c>
      <c r="J12" s="360">
        <v>241.84615384615384</v>
      </c>
      <c r="K12" s="360">
        <v>211.36904761904759</v>
      </c>
      <c r="L12" s="360">
        <v>399.67241379310349</v>
      </c>
      <c r="M12" s="360">
        <v>306.66666666666669</v>
      </c>
      <c r="N12" s="360">
        <v>247.76282051282055</v>
      </c>
      <c r="O12" s="360">
        <v>210.09970674486803</v>
      </c>
      <c r="P12" s="360">
        <v>400.28554143980631</v>
      </c>
      <c r="Q12" s="360">
        <v>293.51851851851848</v>
      </c>
      <c r="R12" s="360">
        <v>238.80480769230769</v>
      </c>
      <c r="S12" s="591">
        <f t="shared" si="0"/>
        <v>-0.18640633341421975</v>
      </c>
      <c r="T12" s="343"/>
      <c r="U12" s="347">
        <v>44287</v>
      </c>
      <c r="V12" s="354">
        <f>C11</f>
        <v>200.89111111111114</v>
      </c>
      <c r="W12" s="354">
        <f t="shared" si="2"/>
        <v>205.39523809523808</v>
      </c>
      <c r="X12" s="354">
        <f t="shared" si="1"/>
        <v>208.02047619047619</v>
      </c>
      <c r="Y12" s="275"/>
      <c r="Z12" s="343"/>
      <c r="AA12" s="343"/>
      <c r="AB12" s="343"/>
      <c r="AC12" s="354"/>
      <c r="AD12" s="275"/>
      <c r="AE12" s="343"/>
      <c r="AF12" s="343"/>
      <c r="AG12" s="343"/>
      <c r="AH12" s="343"/>
      <c r="AI12" s="343"/>
      <c r="AJ12" s="343"/>
      <c r="AK12" s="343"/>
      <c r="AL12" s="343"/>
    </row>
    <row r="13" spans="2:38" s="22" customFormat="1" ht="15.75" customHeight="1">
      <c r="B13" s="51" t="s">
        <v>217</v>
      </c>
      <c r="C13" s="360">
        <v>209.24126984126983</v>
      </c>
      <c r="D13" s="551" t="s">
        <v>254</v>
      </c>
      <c r="E13" s="551" t="s">
        <v>254</v>
      </c>
      <c r="F13" s="360">
        <v>244.29005050505054</v>
      </c>
      <c r="G13" s="360">
        <v>212.06726190476192</v>
      </c>
      <c r="H13" s="551" t="s">
        <v>254</v>
      </c>
      <c r="I13" s="360">
        <v>240</v>
      </c>
      <c r="J13" s="360">
        <v>251.24188034188035</v>
      </c>
      <c r="K13" s="360">
        <v>216.07428571428574</v>
      </c>
      <c r="L13" s="551" t="s">
        <v>254</v>
      </c>
      <c r="M13" s="551" t="s">
        <v>254</v>
      </c>
      <c r="N13" s="360">
        <v>252.65555555555551</v>
      </c>
      <c r="O13" s="360">
        <v>214.99577922077921</v>
      </c>
      <c r="P13" s="551" t="s">
        <v>254</v>
      </c>
      <c r="Q13" s="360">
        <v>240</v>
      </c>
      <c r="R13" s="360">
        <v>245.80994192799071</v>
      </c>
      <c r="S13" s="591">
        <f t="shared" si="0"/>
        <v>2.4208091366628048E-2</v>
      </c>
      <c r="T13" s="343"/>
      <c r="U13" s="347">
        <v>44317</v>
      </c>
      <c r="V13" s="354">
        <f>C12</f>
        <v>203.28819444444446</v>
      </c>
      <c r="W13" s="354">
        <f t="shared" si="2"/>
        <v>208.30208333333331</v>
      </c>
      <c r="X13" s="354">
        <f t="shared" si="1"/>
        <v>211.36904761904759</v>
      </c>
      <c r="Y13" s="275"/>
      <c r="Z13" s="343"/>
      <c r="AA13" s="343"/>
      <c r="AB13" s="343"/>
      <c r="AC13" s="275"/>
      <c r="AD13" s="275"/>
      <c r="AE13" s="343"/>
      <c r="AF13" s="343"/>
      <c r="AG13" s="343"/>
      <c r="AH13" s="343"/>
      <c r="AI13" s="343"/>
      <c r="AJ13" s="343"/>
      <c r="AK13" s="343"/>
      <c r="AL13" s="343"/>
    </row>
    <row r="14" spans="2:38" s="22" customFormat="1" ht="15.75" customHeight="1">
      <c r="B14" s="51" t="s">
        <v>218</v>
      </c>
      <c r="C14" s="360">
        <v>218.50952380952384</v>
      </c>
      <c r="D14" s="551" t="s">
        <v>254</v>
      </c>
      <c r="E14" s="360">
        <v>237.5</v>
      </c>
      <c r="F14" s="360">
        <v>252.18700396825392</v>
      </c>
      <c r="G14" s="360">
        <v>221.21300563236045</v>
      </c>
      <c r="H14" s="551" t="s">
        <v>254</v>
      </c>
      <c r="I14" s="360">
        <v>260.41666666666669</v>
      </c>
      <c r="J14" s="360">
        <v>259.38988095238096</v>
      </c>
      <c r="K14" s="360">
        <v>224.66666666666663</v>
      </c>
      <c r="L14" s="551" t="s">
        <v>254</v>
      </c>
      <c r="M14" s="551" t="s">
        <v>254</v>
      </c>
      <c r="N14" s="551">
        <v>263.46726190476187</v>
      </c>
      <c r="O14" s="360">
        <v>223.89039938556067</v>
      </c>
      <c r="P14" s="551" t="s">
        <v>254</v>
      </c>
      <c r="Q14" s="360">
        <v>251.51111111111109</v>
      </c>
      <c r="R14" s="360">
        <v>256.73247963506032</v>
      </c>
      <c r="S14" s="591">
        <f t="shared" si="0"/>
        <v>2.0759991480625128E-2</v>
      </c>
      <c r="T14" s="343"/>
      <c r="U14" s="347">
        <v>44348</v>
      </c>
      <c r="V14" s="354">
        <f t="shared" ref="V14:V19" si="3">C13</f>
        <v>209.24126984126983</v>
      </c>
      <c r="W14" s="354">
        <f t="shared" si="2"/>
        <v>212.06726190476192</v>
      </c>
      <c r="X14" s="354">
        <f t="shared" si="1"/>
        <v>216.07428571428574</v>
      </c>
      <c r="Y14" s="1078"/>
      <c r="Z14" s="529"/>
      <c r="AA14" s="529"/>
      <c r="AB14" s="529"/>
      <c r="AC14" s="275"/>
      <c r="AD14" s="275"/>
      <c r="AE14" s="343"/>
      <c r="AF14" s="343"/>
      <c r="AG14" s="343"/>
      <c r="AH14" s="343"/>
      <c r="AI14" s="343"/>
      <c r="AJ14" s="343"/>
      <c r="AK14" s="343"/>
      <c r="AL14" s="343"/>
    </row>
    <row r="15" spans="2:38" s="22" customFormat="1" ht="15.75" customHeight="1">
      <c r="B15" s="51" t="s">
        <v>219</v>
      </c>
      <c r="C15" s="344">
        <v>241.22043010752685</v>
      </c>
      <c r="D15" s="551" t="s">
        <v>254</v>
      </c>
      <c r="E15" s="360">
        <v>230</v>
      </c>
      <c r="F15" s="360"/>
      <c r="G15" s="344">
        <v>239.81566820276501</v>
      </c>
      <c r="H15" s="551" t="s">
        <v>254</v>
      </c>
      <c r="I15" s="360">
        <v>275</v>
      </c>
      <c r="J15" s="360"/>
      <c r="K15" s="344">
        <v>246.98306451612902</v>
      </c>
      <c r="L15" s="551" t="s">
        <v>254</v>
      </c>
      <c r="M15" s="551" t="s">
        <v>254</v>
      </c>
      <c r="N15" s="551"/>
      <c r="O15" s="344">
        <v>244.85588367675308</v>
      </c>
      <c r="P15" s="551" t="s">
        <v>254</v>
      </c>
      <c r="Q15" s="360">
        <v>270.66666666666669</v>
      </c>
      <c r="R15" s="360"/>
      <c r="S15" s="349"/>
      <c r="T15" s="343" t="s">
        <v>97</v>
      </c>
      <c r="U15" s="347" t="s">
        <v>97</v>
      </c>
      <c r="V15" s="354">
        <f t="shared" si="3"/>
        <v>218.50952380952384</v>
      </c>
      <c r="W15" s="354">
        <f t="shared" si="2"/>
        <v>221.21300563236045</v>
      </c>
      <c r="X15" s="354">
        <f t="shared" si="1"/>
        <v>224.66666666666663</v>
      </c>
      <c r="Y15" s="275"/>
      <c r="Z15" s="343"/>
      <c r="AA15" s="529"/>
      <c r="AB15" s="529"/>
      <c r="AC15" s="275"/>
      <c r="AD15" s="275"/>
      <c r="AE15" s="343"/>
      <c r="AF15" s="343"/>
      <c r="AG15" s="343"/>
      <c r="AH15" s="343"/>
      <c r="AI15" s="343"/>
      <c r="AJ15" s="343"/>
      <c r="AK15" s="343"/>
      <c r="AL15" s="343"/>
    </row>
    <row r="16" spans="2:38" s="22" customFormat="1" ht="15.75" customHeight="1">
      <c r="B16" s="51" t="s">
        <v>220</v>
      </c>
      <c r="C16" s="344">
        <v>248.58148148148149</v>
      </c>
      <c r="D16" s="551" t="s">
        <v>254</v>
      </c>
      <c r="E16" s="551" t="s">
        <v>254</v>
      </c>
      <c r="F16" s="551"/>
      <c r="G16" s="344">
        <v>249.5</v>
      </c>
      <c r="H16" s="551" t="s">
        <v>254</v>
      </c>
      <c r="I16" s="551" t="s">
        <v>254</v>
      </c>
      <c r="J16" s="551"/>
      <c r="K16" s="344">
        <v>256.52333333333331</v>
      </c>
      <c r="L16" s="551" t="s">
        <v>254</v>
      </c>
      <c r="M16" s="551" t="s">
        <v>254</v>
      </c>
      <c r="N16" s="551"/>
      <c r="O16" s="344">
        <v>255.28937133539188</v>
      </c>
      <c r="P16" s="551" t="s">
        <v>254</v>
      </c>
      <c r="Q16" s="551" t="s">
        <v>254</v>
      </c>
      <c r="R16" s="551"/>
      <c r="S16" s="349"/>
      <c r="T16" s="343"/>
      <c r="U16" s="347">
        <v>44409</v>
      </c>
      <c r="V16" s="354">
        <f t="shared" si="3"/>
        <v>241.22043010752685</v>
      </c>
      <c r="W16" s="354">
        <f t="shared" si="2"/>
        <v>239.81566820276501</v>
      </c>
      <c r="X16" s="354">
        <f t="shared" si="1"/>
        <v>246.98306451612902</v>
      </c>
      <c r="Y16" s="275"/>
      <c r="Z16" s="343"/>
      <c r="AA16" s="529"/>
      <c r="AB16" s="529"/>
      <c r="AC16" s="659"/>
      <c r="AD16" s="659"/>
      <c r="AE16" s="631"/>
      <c r="AF16" s="343"/>
      <c r="AG16" s="343"/>
      <c r="AH16" s="343"/>
      <c r="AI16" s="343"/>
      <c r="AJ16" s="343"/>
      <c r="AK16" s="343"/>
      <c r="AL16" s="343"/>
    </row>
    <row r="17" spans="2:38" s="22" customFormat="1" ht="15.75" customHeight="1">
      <c r="B17" s="51" t="s">
        <v>221</v>
      </c>
      <c r="C17" s="344">
        <v>265.85483870967744</v>
      </c>
      <c r="D17" s="551" t="s">
        <v>254</v>
      </c>
      <c r="E17" s="551" t="s">
        <v>254</v>
      </c>
      <c r="F17" s="551"/>
      <c r="G17" s="344">
        <v>264.58774845226452</v>
      </c>
      <c r="H17" s="551" t="s">
        <v>254</v>
      </c>
      <c r="I17" s="551" t="s">
        <v>254</v>
      </c>
      <c r="J17" s="551"/>
      <c r="K17" s="344">
        <v>274.62598566308242</v>
      </c>
      <c r="L17" s="551" t="s">
        <v>254</v>
      </c>
      <c r="M17" s="551" t="s">
        <v>254</v>
      </c>
      <c r="N17" s="551"/>
      <c r="O17" s="344">
        <v>272.56445652433064</v>
      </c>
      <c r="P17" s="551" t="s">
        <v>254</v>
      </c>
      <c r="Q17" s="551" t="s">
        <v>254</v>
      </c>
      <c r="R17" s="551"/>
      <c r="S17" s="349"/>
      <c r="T17" s="343"/>
      <c r="U17" s="347">
        <v>44440</v>
      </c>
      <c r="V17" s="354" t="s">
        <v>97</v>
      </c>
      <c r="W17" s="354" t="s">
        <v>97</v>
      </c>
      <c r="X17" s="354">
        <f t="shared" si="1"/>
        <v>256.52333333333331</v>
      </c>
      <c r="Y17" s="275"/>
      <c r="Z17" s="529"/>
      <c r="AA17" s="529"/>
      <c r="AB17" s="529"/>
      <c r="AC17" s="659"/>
      <c r="AD17" s="659"/>
      <c r="AE17" s="631"/>
      <c r="AF17" s="343"/>
      <c r="AG17" s="343"/>
      <c r="AH17" s="343"/>
      <c r="AI17" s="343"/>
      <c r="AJ17" s="343"/>
      <c r="AK17" s="343"/>
      <c r="AL17" s="343"/>
    </row>
    <row r="18" spans="2:38" s="22" customFormat="1" ht="15.75" customHeight="1">
      <c r="B18" s="51" t="s">
        <v>206</v>
      </c>
      <c r="C18" s="360">
        <v>264.04166666666669</v>
      </c>
      <c r="D18" s="360" t="s">
        <v>254</v>
      </c>
      <c r="E18" s="551" t="s">
        <v>254</v>
      </c>
      <c r="F18" s="551"/>
      <c r="G18" s="360">
        <v>265.03777777777776</v>
      </c>
      <c r="H18" s="360" t="s">
        <v>254</v>
      </c>
      <c r="I18" s="551" t="s">
        <v>254</v>
      </c>
      <c r="J18" s="551"/>
      <c r="K18" s="360">
        <v>279.125</v>
      </c>
      <c r="L18" s="360" t="s">
        <v>254</v>
      </c>
      <c r="M18" s="551" t="s">
        <v>254</v>
      </c>
      <c r="N18" s="551"/>
      <c r="O18" s="360">
        <v>271.44920634920635</v>
      </c>
      <c r="P18" s="360">
        <v>400</v>
      </c>
      <c r="Q18" s="551" t="s">
        <v>254</v>
      </c>
      <c r="R18" s="551"/>
      <c r="S18" s="349"/>
      <c r="T18" s="343"/>
      <c r="U18" s="347">
        <v>44470</v>
      </c>
      <c r="V18" s="354">
        <f t="shared" si="3"/>
        <v>265.85483870967744</v>
      </c>
      <c r="W18" s="354">
        <f t="shared" si="2"/>
        <v>264.58774845226452</v>
      </c>
      <c r="X18" s="354">
        <f t="shared" si="1"/>
        <v>274.62598566308242</v>
      </c>
      <c r="Y18" s="275"/>
      <c r="Z18" s="529"/>
      <c r="AA18" s="529"/>
      <c r="AB18" s="529"/>
      <c r="AC18" s="659"/>
      <c r="AD18" s="659"/>
      <c r="AE18" s="631"/>
      <c r="AF18" s="343"/>
      <c r="AG18" s="343"/>
      <c r="AH18" s="343"/>
      <c r="AI18" s="343"/>
      <c r="AJ18" s="343"/>
      <c r="AK18" s="343"/>
      <c r="AL18" s="343"/>
    </row>
    <row r="19" spans="2:38" s="22" customFormat="1" ht="17.2" customHeight="1">
      <c r="B19" s="51" t="s">
        <v>207</v>
      </c>
      <c r="C19" s="360">
        <v>296.86307435254804</v>
      </c>
      <c r="D19" s="360">
        <v>347.56858974358977</v>
      </c>
      <c r="E19" s="360">
        <v>234.16666666666663</v>
      </c>
      <c r="F19" s="360"/>
      <c r="G19" s="360">
        <v>302.93791341508734</v>
      </c>
      <c r="H19" s="360">
        <v>358.37573099415204</v>
      </c>
      <c r="I19" s="360">
        <v>238.5</v>
      </c>
      <c r="J19" s="360"/>
      <c r="K19" s="360">
        <v>305.78578042328041</v>
      </c>
      <c r="L19" s="360">
        <v>361.29665242165242</v>
      </c>
      <c r="M19" s="360">
        <v>241.875</v>
      </c>
      <c r="N19" s="360"/>
      <c r="O19" s="360">
        <v>300.02992706302962</v>
      </c>
      <c r="P19" s="360">
        <v>369.58627368834817</v>
      </c>
      <c r="Q19" s="360">
        <v>235.27777777777777</v>
      </c>
      <c r="R19" s="360"/>
      <c r="S19" s="591"/>
      <c r="T19" s="343"/>
      <c r="U19" s="347">
        <v>44501</v>
      </c>
      <c r="V19" s="354">
        <f t="shared" si="3"/>
        <v>264.04166666666669</v>
      </c>
      <c r="W19" s="354">
        <f t="shared" si="2"/>
        <v>265.03777777777776</v>
      </c>
      <c r="X19" s="354">
        <f t="shared" si="1"/>
        <v>279.125</v>
      </c>
      <c r="Y19" s="1079"/>
      <c r="Z19" s="529"/>
      <c r="AA19" s="529"/>
      <c r="AB19" s="529"/>
      <c r="AC19" s="275"/>
      <c r="AD19" s="275"/>
      <c r="AE19" s="343"/>
      <c r="AF19" s="343"/>
      <c r="AG19" s="343"/>
      <c r="AH19" s="343"/>
      <c r="AI19" s="343"/>
      <c r="AJ19" s="343"/>
      <c r="AK19" s="343"/>
      <c r="AL19" s="343"/>
    </row>
    <row r="20" spans="2:38" s="22" customFormat="1" ht="46" customHeight="1">
      <c r="B20" s="816" t="s">
        <v>775</v>
      </c>
      <c r="C20" s="907"/>
      <c r="D20" s="907"/>
      <c r="E20" s="907"/>
      <c r="F20" s="907"/>
      <c r="G20" s="907"/>
      <c r="H20" s="907"/>
      <c r="I20" s="907"/>
      <c r="J20" s="907"/>
      <c r="K20" s="907"/>
      <c r="L20" s="907"/>
      <c r="M20" s="907"/>
      <c r="N20" s="907"/>
      <c r="O20" s="907"/>
      <c r="P20" s="907"/>
      <c r="Q20" s="907"/>
      <c r="R20" s="907"/>
      <c r="S20" s="907"/>
      <c r="T20" s="343"/>
      <c r="U20" s="347">
        <v>44531</v>
      </c>
      <c r="V20" s="354">
        <f>C19</f>
        <v>296.86307435254804</v>
      </c>
      <c r="W20" s="354">
        <f t="shared" si="2"/>
        <v>302.93791341508734</v>
      </c>
      <c r="X20" s="354">
        <f t="shared" si="1"/>
        <v>305.78578042328041</v>
      </c>
      <c r="Y20" s="275"/>
      <c r="Z20" s="529"/>
      <c r="AA20" s="529"/>
      <c r="AB20" s="529" t="s">
        <v>97</v>
      </c>
      <c r="AC20" s="275"/>
      <c r="AD20" s="275"/>
      <c r="AE20" s="343"/>
      <c r="AF20" s="343"/>
      <c r="AG20" s="343"/>
      <c r="AH20" s="343"/>
      <c r="AI20" s="343"/>
      <c r="AJ20" s="343"/>
      <c r="AK20" s="343"/>
      <c r="AL20" s="343"/>
    </row>
    <row r="21" spans="2:38" s="22" customFormat="1" ht="12.45">
      <c r="B21" s="1"/>
      <c r="C21" s="381"/>
      <c r="D21" s="381"/>
      <c r="E21" s="381"/>
      <c r="F21" s="381"/>
      <c r="K21" s="198"/>
      <c r="L21" s="198"/>
      <c r="M21" s="198"/>
      <c r="N21" s="198"/>
      <c r="O21" s="36"/>
      <c r="P21" s="36"/>
      <c r="Q21" s="36"/>
      <c r="R21" s="36"/>
      <c r="S21" s="54"/>
      <c r="T21" s="343"/>
      <c r="U21" s="347">
        <v>44562</v>
      </c>
      <c r="V21" s="354">
        <f>D8</f>
        <v>296.72220207125514</v>
      </c>
      <c r="W21" s="354">
        <f>H8</f>
        <v>302.83298429290295</v>
      </c>
      <c r="X21" s="354">
        <f>L8</f>
        <v>304.37498602402354</v>
      </c>
      <c r="Y21" s="275"/>
      <c r="Z21" s="343"/>
      <c r="AA21" s="343"/>
      <c r="AB21" s="343"/>
      <c r="AC21" s="275"/>
      <c r="AD21" s="275"/>
      <c r="AE21" s="343"/>
      <c r="AF21" s="343"/>
      <c r="AG21" s="343"/>
      <c r="AH21" s="343"/>
      <c r="AI21" s="343"/>
      <c r="AJ21" s="343"/>
      <c r="AK21" s="343"/>
      <c r="AL21" s="343"/>
    </row>
    <row r="22" spans="2:38" ht="17.7">
      <c r="C22" s="274"/>
      <c r="D22" s="382"/>
      <c r="E22" s="382"/>
      <c r="F22" s="382"/>
      <c r="G22" s="274"/>
      <c r="H22" s="382"/>
      <c r="I22" s="382"/>
      <c r="J22" s="382"/>
      <c r="K22" s="274"/>
      <c r="L22" s="382"/>
      <c r="M22" s="382"/>
      <c r="N22" s="382"/>
      <c r="O22" s="274"/>
      <c r="P22" s="274"/>
      <c r="Q22" s="274"/>
      <c r="R22" s="274"/>
      <c r="U22" s="347">
        <v>44593</v>
      </c>
      <c r="V22" s="354">
        <f t="shared" ref="V22:V25" si="4">D9</f>
        <v>298.88499861003208</v>
      </c>
      <c r="W22" s="354">
        <f t="shared" ref="W22:W25" si="5">H9</f>
        <v>302.96309112589893</v>
      </c>
      <c r="X22" s="354">
        <f t="shared" ref="X22:X25" si="6">L9</f>
        <v>306.50197736556436</v>
      </c>
    </row>
    <row r="23" spans="2:38" s="22" customFormat="1" ht="20.45" customHeight="1">
      <c r="T23" s="343"/>
      <c r="U23" s="347">
        <v>44621</v>
      </c>
      <c r="V23" s="354">
        <f t="shared" si="4"/>
        <v>304.3157952781043</v>
      </c>
      <c r="W23" s="354">
        <f t="shared" si="5"/>
        <v>308.17002688172045</v>
      </c>
      <c r="X23" s="354">
        <f t="shared" si="6"/>
        <v>310.54892473118281</v>
      </c>
      <c r="Y23" s="275"/>
      <c r="Z23" s="343"/>
      <c r="AA23" s="343"/>
      <c r="AB23" s="343"/>
      <c r="AC23" s="275"/>
      <c r="AD23" s="275"/>
      <c r="AE23" s="343"/>
      <c r="AF23" s="343"/>
      <c r="AG23" s="343"/>
      <c r="AH23" s="343"/>
      <c r="AI23" s="343"/>
      <c r="AJ23" s="343"/>
      <c r="AK23" s="343"/>
      <c r="AL23" s="343"/>
    </row>
    <row r="24" spans="2:38" s="22" customFormat="1" ht="20.45" customHeight="1">
      <c r="T24" s="343"/>
      <c r="U24" s="347">
        <v>44652</v>
      </c>
      <c r="V24" s="354">
        <f t="shared" si="4"/>
        <v>318.56333333333328</v>
      </c>
      <c r="W24" s="354">
        <f t="shared" si="5"/>
        <v>319.00555555555559</v>
      </c>
      <c r="X24" s="354">
        <f t="shared" si="6"/>
        <v>309.75833333333333</v>
      </c>
      <c r="Y24" s="275"/>
      <c r="Z24" s="343"/>
      <c r="AA24" s="343"/>
      <c r="AB24" s="343"/>
      <c r="AC24" s="275"/>
      <c r="AD24" s="275"/>
      <c r="AE24" s="343"/>
      <c r="AF24" s="343"/>
      <c r="AG24" s="343"/>
      <c r="AH24" s="343"/>
      <c r="AI24" s="343"/>
      <c r="AJ24" s="343"/>
      <c r="AK24" s="343"/>
      <c r="AL24" s="343"/>
    </row>
    <row r="25" spans="2:38" s="22" customFormat="1" ht="20.45" customHeight="1">
      <c r="T25" s="343"/>
      <c r="U25" s="347">
        <v>44682</v>
      </c>
      <c r="V25" s="354">
        <f t="shared" si="4"/>
        <v>398.56896551724139</v>
      </c>
      <c r="W25" s="354">
        <f t="shared" si="5"/>
        <v>400.54597701149424</v>
      </c>
      <c r="X25" s="354">
        <f t="shared" si="6"/>
        <v>399.67241379310349</v>
      </c>
      <c r="Y25" s="275"/>
      <c r="Z25" s="343"/>
      <c r="AA25" s="343"/>
      <c r="AB25" s="343"/>
      <c r="AC25" s="275"/>
      <c r="AD25" s="275"/>
      <c r="AE25" s="343"/>
      <c r="AF25" s="343"/>
      <c r="AG25" s="343"/>
      <c r="AH25" s="343"/>
      <c r="AI25" s="343"/>
      <c r="AJ25" s="343"/>
      <c r="AK25" s="343"/>
      <c r="AL25" s="343"/>
    </row>
    <row r="26" spans="2:38" s="22" customFormat="1" ht="20.45" customHeight="1">
      <c r="T26" s="343"/>
      <c r="U26" s="347">
        <v>44713</v>
      </c>
      <c r="V26" s="354"/>
      <c r="W26" s="354"/>
      <c r="X26" s="354"/>
      <c r="Y26" s="275"/>
      <c r="Z26" s="343"/>
      <c r="AA26" s="343"/>
      <c r="AB26" s="343"/>
      <c r="AC26" s="275"/>
      <c r="AD26" s="275"/>
      <c r="AE26" s="343"/>
      <c r="AF26" s="343"/>
      <c r="AG26" s="343"/>
      <c r="AH26" s="343"/>
      <c r="AI26" s="343"/>
      <c r="AJ26" s="343"/>
      <c r="AK26" s="343"/>
      <c r="AL26" s="343"/>
    </row>
    <row r="27" spans="2:38" s="22" customFormat="1" ht="20.45" customHeight="1">
      <c r="T27" s="343"/>
      <c r="U27" s="347">
        <v>44743</v>
      </c>
      <c r="V27" s="354"/>
      <c r="W27" s="354"/>
      <c r="X27" s="354"/>
      <c r="Y27" s="275"/>
      <c r="Z27" s="343"/>
      <c r="AA27" s="343"/>
      <c r="AB27" s="343"/>
      <c r="AC27" s="275"/>
      <c r="AD27" s="275"/>
      <c r="AE27" s="343"/>
      <c r="AF27" s="343"/>
      <c r="AG27" s="343"/>
      <c r="AH27" s="343"/>
      <c r="AI27" s="343"/>
      <c r="AJ27" s="343"/>
      <c r="AK27" s="343"/>
      <c r="AL27" s="343"/>
    </row>
    <row r="28" spans="2:38" s="22" customFormat="1" ht="20.45" customHeight="1">
      <c r="T28" s="343"/>
      <c r="U28" s="347">
        <v>44774</v>
      </c>
      <c r="V28" s="354"/>
      <c r="W28" s="354"/>
      <c r="X28" s="354"/>
      <c r="Y28" s="275"/>
      <c r="Z28" s="343"/>
      <c r="AA28" s="343"/>
      <c r="AB28" s="343"/>
      <c r="AC28" s="275"/>
      <c r="AD28" s="275"/>
      <c r="AE28" s="343"/>
      <c r="AF28" s="343"/>
      <c r="AG28" s="343"/>
      <c r="AH28" s="343"/>
      <c r="AI28" s="343"/>
      <c r="AJ28" s="343"/>
      <c r="AK28" s="343"/>
      <c r="AL28" s="343"/>
    </row>
    <row r="29" spans="2:38" s="22" customFormat="1" ht="20.45" customHeight="1">
      <c r="T29" s="343"/>
      <c r="U29" s="347">
        <v>44805</v>
      </c>
      <c r="V29" s="354"/>
      <c r="W29" s="354"/>
      <c r="X29" s="354"/>
      <c r="Y29" s="275"/>
      <c r="Z29" s="343"/>
      <c r="AA29" s="343"/>
      <c r="AB29" s="343"/>
      <c r="AC29" s="275"/>
      <c r="AD29" s="275"/>
      <c r="AE29" s="343"/>
      <c r="AF29" s="343"/>
      <c r="AG29" s="343"/>
      <c r="AH29" s="343"/>
      <c r="AI29" s="343"/>
      <c r="AJ29" s="343"/>
      <c r="AK29" s="343"/>
      <c r="AL29" s="343"/>
    </row>
    <row r="30" spans="2:38" s="22" customFormat="1" ht="20.45" customHeight="1">
      <c r="T30" s="343"/>
      <c r="U30" s="347">
        <v>44835</v>
      </c>
      <c r="V30" s="354"/>
      <c r="W30" s="354"/>
      <c r="X30" s="354"/>
      <c r="Y30" s="275"/>
      <c r="Z30" s="343"/>
      <c r="AA30" s="343"/>
      <c r="AB30" s="343"/>
      <c r="AC30" s="275"/>
      <c r="AD30" s="275"/>
      <c r="AE30" s="343"/>
      <c r="AF30" s="343"/>
      <c r="AG30" s="343"/>
      <c r="AH30" s="343"/>
      <c r="AI30" s="343"/>
      <c r="AJ30" s="343"/>
      <c r="AK30" s="343"/>
      <c r="AL30" s="343"/>
    </row>
    <row r="31" spans="2:38" s="22" customFormat="1" ht="20.45" customHeight="1">
      <c r="B31" s="1"/>
      <c r="T31" s="343"/>
      <c r="U31" s="347">
        <v>44866</v>
      </c>
      <c r="V31" s="354"/>
      <c r="W31" s="354"/>
      <c r="X31" s="354"/>
      <c r="Y31" s="275"/>
      <c r="Z31" s="343"/>
      <c r="AA31" s="343"/>
      <c r="AB31" s="343"/>
      <c r="AC31" s="275"/>
      <c r="AD31" s="275"/>
      <c r="AE31" s="343"/>
      <c r="AF31" s="343"/>
      <c r="AG31" s="343"/>
      <c r="AH31" s="343"/>
      <c r="AI31" s="343"/>
      <c r="AJ31" s="343"/>
      <c r="AK31" s="343"/>
      <c r="AL31" s="343"/>
    </row>
    <row r="32" spans="2:38" ht="20.45" customHeight="1">
      <c r="B32" s="383"/>
      <c r="U32" s="347">
        <v>44896</v>
      </c>
      <c r="V32" s="354">
        <f>D19</f>
        <v>347.56858974358977</v>
      </c>
      <c r="W32" s="354">
        <f>H19</f>
        <v>358.37573099415204</v>
      </c>
      <c r="X32" s="354">
        <f>L19</f>
        <v>361.29665242165242</v>
      </c>
    </row>
    <row r="33" spans="2:24" ht="20.45" customHeight="1">
      <c r="B33" s="908" t="s">
        <v>255</v>
      </c>
      <c r="C33" s="908"/>
      <c r="D33" s="908"/>
      <c r="E33" s="908"/>
      <c r="F33" s="908"/>
      <c r="G33" s="908"/>
      <c r="H33" s="908"/>
      <c r="I33" s="908"/>
      <c r="J33" s="908"/>
      <c r="K33" s="908"/>
      <c r="L33" s="908"/>
      <c r="M33" s="908"/>
      <c r="N33" s="908"/>
      <c r="O33" s="908"/>
      <c r="P33" s="908"/>
      <c r="Q33" s="908"/>
      <c r="R33" s="908"/>
      <c r="S33" s="908"/>
      <c r="U33" s="347">
        <v>44927</v>
      </c>
      <c r="V33" s="354">
        <f t="shared" ref="V33:V37" si="7">E8</f>
        <v>320.87073742540497</v>
      </c>
      <c r="W33" s="354">
        <f t="shared" ref="W33:W37" si="8">I8</f>
        <v>337.47900883838383</v>
      </c>
      <c r="X33" s="354">
        <f t="shared" ref="X33:X40" si="9">M8</f>
        <v>343.68229166666674</v>
      </c>
    </row>
    <row r="34" spans="2:24" ht="20.45" customHeight="1">
      <c r="U34" s="347">
        <v>44958</v>
      </c>
      <c r="V34" s="354">
        <f t="shared" si="7"/>
        <v>279.98397435897436</v>
      </c>
      <c r="W34" s="354">
        <f t="shared" si="8"/>
        <v>313.37179487179486</v>
      </c>
      <c r="X34" s="354">
        <f t="shared" si="9"/>
        <v>318.10683760683759</v>
      </c>
    </row>
    <row r="35" spans="2:24" ht="20.45" customHeight="1">
      <c r="U35" s="347">
        <v>44986</v>
      </c>
      <c r="V35" s="354">
        <f t="shared" si="7"/>
        <v>289.67391304347825</v>
      </c>
      <c r="W35" s="354">
        <f t="shared" si="8"/>
        <v>304.89130434782606</v>
      </c>
      <c r="X35" s="354">
        <f t="shared" si="9"/>
        <v>310.21739130434781</v>
      </c>
    </row>
    <row r="36" spans="2:24" ht="20.45" customHeight="1">
      <c r="U36" s="347">
        <v>45017</v>
      </c>
      <c r="V36" s="354">
        <f t="shared" si="7"/>
        <v>292.33333333333331</v>
      </c>
      <c r="W36" s="354">
        <f t="shared" si="8"/>
        <v>300.33333333333331</v>
      </c>
      <c r="X36" s="354">
        <f t="shared" si="9"/>
        <v>300.66666666666669</v>
      </c>
    </row>
    <row r="37" spans="2:24" ht="20.45" customHeight="1">
      <c r="U37" s="347">
        <v>45047</v>
      </c>
      <c r="V37" s="354">
        <f t="shared" si="7"/>
        <v>290</v>
      </c>
      <c r="W37" s="354">
        <f t="shared" si="8"/>
        <v>301.66666666666669</v>
      </c>
      <c r="X37" s="354">
        <f t="shared" si="9"/>
        <v>306.66666666666669</v>
      </c>
    </row>
    <row r="38" spans="2:24" ht="20.45" customHeight="1">
      <c r="U38" s="347">
        <v>45078</v>
      </c>
      <c r="V38" s="354"/>
      <c r="W38" s="354">
        <f t="shared" ref="W38:W39" si="10">I13</f>
        <v>240</v>
      </c>
      <c r="X38" s="354" t="str">
        <f t="shared" si="9"/>
        <v>*</v>
      </c>
    </row>
    <row r="39" spans="2:24" ht="20.45" customHeight="1">
      <c r="U39" s="347">
        <v>45108</v>
      </c>
      <c r="V39" s="354">
        <f>E14</f>
        <v>237.5</v>
      </c>
      <c r="W39" s="354">
        <f t="shared" si="10"/>
        <v>260.41666666666669</v>
      </c>
      <c r="X39" s="354" t="str">
        <f t="shared" si="9"/>
        <v>*</v>
      </c>
    </row>
    <row r="40" spans="2:24" ht="12.45">
      <c r="U40" s="347">
        <v>45139</v>
      </c>
      <c r="V40" s="354">
        <f>E15</f>
        <v>230</v>
      </c>
      <c r="W40" s="354">
        <f t="shared" ref="W40" si="11">I15</f>
        <v>275</v>
      </c>
      <c r="X40" s="354" t="str">
        <f t="shared" si="9"/>
        <v>*</v>
      </c>
    </row>
    <row r="41" spans="2:24" ht="12.45">
      <c r="U41" s="347">
        <v>45170</v>
      </c>
      <c r="V41" s="354" t="str">
        <f>E16</f>
        <v>*</v>
      </c>
      <c r="W41" s="354" t="str">
        <f t="shared" ref="W41" si="12">I16</f>
        <v>*</v>
      </c>
      <c r="X41" s="354" t="str">
        <f t="shared" ref="X41" si="13">M16</f>
        <v>*</v>
      </c>
    </row>
    <row r="42" spans="2:24" ht="12.45">
      <c r="U42" s="347">
        <v>45200</v>
      </c>
      <c r="V42" s="354" t="str">
        <f>E17</f>
        <v>*</v>
      </c>
      <c r="W42" s="354" t="str">
        <f t="shared" ref="W42" si="14">I17</f>
        <v>*</v>
      </c>
      <c r="X42" s="354" t="str">
        <f t="shared" ref="X42" si="15">M17</f>
        <v>*</v>
      </c>
    </row>
    <row r="43" spans="2:24" ht="12.45">
      <c r="U43" s="347">
        <v>45231</v>
      </c>
      <c r="V43" s="354" t="str">
        <f t="shared" ref="V43:V44" si="16">E18</f>
        <v>*</v>
      </c>
      <c r="W43" s="354" t="str">
        <f t="shared" ref="W43:W44" si="17">I18</f>
        <v>*</v>
      </c>
      <c r="X43" s="354" t="str">
        <f t="shared" ref="X43:X44" si="18">M18</f>
        <v>*</v>
      </c>
    </row>
    <row r="44" spans="2:24" ht="12.45">
      <c r="U44" s="347">
        <v>45261</v>
      </c>
      <c r="V44" s="354">
        <f t="shared" si="16"/>
        <v>234.16666666666663</v>
      </c>
      <c r="W44" s="354">
        <f t="shared" si="17"/>
        <v>238.5</v>
      </c>
      <c r="X44" s="354">
        <f t="shared" si="18"/>
        <v>241.875</v>
      </c>
    </row>
    <row r="45" spans="2:24" ht="12.45">
      <c r="U45" s="347">
        <v>45292</v>
      </c>
      <c r="V45" s="354">
        <f>F8</f>
        <v>223.30016887137634</v>
      </c>
      <c r="W45" s="354">
        <f>J8</f>
        <v>230.93741919844859</v>
      </c>
      <c r="X45" s="354">
        <f>N8</f>
        <v>237.07555555555555</v>
      </c>
    </row>
    <row r="46" spans="2:24" ht="12.45">
      <c r="U46" s="347">
        <v>45323</v>
      </c>
      <c r="V46" s="354">
        <f t="shared" ref="V46" si="19">F9</f>
        <v>225.27457264957266</v>
      </c>
      <c r="W46" s="354">
        <f t="shared" ref="W46" si="20">J9</f>
        <v>225.32874060565868</v>
      </c>
      <c r="X46" s="354">
        <f t="shared" ref="X46" si="21">N9</f>
        <v>234.6451461169668</v>
      </c>
    </row>
    <row r="47" spans="2:24" ht="12.45">
      <c r="U47" s="347">
        <v>45352</v>
      </c>
      <c r="V47" s="354">
        <f t="shared" ref="V47" si="22">F10</f>
        <v>227.52167080231595</v>
      </c>
      <c r="W47" s="354">
        <f t="shared" ref="W47" si="23">J10</f>
        <v>233.87344086021506</v>
      </c>
      <c r="X47" s="354">
        <f t="shared" ref="X47" si="24">N10</f>
        <v>240.35405913978494</v>
      </c>
    </row>
    <row r="48" spans="2:24" ht="12.45">
      <c r="U48" s="347">
        <v>45383</v>
      </c>
      <c r="V48" s="354">
        <f t="shared" ref="V48" si="25">F11</f>
        <v>228.20079365079368</v>
      </c>
      <c r="W48" s="354">
        <f t="shared" ref="W48" si="26">J11</f>
        <v>235.85624999999999</v>
      </c>
      <c r="X48" s="354">
        <f t="shared" ref="X48" si="27">N11</f>
        <v>240.85763888888894</v>
      </c>
    </row>
    <row r="49" spans="21:24" ht="13.75" customHeight="1">
      <c r="U49" s="347">
        <v>45413</v>
      </c>
      <c r="V49" s="354">
        <f t="shared" ref="V49" si="28">F12</f>
        <v>236.91258741258741</v>
      </c>
      <c r="W49" s="354">
        <f t="shared" ref="W49" si="29">J12</f>
        <v>241.84615384615384</v>
      </c>
      <c r="X49" s="354">
        <f t="shared" ref="X49" si="30">N12</f>
        <v>247.76282051282055</v>
      </c>
    </row>
    <row r="50" spans="21:24" ht="13.75" customHeight="1">
      <c r="U50" s="347">
        <v>45444</v>
      </c>
      <c r="V50" s="354">
        <f t="shared" ref="V50:V51" si="31">F13</f>
        <v>244.29005050505054</v>
      </c>
      <c r="W50" s="354">
        <f t="shared" ref="W50:W51" si="32">J13</f>
        <v>251.24188034188035</v>
      </c>
      <c r="X50" s="354">
        <f t="shared" ref="X50:X51" si="33">N13</f>
        <v>252.65555555555551</v>
      </c>
    </row>
    <row r="51" spans="21:24" ht="13.75" customHeight="1">
      <c r="U51" s="347">
        <v>45474</v>
      </c>
      <c r="V51" s="354">
        <f t="shared" si="31"/>
        <v>252.18700396825392</v>
      </c>
      <c r="W51" s="354">
        <f t="shared" si="32"/>
        <v>259.38988095238096</v>
      </c>
      <c r="X51" s="354">
        <f t="shared" si="33"/>
        <v>263.46726190476187</v>
      </c>
    </row>
    <row r="52" spans="21:24" ht="13.75" customHeight="1"/>
    <row r="53" spans="21:24" ht="12.8" customHeight="1"/>
    <row r="54" spans="21:24" ht="12.8" customHeight="1"/>
    <row r="55" spans="21:24" ht="15.05" customHeight="1"/>
    <row r="56" spans="21:24" ht="15.05" customHeight="1"/>
    <row r="57" spans="21:24" ht="15.05" customHeight="1"/>
    <row r="58" spans="21:24" ht="15.05" customHeight="1"/>
    <row r="59" spans="21:24" ht="15.05" customHeight="1"/>
    <row r="60" spans="21:24" ht="15.05" customHeight="1"/>
    <row r="61" spans="21:24" ht="15.05" customHeight="1"/>
    <row r="62" spans="21:24" ht="15.05" customHeight="1"/>
    <row r="63" spans="21:24" ht="15.05" customHeight="1"/>
    <row r="64" spans="21:24" ht="15.05" customHeight="1"/>
    <row r="65" ht="15.05" customHeight="1"/>
    <row r="66" ht="15.05" customHeight="1"/>
    <row r="67" ht="15.05" customHeight="1"/>
    <row r="68" ht="15.05" customHeight="1"/>
    <row r="69" ht="15.05" customHeight="1"/>
    <row r="70" ht="15.05" customHeight="1"/>
    <row r="71" ht="15.05" customHeight="1"/>
    <row r="72" ht="15.05" customHeight="1"/>
    <row r="73" ht="15.05" customHeight="1"/>
    <row r="74" ht="15.05" customHeight="1"/>
    <row r="75" ht="15.05" customHeight="1"/>
    <row r="76" ht="15.05" customHeight="1"/>
    <row r="77" ht="15.05" customHeight="1"/>
    <row r="78" ht="15.05" customHeight="1"/>
    <row r="79" ht="15.05" customHeight="1"/>
    <row r="80" ht="15.05" customHeight="1"/>
    <row r="81" ht="15.05" customHeight="1"/>
    <row r="82" ht="15.05" customHeight="1"/>
    <row r="83" ht="15.05" customHeight="1"/>
    <row r="84" ht="15.05" customHeight="1"/>
    <row r="85" ht="15.05" customHeight="1"/>
    <row r="86" ht="15.05" customHeight="1"/>
    <row r="87" ht="15.05" customHeight="1"/>
    <row r="88" ht="15.05" customHeight="1"/>
    <row r="89" ht="15.05" customHeight="1"/>
    <row r="90" ht="15.05" customHeight="1"/>
    <row r="91" ht="15.05" customHeight="1"/>
    <row r="92" ht="15.05" customHeight="1"/>
    <row r="93" ht="15.05" customHeight="1"/>
  </sheetData>
  <mergeCells count="11">
    <mergeCell ref="B20:S20"/>
    <mergeCell ref="B33:S33"/>
    <mergeCell ref="B1:S1"/>
    <mergeCell ref="B3:S3"/>
    <mergeCell ref="B4:S4"/>
    <mergeCell ref="B5:S5"/>
    <mergeCell ref="B6:B7"/>
    <mergeCell ref="O6:S6"/>
    <mergeCell ref="C6:E6"/>
    <mergeCell ref="G6:I6"/>
    <mergeCell ref="K6:M6"/>
  </mergeCells>
  <printOptions horizontalCentered="1"/>
  <pageMargins left="0.59055118110236227" right="0.59055118110236227" top="0.62992125984251968" bottom="0.78740157480314965" header="0.51181102362204722" footer="0.59055118110236227"/>
  <pageSetup paperSize="126" scale="54" firstPageNumber="0" orientation="portrait" r:id="rId1"/>
  <headerFooter alignWithMargins="0">
    <oddFooter>&amp;C&amp;10&amp;A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O80"/>
  <sheetViews>
    <sheetView zoomScale="80" zoomScaleNormal="80" zoomScaleSheetLayoutView="75" zoomScalePageLayoutView="90" workbookViewId="0">
      <selection activeCell="O28" sqref="O28"/>
    </sheetView>
  </sheetViews>
  <sheetFormatPr baseColWidth="10" defaultColWidth="10.9140625" defaultRowHeight="11.8"/>
  <cols>
    <col min="1" max="1" width="1.33203125" style="1" customWidth="1"/>
    <col min="2" max="2" width="10.4140625" style="1" customWidth="1"/>
    <col min="3" max="3" width="5" style="1" customWidth="1"/>
    <col min="4" max="4" width="5.08203125" style="1" customWidth="1"/>
    <col min="5" max="5" width="6.1640625" style="1" bestFit="1" customWidth="1"/>
    <col min="6" max="6" width="5.1640625" style="1" customWidth="1"/>
    <col min="7" max="10" width="4.1640625" style="1" customWidth="1"/>
    <col min="11" max="11" width="4.9140625" style="1" customWidth="1"/>
    <col min="12" max="12" width="4" style="1" customWidth="1"/>
    <col min="13" max="13" width="6.1640625" style="1" bestFit="1" customWidth="1"/>
    <col min="14" max="14" width="5.1640625" style="1" customWidth="1"/>
    <col min="15" max="15" width="3.4140625" style="1" bestFit="1" customWidth="1"/>
    <col min="16" max="18" width="5" style="1" customWidth="1"/>
    <col min="19" max="19" width="4.08203125" style="1" customWidth="1"/>
    <col min="20" max="22" width="4.33203125" style="1" customWidth="1"/>
    <col min="23" max="23" width="4.4140625" style="1" customWidth="1"/>
    <col min="24" max="24" width="5.25" style="1" customWidth="1"/>
    <col min="25" max="25" width="4.58203125" style="1" customWidth="1"/>
    <col min="26" max="26" width="3.83203125" style="1" customWidth="1"/>
    <col min="27" max="36" width="5.6640625" style="1" customWidth="1"/>
    <col min="37" max="37" width="4.9140625" style="1" customWidth="1"/>
    <col min="38" max="38" width="4.75" style="1" customWidth="1"/>
    <col min="39" max="16384" width="10.9140625" style="1"/>
  </cols>
  <sheetData>
    <row r="1" spans="2:41" s="15" customFormat="1" ht="13.1">
      <c r="B1" s="791" t="s">
        <v>256</v>
      </c>
      <c r="C1" s="791"/>
      <c r="D1" s="791"/>
      <c r="E1" s="791"/>
      <c r="F1" s="791"/>
      <c r="G1" s="791"/>
      <c r="H1" s="791"/>
      <c r="I1" s="791"/>
      <c r="J1" s="791"/>
      <c r="K1" s="791"/>
      <c r="L1" s="791"/>
      <c r="M1" s="791"/>
      <c r="N1" s="791"/>
      <c r="O1" s="791"/>
      <c r="P1" s="791"/>
      <c r="Q1" s="791"/>
      <c r="R1" s="791"/>
      <c r="S1" s="791"/>
      <c r="T1" s="791"/>
      <c r="U1" s="791"/>
      <c r="V1" s="791"/>
      <c r="W1" s="791"/>
      <c r="X1" s="791"/>
      <c r="Y1" s="791"/>
      <c r="Z1" s="791"/>
    </row>
    <row r="2" spans="2:41" s="15" customFormat="1" ht="13.1">
      <c r="B2" s="17"/>
      <c r="C2" s="17"/>
      <c r="D2" s="17"/>
      <c r="E2" s="17"/>
      <c r="F2" s="17"/>
      <c r="G2" s="17"/>
      <c r="H2" s="17"/>
      <c r="I2" s="17"/>
      <c r="J2" s="17"/>
      <c r="K2" s="17"/>
      <c r="L2" s="17"/>
      <c r="M2" s="17"/>
      <c r="N2" s="17"/>
      <c r="O2" s="17"/>
      <c r="P2" s="17"/>
      <c r="Q2" s="17"/>
      <c r="R2" s="17"/>
      <c r="S2" s="17"/>
      <c r="T2" s="17"/>
      <c r="U2" s="17"/>
      <c r="V2" s="17"/>
      <c r="W2" s="17"/>
      <c r="X2" s="17"/>
      <c r="Y2" s="17"/>
    </row>
    <row r="3" spans="2:41" s="15" customFormat="1" ht="18.350000000000001" customHeight="1">
      <c r="B3" s="791" t="s">
        <v>257</v>
      </c>
      <c r="C3" s="791"/>
      <c r="D3" s="791"/>
      <c r="E3" s="791"/>
      <c r="F3" s="791"/>
      <c r="G3" s="791"/>
      <c r="H3" s="791"/>
      <c r="I3" s="791"/>
      <c r="J3" s="791"/>
      <c r="K3" s="791"/>
      <c r="L3" s="791"/>
      <c r="M3" s="791"/>
      <c r="N3" s="791"/>
      <c r="O3" s="791"/>
      <c r="P3" s="791"/>
      <c r="Q3" s="791"/>
      <c r="R3" s="791"/>
      <c r="S3" s="791"/>
      <c r="T3" s="791"/>
      <c r="U3" s="791"/>
      <c r="V3" s="791"/>
      <c r="W3" s="791"/>
      <c r="X3" s="791"/>
      <c r="Y3" s="791"/>
      <c r="Z3" s="791"/>
    </row>
    <row r="4" spans="2:41" s="15" customFormat="1" ht="17.2" customHeight="1">
      <c r="B4" s="808" t="s">
        <v>252</v>
      </c>
      <c r="C4" s="808"/>
      <c r="D4" s="808"/>
      <c r="E4" s="808"/>
      <c r="F4" s="808"/>
      <c r="G4" s="808"/>
      <c r="H4" s="808"/>
      <c r="I4" s="808"/>
      <c r="J4" s="808"/>
      <c r="K4" s="808"/>
      <c r="L4" s="808"/>
      <c r="M4" s="808"/>
      <c r="N4" s="808"/>
      <c r="O4" s="808"/>
      <c r="P4" s="808"/>
      <c r="Q4" s="808"/>
      <c r="R4" s="808"/>
      <c r="S4" s="808"/>
      <c r="T4" s="808"/>
      <c r="U4" s="808"/>
      <c r="V4" s="808"/>
      <c r="W4" s="808"/>
      <c r="X4" s="808"/>
      <c r="Y4" s="808"/>
      <c r="Z4" s="808"/>
    </row>
    <row r="5" spans="2:41" s="14" customFormat="1" ht="35.700000000000003" customHeight="1">
      <c r="B5" s="909" t="s">
        <v>211</v>
      </c>
      <c r="C5" s="911" t="s">
        <v>258</v>
      </c>
      <c r="D5" s="912"/>
      <c r="E5" s="912"/>
      <c r="F5" s="913"/>
      <c r="G5" s="911" t="s">
        <v>259</v>
      </c>
      <c r="H5" s="912"/>
      <c r="I5" s="912"/>
      <c r="J5" s="913"/>
      <c r="K5" s="911" t="s">
        <v>260</v>
      </c>
      <c r="L5" s="912"/>
      <c r="M5" s="912"/>
      <c r="N5" s="913"/>
      <c r="O5" s="911" t="s">
        <v>261</v>
      </c>
      <c r="P5" s="912"/>
      <c r="Q5" s="912"/>
      <c r="R5" s="913"/>
      <c r="S5" s="911" t="s">
        <v>262</v>
      </c>
      <c r="T5" s="912"/>
      <c r="U5" s="912"/>
      <c r="V5" s="913"/>
      <c r="W5" s="911" t="s">
        <v>164</v>
      </c>
      <c r="X5" s="912"/>
      <c r="Y5" s="912"/>
      <c r="Z5" s="913"/>
      <c r="AA5" s="20"/>
      <c r="AB5" s="22"/>
      <c r="AC5" s="22"/>
      <c r="AD5" s="22"/>
      <c r="AE5" s="20"/>
      <c r="AF5" s="22"/>
      <c r="AG5" s="22"/>
      <c r="AH5" s="22"/>
      <c r="AI5" s="22"/>
      <c r="AJ5" s="22"/>
      <c r="AK5" s="22"/>
      <c r="AL5" s="22"/>
      <c r="AM5" s="22"/>
      <c r="AN5" s="22"/>
      <c r="AO5" s="22"/>
    </row>
    <row r="6" spans="2:41" s="14" customFormat="1" ht="42.05" customHeight="1">
      <c r="B6" s="909"/>
      <c r="C6" s="283">
        <v>2021</v>
      </c>
      <c r="D6" s="283">
        <v>2022</v>
      </c>
      <c r="E6" s="283">
        <v>2023</v>
      </c>
      <c r="F6" s="283">
        <v>2024</v>
      </c>
      <c r="G6" s="283">
        <v>2021</v>
      </c>
      <c r="H6" s="283">
        <v>2022</v>
      </c>
      <c r="I6" s="283">
        <v>2023</v>
      </c>
      <c r="J6" s="283">
        <v>2024</v>
      </c>
      <c r="K6" s="283">
        <v>2021</v>
      </c>
      <c r="L6" s="283">
        <v>2022</v>
      </c>
      <c r="M6" s="283">
        <v>2023</v>
      </c>
      <c r="N6" s="283">
        <v>2024</v>
      </c>
      <c r="O6" s="283">
        <v>2021</v>
      </c>
      <c r="P6" s="283">
        <v>2022</v>
      </c>
      <c r="Q6" s="283">
        <v>2023</v>
      </c>
      <c r="R6" s="283">
        <v>2024</v>
      </c>
      <c r="S6" s="283">
        <v>2021</v>
      </c>
      <c r="T6" s="283">
        <v>2022</v>
      </c>
      <c r="U6" s="283">
        <v>2023</v>
      </c>
      <c r="V6" s="283">
        <v>2024</v>
      </c>
      <c r="W6" s="283">
        <v>2021</v>
      </c>
      <c r="X6" s="283">
        <v>2022</v>
      </c>
      <c r="Y6" s="283">
        <v>2023</v>
      </c>
      <c r="Z6" s="283">
        <v>2024</v>
      </c>
      <c r="AA6" s="22"/>
      <c r="AB6" s="22"/>
      <c r="AC6" s="22"/>
      <c r="AD6" s="22"/>
      <c r="AE6" s="22"/>
      <c r="AF6" s="22"/>
      <c r="AG6" s="22"/>
      <c r="AH6" s="22"/>
      <c r="AI6" s="22"/>
      <c r="AJ6" s="22"/>
      <c r="AK6" s="22"/>
      <c r="AL6" s="22"/>
      <c r="AM6" s="22"/>
      <c r="AN6" s="22"/>
      <c r="AO6" s="22"/>
    </row>
    <row r="7" spans="2:41" s="14" customFormat="1" ht="15.75" customHeight="1">
      <c r="B7" s="24" t="s">
        <v>212</v>
      </c>
      <c r="C7" s="392">
        <v>205.9375</v>
      </c>
      <c r="D7" s="392">
        <v>311.08832565284177</v>
      </c>
      <c r="E7" s="392">
        <v>350.7</v>
      </c>
      <c r="F7" s="392">
        <v>247.20833333333331</v>
      </c>
      <c r="G7" s="392">
        <v>193.80454545454549</v>
      </c>
      <c r="H7" s="392">
        <v>298.97258064516132</v>
      </c>
      <c r="I7" s="392">
        <v>333.88125000000002</v>
      </c>
      <c r="J7" s="392">
        <v>226.45277777777778</v>
      </c>
      <c r="K7" s="392">
        <v>191.33333333333331</v>
      </c>
      <c r="L7" s="392">
        <v>290.39032258064515</v>
      </c>
      <c r="M7" s="392">
        <v>341.1875</v>
      </c>
      <c r="N7" s="392">
        <v>221.14166666666668</v>
      </c>
      <c r="O7" s="392">
        <v>190.6875</v>
      </c>
      <c r="P7" s="392">
        <v>302.01136712749621</v>
      </c>
      <c r="Q7" s="392">
        <v>331.33333333333337</v>
      </c>
      <c r="R7" s="392">
        <v>217.2222222222222</v>
      </c>
      <c r="S7" s="392">
        <v>188.66666666666669</v>
      </c>
      <c r="T7" s="392">
        <v>298.35591133004925</v>
      </c>
      <c r="U7" s="392">
        <v>324.875</v>
      </c>
      <c r="V7" s="392">
        <v>225</v>
      </c>
      <c r="W7" s="392">
        <v>195.03810664112387</v>
      </c>
      <c r="X7" s="392">
        <v>302.83298429290295</v>
      </c>
      <c r="Y7" s="392">
        <v>337.47900883838383</v>
      </c>
      <c r="Z7" s="392">
        <v>230.93741919844859</v>
      </c>
      <c r="AA7" s="22"/>
      <c r="AB7" s="11"/>
      <c r="AC7" s="22"/>
      <c r="AD7" s="502"/>
      <c r="AE7" s="502"/>
      <c r="AF7" s="502"/>
      <c r="AG7" s="502"/>
      <c r="AH7" s="502"/>
      <c r="AI7" s="502"/>
      <c r="AJ7" s="502"/>
      <c r="AK7" s="502"/>
      <c r="AL7" s="502"/>
      <c r="AM7" s="502"/>
      <c r="AN7" s="502"/>
      <c r="AO7" s="502"/>
    </row>
    <row r="8" spans="2:41" s="14" customFormat="1" ht="15.75" customHeight="1">
      <c r="B8" s="24" t="s">
        <v>213</v>
      </c>
      <c r="C8" s="392">
        <v>213.75</v>
      </c>
      <c r="D8" s="392">
        <v>314.15816326530614</v>
      </c>
      <c r="E8" s="552" t="s">
        <v>263</v>
      </c>
      <c r="F8" s="392">
        <v>252.39583333333331</v>
      </c>
      <c r="G8" s="392">
        <v>195.34920634920633</v>
      </c>
      <c r="H8" s="392">
        <v>297.27023809523814</v>
      </c>
      <c r="I8" s="392">
        <v>299.74358974358978</v>
      </c>
      <c r="J8" s="392">
        <v>230.44548611111114</v>
      </c>
      <c r="K8" s="392">
        <v>194.20833333333331</v>
      </c>
      <c r="L8" s="392">
        <v>295.36488095238099</v>
      </c>
      <c r="M8" s="392">
        <v>334</v>
      </c>
      <c r="N8" s="392">
        <v>227.94583333333333</v>
      </c>
      <c r="O8" s="392">
        <v>193.21250000000001</v>
      </c>
      <c r="P8" s="392">
        <v>300.20408163265307</v>
      </c>
      <c r="Q8" s="392">
        <v>312.10526315789474</v>
      </c>
      <c r="R8" s="392">
        <v>225.07638888888891</v>
      </c>
      <c r="S8" s="392">
        <v>196.71845238095241</v>
      </c>
      <c r="T8" s="392">
        <v>307.44982993197283</v>
      </c>
      <c r="U8" s="392">
        <v>310.19230769230768</v>
      </c>
      <c r="V8" s="392">
        <v>227.29791666666668</v>
      </c>
      <c r="W8" s="392">
        <v>197.594057537743</v>
      </c>
      <c r="X8" s="392">
        <v>302.96309112589893</v>
      </c>
      <c r="Y8" s="392">
        <v>313.37179487179486</v>
      </c>
      <c r="Z8" s="392">
        <v>225.32874060565868</v>
      </c>
      <c r="AA8" s="22"/>
      <c r="AB8" s="11"/>
      <c r="AC8" s="22"/>
      <c r="AD8" s="502" t="s">
        <v>97</v>
      </c>
      <c r="AE8" s="502"/>
      <c r="AF8" s="502"/>
      <c r="AG8" s="502"/>
      <c r="AH8" s="502"/>
      <c r="AI8" s="502"/>
      <c r="AJ8" s="502"/>
      <c r="AK8" s="502"/>
      <c r="AL8" s="502"/>
      <c r="AM8" s="502"/>
      <c r="AN8" s="502"/>
      <c r="AO8" s="502"/>
    </row>
    <row r="9" spans="2:41" s="14" customFormat="1" ht="15.75" customHeight="1">
      <c r="B9" s="24" t="s">
        <v>214</v>
      </c>
      <c r="C9" s="552" t="s">
        <v>263</v>
      </c>
      <c r="D9" s="392">
        <v>321.02150537634407</v>
      </c>
      <c r="E9" s="552" t="s">
        <v>263</v>
      </c>
      <c r="F9" s="552"/>
      <c r="G9" s="392">
        <v>198</v>
      </c>
      <c r="H9" s="392">
        <v>305.41935483870964</v>
      </c>
      <c r="I9" s="392">
        <v>303.69565217391306</v>
      </c>
      <c r="J9" s="392">
        <v>236.23790322580643</v>
      </c>
      <c r="K9" s="392">
        <v>198.19892473118279</v>
      </c>
      <c r="L9" s="392">
        <v>295.25</v>
      </c>
      <c r="M9" s="552" t="s">
        <v>263</v>
      </c>
      <c r="N9" s="392">
        <v>226.37096774193549</v>
      </c>
      <c r="O9" s="392">
        <v>198.51612903225808</v>
      </c>
      <c r="P9" s="392">
        <v>298.53333333333336</v>
      </c>
      <c r="Q9" s="392">
        <v>300</v>
      </c>
      <c r="R9" s="392">
        <v>234.59677419354838</v>
      </c>
      <c r="S9" s="392">
        <v>201.6021505376344</v>
      </c>
      <c r="T9" s="392">
        <v>308.16129032258067</v>
      </c>
      <c r="U9" s="392">
        <v>315</v>
      </c>
      <c r="V9" s="392">
        <v>231.11290322580643</v>
      </c>
      <c r="W9" s="392">
        <v>201.09551971326164</v>
      </c>
      <c r="X9" s="392">
        <v>308.17002688172045</v>
      </c>
      <c r="Y9" s="392">
        <v>304.89130434782606</v>
      </c>
      <c r="Z9" s="392">
        <v>233.87344086021506</v>
      </c>
      <c r="AA9" s="343"/>
      <c r="AB9" s="11"/>
      <c r="AC9" s="694"/>
      <c r="AD9" s="502"/>
      <c r="AE9" s="502"/>
      <c r="AF9" s="502"/>
      <c r="AG9" s="502"/>
      <c r="AH9" s="502"/>
      <c r="AI9" s="502"/>
      <c r="AJ9" s="502"/>
      <c r="AK9" s="502"/>
      <c r="AL9" s="502"/>
      <c r="AM9" s="502"/>
      <c r="AN9" s="502"/>
      <c r="AO9" s="502"/>
    </row>
    <row r="10" spans="2:41" s="14" customFormat="1" ht="15.75" customHeight="1">
      <c r="B10" s="24" t="s">
        <v>215</v>
      </c>
      <c r="C10" s="552" t="s">
        <v>263</v>
      </c>
      <c r="D10" s="392">
        <v>321.66666666666669</v>
      </c>
      <c r="E10" s="552" t="s">
        <v>263</v>
      </c>
      <c r="F10" s="392">
        <v>255</v>
      </c>
      <c r="G10" s="392"/>
      <c r="H10" s="392">
        <v>308</v>
      </c>
      <c r="I10" s="392">
        <v>295.66666666666669</v>
      </c>
      <c r="J10" s="392">
        <v>238.5</v>
      </c>
      <c r="K10" s="392">
        <v>203.48888888888888</v>
      </c>
      <c r="L10" s="552" t="s">
        <v>263</v>
      </c>
      <c r="M10" s="552" t="s">
        <v>263</v>
      </c>
      <c r="N10" s="392">
        <v>228.75</v>
      </c>
      <c r="O10" s="392">
        <v>201</v>
      </c>
      <c r="P10" s="392">
        <v>350</v>
      </c>
      <c r="Q10" s="392">
        <v>300</v>
      </c>
      <c r="R10" s="392">
        <v>242</v>
      </c>
      <c r="S10" s="392">
        <v>201</v>
      </c>
      <c r="T10" s="392">
        <v>317</v>
      </c>
      <c r="U10" s="552" t="s">
        <v>263</v>
      </c>
      <c r="V10" s="392">
        <v>231.125</v>
      </c>
      <c r="W10" s="392">
        <v>205.39523809523808</v>
      </c>
      <c r="X10" s="392">
        <v>319.00555555555559</v>
      </c>
      <c r="Y10" s="392">
        <v>300.33333333333331</v>
      </c>
      <c r="Z10" s="392">
        <v>235.85624999999999</v>
      </c>
      <c r="AA10" s="26"/>
      <c r="AB10" s="22"/>
      <c r="AC10" s="22" t="s">
        <v>97</v>
      </c>
      <c r="AD10" s="502"/>
      <c r="AE10" s="502"/>
      <c r="AF10" s="502"/>
      <c r="AG10" s="502"/>
      <c r="AH10" s="502"/>
      <c r="AI10" s="502"/>
      <c r="AJ10" s="502"/>
      <c r="AK10" s="502"/>
      <c r="AL10" s="502"/>
      <c r="AM10" s="502"/>
      <c r="AN10" s="502"/>
      <c r="AO10" s="502"/>
    </row>
    <row r="11" spans="2:41" s="14" customFormat="1" ht="15.75" customHeight="1">
      <c r="B11" s="24" t="s">
        <v>216</v>
      </c>
      <c r="C11" s="552" t="s">
        <v>263</v>
      </c>
      <c r="D11" s="392">
        <v>430</v>
      </c>
      <c r="E11" s="552" t="s">
        <v>263</v>
      </c>
      <c r="F11" s="392">
        <v>255</v>
      </c>
      <c r="G11" s="552" t="s">
        <v>263</v>
      </c>
      <c r="H11" s="552" t="s">
        <v>263</v>
      </c>
      <c r="I11" s="392">
        <v>301.66666666666669</v>
      </c>
      <c r="J11" s="552" t="s">
        <v>263</v>
      </c>
      <c r="K11" s="392">
        <v>208.20138888888886</v>
      </c>
      <c r="L11" s="552" t="s">
        <v>263</v>
      </c>
      <c r="M11" s="552" t="s">
        <v>263</v>
      </c>
      <c r="N11" s="392">
        <v>230.67307692307691</v>
      </c>
      <c r="O11" s="392">
        <v>198.0625</v>
      </c>
      <c r="P11" s="392">
        <v>350</v>
      </c>
      <c r="Q11" s="392">
        <v>300</v>
      </c>
      <c r="R11" s="392">
        <v>250</v>
      </c>
      <c r="S11" s="392">
        <v>201</v>
      </c>
      <c r="T11" s="392">
        <v>386.89655172413791</v>
      </c>
      <c r="U11" s="552" t="s">
        <v>263</v>
      </c>
      <c r="V11" s="392">
        <v>232.69230769230771</v>
      </c>
      <c r="W11" s="392">
        <v>208.30208333333331</v>
      </c>
      <c r="X11" s="392">
        <v>400.54597701149424</v>
      </c>
      <c r="Y11" s="392">
        <v>301.66666666666669</v>
      </c>
      <c r="Z11" s="392">
        <v>241.84615384615384</v>
      </c>
      <c r="AA11" s="225"/>
      <c r="AB11" s="22"/>
      <c r="AC11" s="22"/>
      <c r="AD11" s="502"/>
      <c r="AE11" s="502"/>
      <c r="AF11" s="502"/>
      <c r="AG11" s="502"/>
      <c r="AH11" s="502"/>
      <c r="AI11" s="502"/>
      <c r="AJ11" s="502"/>
      <c r="AK11" s="502"/>
      <c r="AL11" s="502"/>
      <c r="AM11" s="502"/>
      <c r="AN11" s="502"/>
      <c r="AO11" s="502"/>
    </row>
    <row r="12" spans="2:41" s="14" customFormat="1" ht="15.75" customHeight="1">
      <c r="B12" s="24" t="s">
        <v>217</v>
      </c>
      <c r="C12" s="392">
        <v>240</v>
      </c>
      <c r="D12" s="552" t="s">
        <v>263</v>
      </c>
      <c r="E12" s="552" t="s">
        <v>263</v>
      </c>
      <c r="F12" s="392">
        <v>263.63333333333333</v>
      </c>
      <c r="G12" s="552" t="s">
        <v>263</v>
      </c>
      <c r="H12" s="552" t="s">
        <v>263</v>
      </c>
      <c r="I12" s="552" t="s">
        <v>263</v>
      </c>
      <c r="J12" s="552" t="s">
        <v>263</v>
      </c>
      <c r="K12" s="392">
        <v>210.93333333333331</v>
      </c>
      <c r="L12" s="552" t="s">
        <v>263</v>
      </c>
      <c r="M12" s="552" t="s">
        <v>263</v>
      </c>
      <c r="N12" s="392">
        <v>233.08333333333331</v>
      </c>
      <c r="O12" s="392">
        <v>207.5</v>
      </c>
      <c r="P12" s="552" t="s">
        <v>263</v>
      </c>
      <c r="Q12" s="552" t="s">
        <v>263</v>
      </c>
      <c r="R12" s="392">
        <v>250</v>
      </c>
      <c r="S12" s="392">
        <v>201</v>
      </c>
      <c r="T12" s="552" t="s">
        <v>263</v>
      </c>
      <c r="U12" s="392">
        <v>240</v>
      </c>
      <c r="V12" s="392">
        <v>249.33333333333331</v>
      </c>
      <c r="W12" s="392">
        <v>212.06726190476192</v>
      </c>
      <c r="X12" s="552" t="s">
        <v>263</v>
      </c>
      <c r="Y12" s="392">
        <v>240</v>
      </c>
      <c r="Z12" s="392">
        <v>251.24188034188035</v>
      </c>
      <c r="AA12" s="26" t="s">
        <v>97</v>
      </c>
      <c r="AB12" s="22"/>
      <c r="AC12" s="22"/>
      <c r="AD12" s="502" t="s">
        <v>97</v>
      </c>
      <c r="AE12" s="502"/>
      <c r="AF12" s="502"/>
      <c r="AG12" s="502"/>
      <c r="AH12" s="502"/>
      <c r="AI12" s="502"/>
      <c r="AJ12" s="502"/>
      <c r="AK12" s="502"/>
      <c r="AL12" s="502"/>
      <c r="AM12" s="502"/>
      <c r="AN12" s="502"/>
      <c r="AO12" s="502"/>
    </row>
    <row r="13" spans="2:41" s="14" customFormat="1" ht="15.75" customHeight="1">
      <c r="B13" s="24" t="s">
        <v>218</v>
      </c>
      <c r="C13" s="392">
        <v>240</v>
      </c>
      <c r="D13" s="552" t="s">
        <v>263</v>
      </c>
      <c r="E13" s="392">
        <v>263.75</v>
      </c>
      <c r="F13" s="392">
        <v>269.75</v>
      </c>
      <c r="G13" s="552" t="s">
        <v>263</v>
      </c>
      <c r="H13" s="552" t="s">
        <v>263</v>
      </c>
      <c r="I13" s="552" t="s">
        <v>263</v>
      </c>
      <c r="J13" s="552" t="s">
        <v>263</v>
      </c>
      <c r="K13" s="392">
        <v>218.72849462365593</v>
      </c>
      <c r="L13" s="552" t="s">
        <v>263</v>
      </c>
      <c r="M13" s="552" t="s">
        <v>263</v>
      </c>
      <c r="N13" s="392">
        <v>250.41666666666669</v>
      </c>
      <c r="O13" s="392">
        <v>196.20967741935485</v>
      </c>
      <c r="P13" s="552" t="s">
        <v>263</v>
      </c>
      <c r="Q13" s="552" t="s">
        <v>263</v>
      </c>
      <c r="R13" s="552" t="s">
        <v>263</v>
      </c>
      <c r="S13" s="392">
        <v>224.51612903225808</v>
      </c>
      <c r="T13" s="552" t="s">
        <v>263</v>
      </c>
      <c r="U13" s="392">
        <v>240</v>
      </c>
      <c r="V13" s="392">
        <v>250</v>
      </c>
      <c r="W13" s="392">
        <v>221.21300563236045</v>
      </c>
      <c r="X13" s="552" t="s">
        <v>263</v>
      </c>
      <c r="Y13" s="392">
        <v>260.41666666666669</v>
      </c>
      <c r="Z13" s="392">
        <v>259.38988095238096</v>
      </c>
      <c r="AA13" s="92" t="s">
        <v>97</v>
      </c>
      <c r="AB13" s="22"/>
      <c r="AC13" s="22"/>
      <c r="AD13" s="502" t="s">
        <v>97</v>
      </c>
      <c r="AE13" s="502"/>
      <c r="AF13" s="502"/>
      <c r="AG13" s="502"/>
      <c r="AH13" s="502"/>
      <c r="AI13" s="502"/>
      <c r="AJ13" s="502"/>
      <c r="AK13" s="502"/>
      <c r="AL13" s="502"/>
      <c r="AM13" s="502"/>
      <c r="AN13" s="502"/>
      <c r="AO13" s="502"/>
    </row>
    <row r="14" spans="2:41" s="14" customFormat="1" ht="15.75" customHeight="1">
      <c r="B14" s="24" t="s">
        <v>219</v>
      </c>
      <c r="C14" s="392">
        <v>255.36666666666667</v>
      </c>
      <c r="D14" s="552" t="s">
        <v>263</v>
      </c>
      <c r="E14" s="392">
        <v>275</v>
      </c>
      <c r="F14" s="392"/>
      <c r="G14" s="552" t="s">
        <v>263</v>
      </c>
      <c r="H14" s="552" t="s">
        <v>263</v>
      </c>
      <c r="I14" s="552" t="s">
        <v>263</v>
      </c>
      <c r="J14" s="552"/>
      <c r="K14" s="392">
        <v>229.37096774193549</v>
      </c>
      <c r="L14" s="552" t="s">
        <v>263</v>
      </c>
      <c r="M14" s="552" t="s">
        <v>263</v>
      </c>
      <c r="N14" s="552"/>
      <c r="O14" s="392">
        <v>209.35483870967744</v>
      </c>
      <c r="P14" s="552" t="s">
        <v>263</v>
      </c>
      <c r="Q14" s="552" t="s">
        <v>263</v>
      </c>
      <c r="R14" s="552"/>
      <c r="S14" s="392">
        <v>241.67741935483872</v>
      </c>
      <c r="T14" s="552" t="s">
        <v>263</v>
      </c>
      <c r="U14" s="552" t="s">
        <v>263</v>
      </c>
      <c r="V14" s="552"/>
      <c r="W14" s="392">
        <v>239.81566820276501</v>
      </c>
      <c r="X14" s="552" t="s">
        <v>263</v>
      </c>
      <c r="Y14" s="392">
        <v>275</v>
      </c>
      <c r="Z14" s="392"/>
      <c r="AA14" s="92"/>
      <c r="AB14" s="22"/>
      <c r="AC14" s="22"/>
      <c r="AD14" s="502"/>
      <c r="AE14" s="502"/>
      <c r="AF14" s="502"/>
      <c r="AG14" s="502"/>
      <c r="AH14" s="502"/>
      <c r="AI14" s="502"/>
      <c r="AJ14" s="502"/>
      <c r="AK14" s="502"/>
      <c r="AL14" s="502"/>
      <c r="AM14" s="502"/>
      <c r="AN14" s="502"/>
      <c r="AO14" s="502"/>
    </row>
    <row r="15" spans="2:41" s="14" customFormat="1" ht="15.75" customHeight="1">
      <c r="B15" s="24" t="s">
        <v>220</v>
      </c>
      <c r="C15" s="392">
        <v>271.10000000000002</v>
      </c>
      <c r="D15" s="552" t="s">
        <v>263</v>
      </c>
      <c r="E15" s="552" t="s">
        <v>263</v>
      </c>
      <c r="F15" s="552"/>
      <c r="G15" s="552" t="s">
        <v>263</v>
      </c>
      <c r="H15" s="552" t="s">
        <v>263</v>
      </c>
      <c r="I15" s="552" t="s">
        <v>263</v>
      </c>
      <c r="J15" s="552"/>
      <c r="K15" s="392">
        <v>231.25</v>
      </c>
      <c r="L15" s="552" t="s">
        <v>263</v>
      </c>
      <c r="M15" s="552" t="s">
        <v>263</v>
      </c>
      <c r="N15" s="552"/>
      <c r="O15" s="392">
        <v>210</v>
      </c>
      <c r="P15" s="552" t="s">
        <v>263</v>
      </c>
      <c r="Q15" s="552" t="s">
        <v>263</v>
      </c>
      <c r="R15" s="552"/>
      <c r="S15" s="392">
        <v>256.16666666666669</v>
      </c>
      <c r="T15" s="552" t="s">
        <v>263</v>
      </c>
      <c r="U15" s="552" t="s">
        <v>263</v>
      </c>
      <c r="V15" s="552"/>
      <c r="W15" s="392">
        <v>249.5</v>
      </c>
      <c r="X15" s="552" t="s">
        <v>263</v>
      </c>
      <c r="Y15" s="552" t="s">
        <v>263</v>
      </c>
      <c r="Z15" s="552"/>
      <c r="AA15" s="22"/>
      <c r="AB15" s="22"/>
      <c r="AC15" s="22" t="s">
        <v>97</v>
      </c>
      <c r="AD15" s="502"/>
      <c r="AE15" s="502"/>
      <c r="AF15" s="502"/>
      <c r="AG15" s="502"/>
      <c r="AH15" s="502"/>
      <c r="AI15" s="502"/>
      <c r="AJ15" s="502"/>
      <c r="AK15" s="502"/>
      <c r="AL15" s="502"/>
      <c r="AM15" s="502"/>
      <c r="AN15" s="502"/>
      <c r="AO15" s="502"/>
    </row>
    <row r="16" spans="2:41" s="14" customFormat="1" ht="15.75" customHeight="1">
      <c r="B16" s="24" t="s">
        <v>221</v>
      </c>
      <c r="C16" s="392">
        <v>299.58064516129036</v>
      </c>
      <c r="D16" s="552" t="s">
        <v>263</v>
      </c>
      <c r="E16" s="552" t="s">
        <v>263</v>
      </c>
      <c r="F16" s="552"/>
      <c r="G16" s="552" t="s">
        <v>263</v>
      </c>
      <c r="H16" s="552" t="s">
        <v>263</v>
      </c>
      <c r="I16" s="552" t="s">
        <v>263</v>
      </c>
      <c r="J16" s="552"/>
      <c r="K16" s="392">
        <v>240.78225806451613</v>
      </c>
      <c r="L16" s="552" t="s">
        <v>263</v>
      </c>
      <c r="M16" s="552" t="s">
        <v>263</v>
      </c>
      <c r="N16" s="552"/>
      <c r="O16" s="392">
        <v>210</v>
      </c>
      <c r="P16" s="552" t="s">
        <v>263</v>
      </c>
      <c r="Q16" s="552" t="s">
        <v>263</v>
      </c>
      <c r="R16" s="552"/>
      <c r="S16" s="392">
        <v>267</v>
      </c>
      <c r="T16" s="552" t="s">
        <v>263</v>
      </c>
      <c r="U16" s="552" t="s">
        <v>263</v>
      </c>
      <c r="V16" s="552"/>
      <c r="W16" s="392">
        <v>264.58774845226452</v>
      </c>
      <c r="X16" s="552" t="s">
        <v>263</v>
      </c>
      <c r="Y16" s="552" t="s">
        <v>263</v>
      </c>
      <c r="Z16" s="552"/>
      <c r="AA16" s="22"/>
      <c r="AB16" s="22"/>
      <c r="AC16" s="26"/>
      <c r="AD16" s="502"/>
      <c r="AE16" s="502"/>
      <c r="AF16" s="502"/>
      <c r="AG16" s="502"/>
      <c r="AH16" s="502"/>
      <c r="AI16" s="502"/>
      <c r="AJ16" s="502"/>
      <c r="AK16" s="502"/>
      <c r="AL16" s="502"/>
      <c r="AM16" s="502"/>
      <c r="AN16" s="502"/>
      <c r="AO16" s="502"/>
    </row>
    <row r="17" spans="2:41" s="14" customFormat="1" ht="15.75" customHeight="1">
      <c r="B17" s="24" t="s">
        <v>206</v>
      </c>
      <c r="C17" s="392">
        <v>307.5</v>
      </c>
      <c r="D17" s="552" t="s">
        <v>263</v>
      </c>
      <c r="E17" s="552" t="s">
        <v>263</v>
      </c>
      <c r="F17" s="552"/>
      <c r="G17" s="552" t="s">
        <v>263</v>
      </c>
      <c r="H17" s="552" t="s">
        <v>263</v>
      </c>
      <c r="I17" s="552" t="s">
        <v>263</v>
      </c>
      <c r="J17" s="552"/>
      <c r="K17" s="392">
        <v>264.94166666666666</v>
      </c>
      <c r="L17" s="552" t="s">
        <v>263</v>
      </c>
      <c r="M17" s="552" t="s">
        <v>263</v>
      </c>
      <c r="N17" s="552"/>
      <c r="O17" s="392">
        <v>210</v>
      </c>
      <c r="P17" s="552" t="s">
        <v>263</v>
      </c>
      <c r="Q17" s="552" t="s">
        <v>263</v>
      </c>
      <c r="R17" s="552"/>
      <c r="S17" s="552" t="s">
        <v>263</v>
      </c>
      <c r="T17" s="552" t="s">
        <v>263</v>
      </c>
      <c r="U17" s="552" t="s">
        <v>263</v>
      </c>
      <c r="V17" s="552"/>
      <c r="W17" s="392">
        <v>265.03777777777776</v>
      </c>
      <c r="X17" s="552" t="s">
        <v>263</v>
      </c>
      <c r="Y17" s="552" t="s">
        <v>263</v>
      </c>
      <c r="Z17" s="552"/>
      <c r="AA17" s="26"/>
      <c r="AB17" s="22"/>
      <c r="AC17" s="22"/>
      <c r="AD17" s="502"/>
      <c r="AE17" s="502"/>
      <c r="AF17" s="502"/>
      <c r="AG17" s="502" t="s">
        <v>97</v>
      </c>
      <c r="AH17" s="502"/>
      <c r="AI17" s="502"/>
      <c r="AJ17" s="502"/>
      <c r="AK17" s="502"/>
      <c r="AL17" s="502"/>
      <c r="AM17" s="502"/>
      <c r="AN17" s="502"/>
      <c r="AO17" s="502"/>
    </row>
    <row r="18" spans="2:41" s="14" customFormat="1" ht="15.75" customHeight="1">
      <c r="B18" s="24" t="s">
        <v>207</v>
      </c>
      <c r="C18" s="392">
        <v>314.15509259259261</v>
      </c>
      <c r="D18" s="392">
        <v>371.13333333333338</v>
      </c>
      <c r="E18" s="392">
        <v>242.5</v>
      </c>
      <c r="F18" s="392"/>
      <c r="G18" s="392">
        <v>295.4649122807017</v>
      </c>
      <c r="H18" s="392">
        <v>350.08333333333337</v>
      </c>
      <c r="I18" s="392">
        <v>218.75</v>
      </c>
      <c r="J18" s="392"/>
      <c r="K18" s="392">
        <v>277.69791666666669</v>
      </c>
      <c r="L18" s="392">
        <v>345</v>
      </c>
      <c r="M18" s="552" t="s">
        <v>263</v>
      </c>
      <c r="N18" s="552"/>
      <c r="O18" s="392">
        <v>308.95833333333331</v>
      </c>
      <c r="P18" s="392">
        <v>340</v>
      </c>
      <c r="Q18" s="552" t="s">
        <v>263</v>
      </c>
      <c r="R18" s="552"/>
      <c r="S18" s="552" t="s">
        <v>263</v>
      </c>
      <c r="T18" s="552" t="s">
        <v>263</v>
      </c>
      <c r="U18" s="552" t="s">
        <v>263</v>
      </c>
      <c r="V18" s="552"/>
      <c r="W18" s="392">
        <v>302.93791341508734</v>
      </c>
      <c r="X18" s="392">
        <v>358.37573099415204</v>
      </c>
      <c r="Y18" s="392">
        <v>238.5</v>
      </c>
      <c r="Z18" s="392"/>
      <c r="AA18" s="26"/>
      <c r="AB18" s="22"/>
      <c r="AC18" s="22"/>
      <c r="AD18" s="502"/>
      <c r="AE18" s="502"/>
      <c r="AF18" s="502"/>
      <c r="AG18" s="502"/>
      <c r="AH18" s="502"/>
      <c r="AI18" s="502"/>
      <c r="AJ18" s="502"/>
      <c r="AK18" s="502"/>
      <c r="AL18" s="502"/>
      <c r="AM18" s="502"/>
      <c r="AN18" s="502"/>
      <c r="AO18" s="502"/>
    </row>
    <row r="19" spans="2:41" s="14" customFormat="1" ht="15.05" customHeight="1">
      <c r="B19" s="914" t="s">
        <v>776</v>
      </c>
      <c r="C19" s="915"/>
      <c r="D19" s="915"/>
      <c r="E19" s="915"/>
      <c r="F19" s="915"/>
      <c r="G19" s="915"/>
      <c r="H19" s="915"/>
      <c r="I19" s="915"/>
      <c r="J19" s="915"/>
      <c r="K19" s="915"/>
      <c r="L19" s="915"/>
      <c r="M19" s="915"/>
      <c r="N19" s="915"/>
      <c r="O19" s="915"/>
      <c r="P19" s="915"/>
      <c r="Q19" s="915"/>
      <c r="R19" s="915"/>
      <c r="S19" s="915"/>
      <c r="T19" s="915"/>
      <c r="U19" s="915"/>
      <c r="V19" s="915"/>
      <c r="W19" s="915"/>
      <c r="X19" s="915"/>
      <c r="Y19" s="915"/>
      <c r="Z19" s="916"/>
      <c r="AA19" s="22"/>
      <c r="AB19" s="22"/>
      <c r="AC19" s="22"/>
      <c r="AD19" s="22"/>
      <c r="AE19" s="22"/>
      <c r="AF19" s="22"/>
      <c r="AG19" s="22"/>
      <c r="AH19" s="22"/>
      <c r="AI19" s="22"/>
      <c r="AJ19" s="22"/>
      <c r="AK19" s="22"/>
      <c r="AL19" s="22"/>
      <c r="AM19" s="22"/>
      <c r="AN19" s="22"/>
      <c r="AO19" s="22"/>
    </row>
    <row r="20" spans="2:41" ht="45.2" customHeight="1">
      <c r="B20" s="917"/>
      <c r="C20" s="918"/>
      <c r="D20" s="918"/>
      <c r="E20" s="918"/>
      <c r="F20" s="918"/>
      <c r="G20" s="918"/>
      <c r="H20" s="918"/>
      <c r="I20" s="918"/>
      <c r="J20" s="918"/>
      <c r="K20" s="918"/>
      <c r="L20" s="918"/>
      <c r="M20" s="918"/>
      <c r="N20" s="918"/>
      <c r="O20" s="918"/>
      <c r="P20" s="918"/>
      <c r="Q20" s="918"/>
      <c r="R20" s="918"/>
      <c r="S20" s="918"/>
      <c r="T20" s="918"/>
      <c r="U20" s="918"/>
      <c r="V20" s="918"/>
      <c r="W20" s="918"/>
      <c r="X20" s="918"/>
      <c r="Y20" s="918"/>
      <c r="Z20" s="919"/>
    </row>
    <row r="21" spans="2:41" ht="14.25" customHeight="1">
      <c r="B21" s="910"/>
      <c r="C21" s="910"/>
      <c r="D21" s="910"/>
      <c r="E21" s="910"/>
      <c r="F21" s="910"/>
      <c r="G21" s="910"/>
      <c r="H21" s="910"/>
      <c r="I21" s="910"/>
      <c r="J21" s="910"/>
      <c r="K21" s="910"/>
      <c r="L21" s="910"/>
      <c r="M21" s="589"/>
      <c r="N21" s="589"/>
      <c r="O21" s="48"/>
      <c r="P21" s="48"/>
      <c r="Q21" s="48"/>
      <c r="R21" s="48"/>
      <c r="S21" s="48"/>
      <c r="T21" s="48"/>
      <c r="U21" s="48"/>
      <c r="V21" s="48"/>
      <c r="W21" s="48"/>
      <c r="X21" s="47"/>
      <c r="Y21" s="47"/>
    </row>
    <row r="22" spans="2:41">
      <c r="P22" s="6"/>
      <c r="Q22" s="6"/>
      <c r="R22" s="6"/>
      <c r="S22" s="6"/>
      <c r="T22" s="274"/>
      <c r="U22" s="274"/>
      <c r="V22" s="274"/>
    </row>
    <row r="23" spans="2:41">
      <c r="P23" s="6"/>
      <c r="Q23" s="6"/>
      <c r="R23" s="6"/>
      <c r="S23" s="6"/>
    </row>
    <row r="24" spans="2:41">
      <c r="P24" s="6"/>
      <c r="Q24" s="6"/>
      <c r="R24" s="6"/>
      <c r="S24" s="6"/>
    </row>
    <row r="25" spans="2:41">
      <c r="P25" s="6"/>
      <c r="Q25" s="6"/>
      <c r="R25" s="6"/>
      <c r="S25" s="6"/>
    </row>
    <row r="26" spans="2:41">
      <c r="P26" s="6"/>
      <c r="Q26" s="6"/>
      <c r="R26" s="6"/>
      <c r="S26" s="6"/>
    </row>
    <row r="27" spans="2:41">
      <c r="P27" s="6"/>
      <c r="Q27" s="6"/>
      <c r="R27" s="6"/>
      <c r="S27" s="6"/>
    </row>
    <row r="28" spans="2:41">
      <c r="P28" s="6"/>
      <c r="Q28" s="6"/>
      <c r="R28" s="6"/>
      <c r="S28" s="6"/>
    </row>
    <row r="29" spans="2:41">
      <c r="P29" s="6"/>
      <c r="Q29" s="6"/>
      <c r="R29" s="6"/>
      <c r="S29" s="6"/>
    </row>
    <row r="33" spans="30:41" ht="17.7">
      <c r="AD33" s="503"/>
      <c r="AE33" s="503"/>
      <c r="AF33" s="503"/>
      <c r="AG33" s="503"/>
      <c r="AH33" s="503"/>
      <c r="AI33" s="503"/>
      <c r="AJ33" s="503"/>
      <c r="AK33" s="503"/>
      <c r="AL33" s="503"/>
      <c r="AM33" s="503"/>
      <c r="AN33" s="503"/>
      <c r="AO33" s="503"/>
    </row>
    <row r="34" spans="30:41" ht="17.7">
      <c r="AD34" s="503"/>
      <c r="AE34" s="503"/>
      <c r="AF34" s="503"/>
      <c r="AG34" s="503"/>
      <c r="AH34" s="503"/>
      <c r="AI34" s="503"/>
      <c r="AJ34" s="503"/>
      <c r="AK34" s="503"/>
      <c r="AL34" s="503"/>
      <c r="AM34" s="503"/>
      <c r="AN34" s="503"/>
      <c r="AO34" s="503"/>
    </row>
    <row r="36" spans="30:41" ht="13.75" customHeight="1"/>
    <row r="37" spans="30:41" ht="13.75" customHeight="1"/>
    <row r="38" spans="30:41" ht="13.75" customHeight="1"/>
    <row r="39" spans="30:41" ht="13.75" customHeight="1"/>
    <row r="40" spans="30:41" ht="12.8" customHeight="1"/>
    <row r="41" spans="30:41" ht="12.8" customHeight="1"/>
    <row r="42" spans="30:41" ht="15.05" customHeight="1"/>
    <row r="43" spans="30:41" ht="15.05" customHeight="1"/>
    <row r="44" spans="30:41" ht="15.05" customHeight="1"/>
    <row r="45" spans="30:41" ht="15.05" customHeight="1"/>
    <row r="46" spans="30:41" ht="15.05" customHeight="1"/>
    <row r="47" spans="30:41" ht="15.05" customHeight="1"/>
    <row r="48" spans="30:41" ht="15.05" customHeight="1"/>
    <row r="49" spans="32:32" ht="15.05" customHeight="1"/>
    <row r="50" spans="32:32" ht="15.05" customHeight="1"/>
    <row r="51" spans="32:32" ht="15.05" customHeight="1"/>
    <row r="52" spans="32:32" ht="15.05" customHeight="1"/>
    <row r="53" spans="32:32" ht="15.05" customHeight="1"/>
    <row r="54" spans="32:32" ht="15.05" customHeight="1"/>
    <row r="55" spans="32:32" ht="15.05" customHeight="1"/>
    <row r="56" spans="32:32" ht="15.05" customHeight="1"/>
    <row r="57" spans="32:32" ht="15.05" customHeight="1"/>
    <row r="58" spans="32:32" ht="15.05" customHeight="1"/>
    <row r="59" spans="32:32" ht="15.05" customHeight="1"/>
    <row r="60" spans="32:32" ht="15.05" customHeight="1">
      <c r="AF60" s="7"/>
    </row>
    <row r="61" spans="32:32" ht="15.05" customHeight="1">
      <c r="AF61" s="7"/>
    </row>
    <row r="62" spans="32:32" ht="15.05" customHeight="1">
      <c r="AF62" s="7"/>
    </row>
    <row r="63" spans="32:32" ht="15.05" customHeight="1">
      <c r="AF63" s="7"/>
    </row>
    <row r="64" spans="32:32" ht="15.05" customHeight="1">
      <c r="AF64" s="7"/>
    </row>
    <row r="65" spans="32:32" ht="15.05" customHeight="1">
      <c r="AF65" s="7"/>
    </row>
    <row r="66" spans="32:32" ht="15.05" customHeight="1">
      <c r="AF66" s="7"/>
    </row>
    <row r="67" spans="32:32" ht="15.05" customHeight="1"/>
    <row r="68" spans="32:32" ht="15.05" customHeight="1"/>
    <row r="69" spans="32:32" ht="15.05" customHeight="1"/>
    <row r="70" spans="32:32" ht="15.05" customHeight="1"/>
    <row r="71" spans="32:32" ht="15.05" customHeight="1"/>
    <row r="72" spans="32:32" ht="15.05" customHeight="1"/>
    <row r="73" spans="32:32" ht="15.05" customHeight="1"/>
    <row r="74" spans="32:32" ht="15.05" customHeight="1"/>
    <row r="75" spans="32:32" ht="15.05" customHeight="1"/>
    <row r="76" spans="32:32" ht="15.05" customHeight="1"/>
    <row r="77" spans="32:32" ht="15.05" customHeight="1"/>
    <row r="78" spans="32:32" ht="15.05" customHeight="1"/>
    <row r="79" spans="32:32" ht="15.05" customHeight="1"/>
    <row r="80" spans="32:32" ht="15.05" customHeight="1"/>
  </sheetData>
  <mergeCells count="12">
    <mergeCell ref="B3:Z3"/>
    <mergeCell ref="B4:Z4"/>
    <mergeCell ref="B5:B6"/>
    <mergeCell ref="B1:Z1"/>
    <mergeCell ref="B21:L21"/>
    <mergeCell ref="W5:Z5"/>
    <mergeCell ref="B19:Z20"/>
    <mergeCell ref="C5:F5"/>
    <mergeCell ref="G5:J5"/>
    <mergeCell ref="K5:N5"/>
    <mergeCell ref="O5:R5"/>
    <mergeCell ref="S5:V5"/>
  </mergeCells>
  <printOptions horizontalCentered="1"/>
  <pageMargins left="0.59055118110236227" right="0.59055118110236227" top="0.62992125984251968" bottom="0.78740157480314965" header="0.51181102362204722" footer="0.59055118110236227"/>
  <pageSetup paperSize="126" scale="52"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zoomScale="80" zoomScaleNormal="80" workbookViewId="0">
      <selection activeCell="G9" sqref="G9"/>
    </sheetView>
  </sheetViews>
  <sheetFormatPr baseColWidth="10" defaultColWidth="10.9140625" defaultRowHeight="17.7"/>
  <cols>
    <col min="1" max="3" width="12.33203125" customWidth="1"/>
    <col min="4" max="4" width="13.33203125" customWidth="1"/>
    <col min="5" max="5" width="20.25" customWidth="1"/>
    <col min="7" max="7" width="58.1640625" style="94" customWidth="1"/>
  </cols>
  <sheetData>
    <row r="1" spans="1:7">
      <c r="A1" s="791" t="s">
        <v>15</v>
      </c>
      <c r="B1" s="791"/>
      <c r="C1" s="791"/>
      <c r="D1" s="791"/>
      <c r="E1" s="791"/>
    </row>
    <row r="2" spans="1:7" ht="14.4" customHeight="1">
      <c r="A2" s="792"/>
      <c r="B2" s="792"/>
      <c r="C2" s="792"/>
      <c r="D2" s="792"/>
      <c r="E2" s="792"/>
    </row>
    <row r="3" spans="1:7" ht="28" customHeight="1">
      <c r="A3" s="793" t="s">
        <v>785</v>
      </c>
      <c r="B3" s="793"/>
      <c r="C3" s="793"/>
      <c r="D3" s="793"/>
      <c r="E3" s="793"/>
      <c r="G3" s="94" t="s">
        <v>16</v>
      </c>
    </row>
    <row r="4" spans="1:7" ht="19" customHeight="1">
      <c r="A4" s="793"/>
      <c r="B4" s="793"/>
      <c r="C4" s="793"/>
      <c r="D4" s="793"/>
      <c r="E4" s="793"/>
    </row>
    <row r="5" spans="1:7" ht="28" customHeight="1">
      <c r="A5" s="793"/>
      <c r="B5" s="793"/>
      <c r="C5" s="793"/>
      <c r="D5" s="793"/>
      <c r="E5" s="793"/>
    </row>
    <row r="6" spans="1:7" ht="37" customHeight="1">
      <c r="A6" s="793"/>
      <c r="B6" s="793"/>
      <c r="C6" s="793"/>
      <c r="D6" s="793"/>
      <c r="E6" s="793"/>
    </row>
    <row r="7" spans="1:7" ht="37" customHeight="1">
      <c r="A7" s="793"/>
      <c r="B7" s="793"/>
      <c r="C7" s="793"/>
      <c r="D7" s="793"/>
      <c r="E7" s="793"/>
    </row>
    <row r="8" spans="1:7" ht="39.799999999999997" customHeight="1">
      <c r="A8" s="793"/>
      <c r="B8" s="793"/>
      <c r="C8" s="793"/>
      <c r="D8" s="793"/>
      <c r="E8" s="793"/>
    </row>
    <row r="9" spans="1:7" ht="39.799999999999997" customHeight="1">
      <c r="A9" s="793"/>
      <c r="B9" s="793"/>
      <c r="C9" s="793"/>
      <c r="D9" s="793"/>
      <c r="E9" s="793"/>
    </row>
    <row r="10" spans="1:7" ht="39.799999999999997" customHeight="1">
      <c r="A10" s="793"/>
      <c r="B10" s="793"/>
      <c r="C10" s="793"/>
      <c r="D10" s="793"/>
      <c r="E10" s="793"/>
    </row>
    <row r="11" spans="1:7" ht="409.6" customHeight="1">
      <c r="A11" s="793"/>
      <c r="B11" s="793"/>
      <c r="C11" s="793"/>
      <c r="D11" s="793"/>
      <c r="E11" s="793"/>
    </row>
    <row r="12" spans="1:7" ht="29.3" customHeight="1">
      <c r="C12" s="67"/>
    </row>
    <row r="13" spans="1:7">
      <c r="C13" s="67"/>
    </row>
    <row r="14" spans="1:7">
      <c r="C14" s="67"/>
    </row>
    <row r="15" spans="1:7">
      <c r="C15" s="67"/>
    </row>
    <row r="16" spans="1:7">
      <c r="C16" s="67"/>
    </row>
    <row r="17" spans="3:3">
      <c r="C17" s="67"/>
    </row>
    <row r="18" spans="3:3">
      <c r="C18" s="67"/>
    </row>
  </sheetData>
  <mergeCells count="3">
    <mergeCell ref="A1:E1"/>
    <mergeCell ref="A2:E2"/>
    <mergeCell ref="A3:E11"/>
  </mergeCells>
  <pageMargins left="0.70866141732283472" right="0.70866141732283472" top="0.74803149606299213" bottom="0.74803149606299213" header="0.31496062992125984" footer="0.31496062992125984"/>
  <pageSetup paperSize="126" scale="92"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M163"/>
  <sheetViews>
    <sheetView zoomScaleNormal="100" zoomScaleSheetLayoutView="75" workbookViewId="0">
      <selection activeCell="J61" sqref="J61"/>
    </sheetView>
  </sheetViews>
  <sheetFormatPr baseColWidth="10" defaultColWidth="10.9140625" defaultRowHeight="11.8"/>
  <cols>
    <col min="1" max="1" width="2.25" style="1" customWidth="1"/>
    <col min="2" max="2" width="8.83203125" style="4" customWidth="1"/>
    <col min="3" max="5" width="8.83203125" style="1" customWidth="1"/>
    <col min="6" max="6" width="9.1640625" style="1" customWidth="1"/>
    <col min="7" max="7" width="8.75" style="1" customWidth="1"/>
    <col min="8" max="8" width="8.83203125" style="1" customWidth="1"/>
    <col min="9" max="9" width="5.33203125" style="1" bestFit="1" customWidth="1"/>
    <col min="10" max="16384" width="10.9140625" style="1"/>
  </cols>
  <sheetData>
    <row r="1" spans="2:13" s="18" customFormat="1" ht="13.1">
      <c r="B1" s="791" t="s">
        <v>264</v>
      </c>
      <c r="C1" s="791"/>
      <c r="D1" s="791"/>
      <c r="E1" s="791"/>
      <c r="F1" s="791"/>
      <c r="G1" s="791"/>
      <c r="H1" s="791"/>
    </row>
    <row r="2" spans="2:13" s="18" customFormat="1" ht="13.1">
      <c r="B2" s="17"/>
      <c r="C2" s="15"/>
      <c r="D2" s="15"/>
      <c r="E2" s="15"/>
      <c r="F2" s="15"/>
      <c r="G2" s="15"/>
    </row>
    <row r="3" spans="2:13" s="18" customFormat="1" ht="13.1">
      <c r="B3" s="791" t="s">
        <v>265</v>
      </c>
      <c r="C3" s="791"/>
      <c r="D3" s="791"/>
      <c r="E3" s="791"/>
      <c r="F3" s="791"/>
      <c r="G3" s="791"/>
      <c r="H3" s="791"/>
    </row>
    <row r="4" spans="2:13" s="18" customFormat="1" ht="13.1">
      <c r="B4" s="808" t="s">
        <v>266</v>
      </c>
      <c r="C4" s="808"/>
      <c r="D4" s="808"/>
      <c r="E4" s="808"/>
      <c r="F4" s="808"/>
      <c r="G4" s="808"/>
      <c r="H4" s="808"/>
    </row>
    <row r="5" spans="2:13" s="18" customFormat="1" ht="66.8" customHeight="1">
      <c r="B5" s="463" t="s">
        <v>211</v>
      </c>
      <c r="C5" s="363" t="s">
        <v>267</v>
      </c>
      <c r="D5" s="363" t="s">
        <v>268</v>
      </c>
      <c r="E5" s="363" t="s">
        <v>269</v>
      </c>
      <c r="F5" s="363" t="s">
        <v>270</v>
      </c>
      <c r="G5" s="363" t="s">
        <v>271</v>
      </c>
      <c r="H5" s="363" t="s">
        <v>272</v>
      </c>
      <c r="J5" s="559"/>
      <c r="K5" s="559"/>
    </row>
    <row r="6" spans="2:13" ht="14.25" customHeight="1">
      <c r="B6" s="464">
        <v>44197</v>
      </c>
      <c r="C6" s="285">
        <v>206.52368560645161</v>
      </c>
      <c r="D6" s="285">
        <v>238.06580645161293</v>
      </c>
      <c r="E6" s="285">
        <v>235.21935483870965</v>
      </c>
      <c r="F6" s="285">
        <v>205.9375</v>
      </c>
      <c r="G6" s="344">
        <v>195.03810664112387</v>
      </c>
      <c r="H6" s="285">
        <v>179.06751708119464</v>
      </c>
      <c r="I6" s="557"/>
    </row>
    <row r="7" spans="2:13" ht="14.25" customHeight="1">
      <c r="B7" s="464">
        <v>44228</v>
      </c>
      <c r="C7" s="285">
        <v>208.47107582500001</v>
      </c>
      <c r="D7" s="285">
        <v>240.04750000000001</v>
      </c>
      <c r="E7" s="285">
        <v>228.05</v>
      </c>
      <c r="F7" s="285">
        <v>213.75</v>
      </c>
      <c r="G7" s="344">
        <v>197.594057537743</v>
      </c>
      <c r="H7" s="285">
        <v>189.30695667784781</v>
      </c>
      <c r="I7" s="557"/>
      <c r="J7" s="274"/>
      <c r="K7" s="274"/>
      <c r="L7" s="274"/>
      <c r="M7" s="274"/>
    </row>
    <row r="8" spans="2:13" ht="14.25" customHeight="1">
      <c r="B8" s="464">
        <v>44256</v>
      </c>
      <c r="C8" s="285">
        <v>206.6650406580645</v>
      </c>
      <c r="D8" s="285">
        <v>243.50451612903228</v>
      </c>
      <c r="E8" s="285">
        <v>226.72774193548386</v>
      </c>
      <c r="F8" s="285"/>
      <c r="G8" s="344">
        <v>201.09551971326164</v>
      </c>
      <c r="H8" s="285">
        <v>183.41406272080454</v>
      </c>
      <c r="I8" s="224"/>
      <c r="J8" s="274"/>
    </row>
    <row r="9" spans="2:13" ht="14.25" customHeight="1">
      <c r="B9" s="464">
        <v>44287</v>
      </c>
      <c r="C9" s="285">
        <v>205.32786012666668</v>
      </c>
      <c r="D9" s="285">
        <v>239.45733333333334</v>
      </c>
      <c r="E9" s="285">
        <v>227.636</v>
      </c>
      <c r="F9" s="285"/>
      <c r="G9" s="360">
        <v>205.39523809523808</v>
      </c>
      <c r="H9" s="285">
        <v>204.15279983555058</v>
      </c>
      <c r="I9" s="224"/>
      <c r="J9" s="274"/>
    </row>
    <row r="10" spans="2:13" ht="14.25" customHeight="1">
      <c r="B10" s="464">
        <v>44317</v>
      </c>
      <c r="C10" s="285">
        <v>211.2085545354839</v>
      </c>
      <c r="D10" s="285">
        <v>246.23354838709679</v>
      </c>
      <c r="E10" s="285">
        <v>239.34774193548387</v>
      </c>
      <c r="F10" s="285"/>
      <c r="G10" s="360">
        <v>208.30208333333331</v>
      </c>
      <c r="H10" s="285">
        <v>210.65756835698585</v>
      </c>
      <c r="I10" s="224"/>
      <c r="J10" s="274"/>
    </row>
    <row r="11" spans="2:13" ht="14.25" customHeight="1">
      <c r="B11" s="464">
        <v>44348</v>
      </c>
      <c r="C11" s="285">
        <v>201.10716614666663</v>
      </c>
      <c r="D11" s="285">
        <v>245.18666666666667</v>
      </c>
      <c r="E11" s="285">
        <v>243.10333333333332</v>
      </c>
      <c r="F11" s="285">
        <v>240</v>
      </c>
      <c r="G11" s="360">
        <v>212.06726190476192</v>
      </c>
      <c r="H11" s="285">
        <v>209.66826032490411</v>
      </c>
      <c r="I11" s="224"/>
      <c r="J11" s="274"/>
    </row>
    <row r="12" spans="2:13" ht="14.25" customHeight="1">
      <c r="B12" s="464">
        <v>44378</v>
      </c>
      <c r="C12" s="285">
        <v>197.07337011612904</v>
      </c>
      <c r="D12" s="285">
        <v>240.82741935483872</v>
      </c>
      <c r="E12" s="285">
        <v>251.781935483871</v>
      </c>
      <c r="F12" s="285">
        <v>240</v>
      </c>
      <c r="G12" s="360">
        <v>221.21300563236045</v>
      </c>
      <c r="H12" s="285">
        <v>220.76350792425433</v>
      </c>
      <c r="I12" s="224"/>
      <c r="J12" s="274"/>
    </row>
    <row r="13" spans="2:13" ht="14.25" customHeight="1">
      <c r="B13" s="464">
        <v>44409</v>
      </c>
      <c r="C13" s="285">
        <v>221.59484986451614</v>
      </c>
      <c r="D13" s="285">
        <v>280.78870967741938</v>
      </c>
      <c r="E13" s="285">
        <v>269.73161290322582</v>
      </c>
      <c r="F13" s="285">
        <v>255.36666666666667</v>
      </c>
      <c r="G13" s="344">
        <v>239.81566820276501</v>
      </c>
      <c r="H13" s="285">
        <v>241.25919977991967</v>
      </c>
      <c r="I13" s="224"/>
      <c r="J13" s="274"/>
    </row>
    <row r="14" spans="2:13" ht="14.25" customHeight="1">
      <c r="B14" s="464">
        <v>44440</v>
      </c>
      <c r="C14" s="285">
        <v>237.3859754333333</v>
      </c>
      <c r="D14" s="285">
        <v>295.92366666666663</v>
      </c>
      <c r="E14" s="285">
        <v>284.89733333333334</v>
      </c>
      <c r="F14" s="285">
        <v>271.10000000000002</v>
      </c>
      <c r="G14" s="344">
        <v>249.5</v>
      </c>
      <c r="H14" s="285">
        <v>254.62518425105466</v>
      </c>
      <c r="I14" s="224"/>
      <c r="J14" s="274"/>
    </row>
    <row r="15" spans="2:13" ht="14.25" customHeight="1">
      <c r="B15" s="464">
        <v>44470</v>
      </c>
      <c r="C15" s="285">
        <v>260.36799569677419</v>
      </c>
      <c r="D15" s="285">
        <v>322.99709677419355</v>
      </c>
      <c r="E15" s="285">
        <v>305.43677419354839</v>
      </c>
      <c r="F15" s="285">
        <v>299.58064516129036</v>
      </c>
      <c r="G15" s="344">
        <v>264.58774845226452</v>
      </c>
      <c r="H15" s="285">
        <v>259.79918706588194</v>
      </c>
      <c r="I15" s="224"/>
      <c r="J15" s="274"/>
    </row>
    <row r="16" spans="2:13" ht="14.25" customHeight="1">
      <c r="B16" s="464">
        <v>44501</v>
      </c>
      <c r="C16" s="285">
        <v>284.10243978666665</v>
      </c>
      <c r="D16" s="285">
        <v>367.767</v>
      </c>
      <c r="E16" s="285">
        <v>323.863</v>
      </c>
      <c r="F16" s="285">
        <v>307.5</v>
      </c>
      <c r="G16" s="360">
        <v>265.03777777777776</v>
      </c>
      <c r="H16" s="285">
        <v>269.92286061216396</v>
      </c>
      <c r="I16" s="224"/>
      <c r="J16" s="274"/>
    </row>
    <row r="17" spans="2:13" ht="14.25" customHeight="1">
      <c r="B17" s="464">
        <v>44531</v>
      </c>
      <c r="C17" s="285">
        <v>287.9614667806452</v>
      </c>
      <c r="D17" s="285">
        <v>370.1725806451613</v>
      </c>
      <c r="E17" s="285">
        <v>340.73096774193544</v>
      </c>
      <c r="F17" s="285">
        <v>314.15509259259261</v>
      </c>
      <c r="G17" s="360">
        <v>302.93791341508734</v>
      </c>
      <c r="H17" s="285">
        <v>294.84701899390365</v>
      </c>
      <c r="I17" s="224"/>
      <c r="J17" s="274"/>
    </row>
    <row r="18" spans="2:13" ht="14.25" customHeight="1">
      <c r="B18" s="464">
        <v>44562</v>
      </c>
      <c r="C18" s="285">
        <v>275.58402632258066</v>
      </c>
      <c r="D18" s="285">
        <v>353.91774193548389</v>
      </c>
      <c r="E18" s="285">
        <v>324.30677419354839</v>
      </c>
      <c r="F18" s="285">
        <v>311.08832565284177</v>
      </c>
      <c r="G18" s="344">
        <v>302.83298429290295</v>
      </c>
      <c r="H18" s="285">
        <v>267.76866535875007</v>
      </c>
      <c r="I18" s="557"/>
      <c r="J18" s="274"/>
      <c r="K18" s="274"/>
      <c r="L18" s="274"/>
      <c r="M18" s="274"/>
    </row>
    <row r="19" spans="2:13" ht="14.25" customHeight="1">
      <c r="B19" s="464">
        <v>44593</v>
      </c>
      <c r="C19" s="285">
        <v>285.49492586785715</v>
      </c>
      <c r="D19" s="285">
        <v>353.36607142857144</v>
      </c>
      <c r="E19" s="285">
        <v>325.3257142857143</v>
      </c>
      <c r="F19" s="285">
        <v>314.15816326530614</v>
      </c>
      <c r="G19" s="344">
        <v>302.96309112589893</v>
      </c>
      <c r="H19" s="285">
        <v>283.74659203941059</v>
      </c>
      <c r="I19" s="557"/>
      <c r="J19" s="542"/>
      <c r="K19" s="542"/>
    </row>
    <row r="20" spans="2:13" ht="14.25" customHeight="1">
      <c r="B20" s="464">
        <v>44621</v>
      </c>
      <c r="C20" s="285">
        <v>371.82381054838703</v>
      </c>
      <c r="D20" s="285">
        <v>440.50032258064516</v>
      </c>
      <c r="E20" s="285">
        <v>393.41967741935485</v>
      </c>
      <c r="F20" s="285">
        <v>321.02150537634407</v>
      </c>
      <c r="G20" s="344">
        <v>308.17002688172045</v>
      </c>
      <c r="H20" s="285">
        <v>278.05501162064633</v>
      </c>
      <c r="I20" s="224"/>
      <c r="J20" s="385"/>
      <c r="K20" s="385"/>
      <c r="L20" s="385"/>
      <c r="M20" s="385"/>
    </row>
    <row r="21" spans="2:13" ht="14.25" customHeight="1">
      <c r="B21" s="464">
        <v>44652</v>
      </c>
      <c r="C21" s="285">
        <v>359.99697766533342</v>
      </c>
      <c r="D21" s="285">
        <v>428.64464075649948</v>
      </c>
      <c r="E21" s="285">
        <v>405.56366243244156</v>
      </c>
      <c r="F21" s="285">
        <v>321.66666666666669</v>
      </c>
      <c r="G21" s="360">
        <v>319.00555555555559</v>
      </c>
      <c r="H21" s="285">
        <v>290.36895454054587</v>
      </c>
      <c r="I21" s="224"/>
      <c r="J21" s="542"/>
      <c r="K21" s="542"/>
    </row>
    <row r="22" spans="2:13" ht="14.25" customHeight="1">
      <c r="B22" s="464">
        <v>44682</v>
      </c>
      <c r="C22" s="285">
        <v>397.0527512386206</v>
      </c>
      <c r="D22" s="285">
        <v>462.79371025013364</v>
      </c>
      <c r="E22" s="285">
        <v>467.04868495006764</v>
      </c>
      <c r="F22" s="285">
        <v>430</v>
      </c>
      <c r="G22" s="360">
        <v>400.54597701149424</v>
      </c>
      <c r="H22" s="285">
        <v>350.13848762681442</v>
      </c>
      <c r="I22" s="224"/>
      <c r="J22" s="542"/>
      <c r="K22" s="542"/>
    </row>
    <row r="23" spans="2:13" ht="14.25" customHeight="1">
      <c r="B23" s="464">
        <v>44713</v>
      </c>
      <c r="C23" s="285">
        <v>340.37579243673076</v>
      </c>
      <c r="D23" s="285">
        <v>409.72917165816102</v>
      </c>
      <c r="E23" s="285">
        <v>484.11451337298496</v>
      </c>
      <c r="F23" s="285"/>
      <c r="G23" s="551"/>
      <c r="H23" s="285">
        <v>358.36082903826508</v>
      </c>
      <c r="I23" s="558"/>
      <c r="J23" s="542"/>
      <c r="K23" s="542"/>
    </row>
    <row r="24" spans="2:13" ht="14.25" customHeight="1">
      <c r="B24" s="464">
        <v>44743</v>
      </c>
      <c r="C24" s="285">
        <v>316.77011321225802</v>
      </c>
      <c r="D24" s="285">
        <v>393.82392885404829</v>
      </c>
      <c r="E24" s="285">
        <v>493.93063833239512</v>
      </c>
      <c r="F24" s="285"/>
      <c r="G24" s="551"/>
      <c r="H24" s="285">
        <v>478.33443848605827</v>
      </c>
      <c r="I24" s="558"/>
      <c r="J24" s="542"/>
      <c r="K24" s="542"/>
    </row>
    <row r="25" spans="2:13" ht="14.25" customHeight="1">
      <c r="B25" s="464">
        <v>44774</v>
      </c>
      <c r="C25" s="285">
        <v>300.67619786</v>
      </c>
      <c r="D25" s="285">
        <v>385.24285377201124</v>
      </c>
      <c r="E25" s="285">
        <v>456.0236533817631</v>
      </c>
      <c r="F25" s="285"/>
      <c r="G25" s="551"/>
      <c r="H25" s="285">
        <v>452.4490248681422</v>
      </c>
      <c r="I25" s="558"/>
      <c r="J25" s="542"/>
      <c r="K25" s="542"/>
    </row>
    <row r="26" spans="2:13" ht="14.25" customHeight="1">
      <c r="B26" s="464">
        <v>44805</v>
      </c>
      <c r="C26" s="285">
        <v>336.44634680640013</v>
      </c>
      <c r="D26" s="285">
        <v>415.56294626538988</v>
      </c>
      <c r="E26" s="285">
        <v>440.13351168146153</v>
      </c>
      <c r="F26" s="285"/>
      <c r="G26" s="551"/>
      <c r="H26" s="285">
        <v>467.19882378305124</v>
      </c>
      <c r="I26" s="355"/>
      <c r="J26" s="542"/>
      <c r="K26" s="542"/>
    </row>
    <row r="27" spans="2:13" ht="14.25" customHeight="1">
      <c r="B27" s="464">
        <v>44835</v>
      </c>
      <c r="C27" s="285">
        <v>375.67121990800001</v>
      </c>
      <c r="D27" s="285">
        <v>462.91728514766112</v>
      </c>
      <c r="E27" s="285">
        <v>487.29672026186699</v>
      </c>
      <c r="F27" s="285"/>
      <c r="G27" s="551"/>
      <c r="H27" s="285">
        <v>410.00199101717311</v>
      </c>
      <c r="I27" s="355"/>
      <c r="J27" s="542"/>
      <c r="K27" s="542"/>
    </row>
    <row r="28" spans="2:13" ht="14.25" customHeight="1">
      <c r="B28" s="464">
        <v>44866</v>
      </c>
      <c r="C28" s="285">
        <v>340.1861644562963</v>
      </c>
      <c r="D28" s="285">
        <v>419.42889467647632</v>
      </c>
      <c r="E28" s="285">
        <v>453.96397314135362</v>
      </c>
      <c r="F28" s="285"/>
      <c r="G28" s="360"/>
      <c r="H28" s="285">
        <v>386.43928832892283</v>
      </c>
      <c r="I28" s="355"/>
      <c r="J28" s="542"/>
      <c r="K28" s="542"/>
    </row>
    <row r="29" spans="2:13" ht="14.25" customHeight="1">
      <c r="B29" s="464">
        <v>44896</v>
      </c>
      <c r="C29" s="285">
        <v>294.47974731312502</v>
      </c>
      <c r="D29" s="285">
        <v>372.28688603204557</v>
      </c>
      <c r="E29" s="285">
        <v>414.80038608176028</v>
      </c>
      <c r="F29" s="285">
        <v>371.13333333333338</v>
      </c>
      <c r="G29" s="360">
        <v>358.37573099415204</v>
      </c>
      <c r="H29" s="285">
        <v>308.3459822919865</v>
      </c>
      <c r="I29" s="355"/>
      <c r="J29" s="542"/>
      <c r="K29" s="355"/>
      <c r="L29" s="355"/>
    </row>
    <row r="30" spans="2:13" ht="14.25" customHeight="1">
      <c r="B30" s="464">
        <v>44927</v>
      </c>
      <c r="C30" s="285">
        <v>268.38833344303913</v>
      </c>
      <c r="D30" s="285">
        <v>343.83771717197328</v>
      </c>
      <c r="E30" s="285">
        <v>368.43754961004709</v>
      </c>
      <c r="F30" s="285">
        <v>350.7</v>
      </c>
      <c r="G30" s="344">
        <v>337.47900883838383</v>
      </c>
      <c r="H30" s="285">
        <v>306.65763765337766</v>
      </c>
      <c r="I30" s="355"/>
      <c r="J30" s="710"/>
      <c r="K30" s="355"/>
      <c r="L30" s="355"/>
      <c r="M30" s="355"/>
    </row>
    <row r="31" spans="2:13" ht="14.25" customHeight="1">
      <c r="B31" s="464">
        <v>44958</v>
      </c>
      <c r="C31" s="285">
        <v>258.63109535558999</v>
      </c>
      <c r="D31" s="285">
        <v>322.18989319837959</v>
      </c>
      <c r="E31" s="285">
        <v>342.6544196327518</v>
      </c>
      <c r="F31" s="285"/>
      <c r="G31" s="344">
        <v>313.37179487179486</v>
      </c>
      <c r="H31" s="285">
        <v>343.85586884912351</v>
      </c>
      <c r="I31" s="355"/>
      <c r="J31" s="710"/>
      <c r="K31" s="355"/>
      <c r="L31" s="679"/>
      <c r="M31" s="355"/>
    </row>
    <row r="32" spans="2:13" ht="14.25" customHeight="1">
      <c r="B32" s="464">
        <v>44986</v>
      </c>
      <c r="C32" s="285">
        <v>238.66653156458398</v>
      </c>
      <c r="D32" s="285">
        <v>293.65645613887631</v>
      </c>
      <c r="E32" s="285">
        <v>337.43207538086614</v>
      </c>
      <c r="F32" s="285"/>
      <c r="G32" s="344">
        <v>304.84375</v>
      </c>
      <c r="H32" s="285">
        <v>305.16560469823025</v>
      </c>
      <c r="I32" s="355"/>
      <c r="J32" s="710"/>
      <c r="K32" s="355"/>
      <c r="L32" s="679"/>
    </row>
    <row r="33" spans="2:12" ht="14.25" customHeight="1">
      <c r="B33" s="464">
        <v>45017</v>
      </c>
      <c r="C33" s="285">
        <v>229.48021217670305</v>
      </c>
      <c r="D33" s="285">
        <v>285.41141914744958</v>
      </c>
      <c r="E33" s="285">
        <v>325.6808990243897</v>
      </c>
      <c r="F33" s="285"/>
      <c r="G33" s="360">
        <v>300.33333333333331</v>
      </c>
      <c r="H33" s="285">
        <v>295.83677462236597</v>
      </c>
      <c r="I33" s="355"/>
      <c r="J33" s="710"/>
      <c r="K33" s="355"/>
      <c r="L33" s="679"/>
    </row>
    <row r="34" spans="2:12" ht="14.25" customHeight="1">
      <c r="B34" s="464">
        <v>45047</v>
      </c>
      <c r="C34" s="285">
        <v>202.30271969499998</v>
      </c>
      <c r="D34" s="285">
        <v>256.50323522381967</v>
      </c>
      <c r="E34" s="285">
        <v>337.67781266433286</v>
      </c>
      <c r="F34" s="285"/>
      <c r="G34" s="360">
        <v>301.66666666666669</v>
      </c>
      <c r="H34" s="285">
        <v>303.18345326983513</v>
      </c>
      <c r="I34" s="355"/>
      <c r="J34" s="710"/>
      <c r="K34" s="355"/>
      <c r="L34" s="679"/>
    </row>
    <row r="35" spans="2:12" ht="14.25" customHeight="1">
      <c r="B35" s="464">
        <v>45078</v>
      </c>
      <c r="C35" s="285">
        <v>209.17300138804328</v>
      </c>
      <c r="D35" s="285">
        <v>264.8041067200997</v>
      </c>
      <c r="E35" s="285">
        <v>338.63524388886987</v>
      </c>
      <c r="F35" s="285"/>
      <c r="G35" s="360">
        <v>240</v>
      </c>
      <c r="H35" s="285">
        <v>291.004170782676</v>
      </c>
      <c r="I35" s="355"/>
      <c r="J35" s="710"/>
      <c r="K35" s="355"/>
      <c r="L35" s="679"/>
    </row>
    <row r="36" spans="2:12" ht="14.25" customHeight="1">
      <c r="B36" s="464">
        <v>45108</v>
      </c>
      <c r="C36" s="285">
        <v>210.86358242672279</v>
      </c>
      <c r="D36" s="285">
        <v>269.60319352354685</v>
      </c>
      <c r="E36" s="285">
        <v>318.20578306040829</v>
      </c>
      <c r="F36" s="285">
        <v>263.75</v>
      </c>
      <c r="G36" s="360">
        <v>260.41666666666669</v>
      </c>
      <c r="H36" s="285">
        <v>304.47742072268699</v>
      </c>
      <c r="I36" s="355"/>
      <c r="J36" s="710"/>
      <c r="K36" s="355"/>
      <c r="L36" s="679"/>
    </row>
    <row r="37" spans="2:12" ht="14.25" customHeight="1">
      <c r="B37" s="464">
        <v>45139</v>
      </c>
      <c r="C37" s="285">
        <v>210.5500557824702</v>
      </c>
      <c r="D37" s="285">
        <v>260.65921704415609</v>
      </c>
      <c r="E37" s="285">
        <v>326.33041327057919</v>
      </c>
      <c r="F37" s="285">
        <v>275</v>
      </c>
      <c r="G37" s="360">
        <v>275</v>
      </c>
      <c r="H37" s="285"/>
      <c r="I37" s="355"/>
      <c r="J37" s="710"/>
      <c r="K37" s="355"/>
      <c r="L37" s="679"/>
    </row>
    <row r="38" spans="2:12" ht="14.25" customHeight="1">
      <c r="B38" s="464">
        <v>45170</v>
      </c>
      <c r="C38" s="285">
        <v>213.01414607707503</v>
      </c>
      <c r="D38" s="285">
        <v>264.73555922237779</v>
      </c>
      <c r="E38" s="285">
        <v>327.23848365240008</v>
      </c>
      <c r="F38" s="285"/>
      <c r="G38" s="360"/>
      <c r="H38" s="285"/>
      <c r="I38" s="355"/>
      <c r="J38" s="710"/>
      <c r="K38" s="355"/>
      <c r="L38" s="679"/>
    </row>
    <row r="39" spans="2:12" ht="14.25" customHeight="1">
      <c r="B39" s="464">
        <v>45200</v>
      </c>
      <c r="C39" s="285">
        <v>232.66774644352182</v>
      </c>
      <c r="D39" s="285">
        <v>285.94077980592294</v>
      </c>
      <c r="E39" s="285">
        <v>326.66104877501562</v>
      </c>
      <c r="F39" s="285"/>
      <c r="G39" s="360"/>
      <c r="H39" s="285"/>
      <c r="I39" s="355"/>
      <c r="J39" s="710"/>
      <c r="K39" s="355"/>
      <c r="L39" s="679"/>
    </row>
    <row r="40" spans="2:12" ht="14.25" customHeight="1">
      <c r="B40" s="464">
        <v>45231</v>
      </c>
      <c r="C40" s="285">
        <v>221.92390184288459</v>
      </c>
      <c r="D40" s="285">
        <v>273.86743357005622</v>
      </c>
      <c r="E40" s="285">
        <v>283.35300264216085</v>
      </c>
      <c r="F40" s="285"/>
      <c r="G40" s="360"/>
      <c r="H40" s="285">
        <v>292.51182373572721</v>
      </c>
      <c r="I40" s="355"/>
      <c r="J40" s="710"/>
      <c r="K40" s="355"/>
      <c r="L40" s="679"/>
    </row>
    <row r="41" spans="2:12" ht="14.25" customHeight="1">
      <c r="B41" s="464">
        <v>45261</v>
      </c>
      <c r="C41" s="285">
        <v>232.95215041564518</v>
      </c>
      <c r="D41" s="285">
        <v>283.98195584444466</v>
      </c>
      <c r="E41" s="285">
        <v>260.6049129060018</v>
      </c>
      <c r="F41" s="285">
        <v>242.5</v>
      </c>
      <c r="G41" s="360">
        <v>238.5</v>
      </c>
      <c r="H41" s="285"/>
      <c r="I41" s="355"/>
      <c r="J41" s="710"/>
      <c r="K41" s="355"/>
      <c r="L41" s="679"/>
    </row>
    <row r="42" spans="2:12" ht="14.25" customHeight="1">
      <c r="B42" s="464">
        <v>45292</v>
      </c>
      <c r="C42" s="285">
        <v>232.25075942999999</v>
      </c>
      <c r="D42" s="285">
        <v>288.11700752660141</v>
      </c>
      <c r="E42" s="285">
        <v>267.74312895383491</v>
      </c>
      <c r="F42" s="285">
        <v>247.20833333333331</v>
      </c>
      <c r="G42" s="360">
        <v>230.93741919844859</v>
      </c>
      <c r="H42" s="285">
        <v>277.22571833484852</v>
      </c>
      <c r="I42" s="355"/>
      <c r="J42" s="710"/>
      <c r="K42" s="355"/>
      <c r="L42" s="679"/>
    </row>
    <row r="43" spans="2:12" ht="14.25" customHeight="1">
      <c r="B43" s="464">
        <v>45323</v>
      </c>
      <c r="C43" s="285">
        <v>242.31774096621899</v>
      </c>
      <c r="D43" s="285">
        <v>297.90703282890655</v>
      </c>
      <c r="E43" s="285">
        <v>280.15580486185598</v>
      </c>
      <c r="F43" s="285">
        <v>252.39583333333331</v>
      </c>
      <c r="G43" s="360">
        <v>225.32874060565868</v>
      </c>
      <c r="H43" s="285">
        <v>291.77167307187551</v>
      </c>
      <c r="I43" s="355"/>
      <c r="J43" s="710"/>
      <c r="K43" s="355"/>
      <c r="L43" s="679"/>
    </row>
    <row r="44" spans="2:12" ht="14.25" customHeight="1">
      <c r="B44" s="464">
        <v>45352</v>
      </c>
      <c r="C44" s="285">
        <v>226.06821458612905</v>
      </c>
      <c r="D44" s="285">
        <v>280.81698568581442</v>
      </c>
      <c r="E44" s="285">
        <v>270.01484609506736</v>
      </c>
      <c r="F44" s="285">
        <v>252.5</v>
      </c>
      <c r="G44" s="360">
        <v>233.87344086021506</v>
      </c>
      <c r="H44" s="285">
        <v>294.52251426870703</v>
      </c>
      <c r="I44" s="355"/>
      <c r="J44" s="710"/>
      <c r="K44" s="355"/>
      <c r="L44" s="679"/>
    </row>
    <row r="45" spans="2:12" ht="14.25" customHeight="1">
      <c r="B45" s="464">
        <v>45383</v>
      </c>
      <c r="C45" s="285">
        <v>218.780224925</v>
      </c>
      <c r="D45" s="285">
        <v>273.85118663077219</v>
      </c>
      <c r="E45" s="285">
        <v>284.75108315967782</v>
      </c>
      <c r="F45" s="285">
        <v>255</v>
      </c>
      <c r="G45" s="360">
        <v>235.85624999999999</v>
      </c>
      <c r="H45" s="285">
        <v>267.27266562950297</v>
      </c>
      <c r="I45" s="355"/>
      <c r="J45" s="710"/>
      <c r="K45" s="355"/>
      <c r="L45" s="679"/>
    </row>
    <row r="46" spans="2:12" ht="14.25" customHeight="1">
      <c r="B46" s="464">
        <v>45413</v>
      </c>
      <c r="C46" s="285">
        <v>233.46139263903842</v>
      </c>
      <c r="D46" s="285">
        <v>283.67329857829708</v>
      </c>
      <c r="E46" s="285">
        <v>305.36222532214072</v>
      </c>
      <c r="F46" s="285">
        <v>255</v>
      </c>
      <c r="G46" s="360">
        <v>241.84615384615384</v>
      </c>
      <c r="H46" s="285"/>
      <c r="I46" s="355"/>
      <c r="J46" s="710"/>
      <c r="K46" s="355"/>
      <c r="L46" s="679"/>
    </row>
    <row r="47" spans="2:12" ht="14.25" customHeight="1">
      <c r="B47" s="464">
        <v>45444</v>
      </c>
      <c r="C47" s="285">
        <v>219.7266791885433</v>
      </c>
      <c r="D47" s="285">
        <v>272.85301774702509</v>
      </c>
      <c r="E47" s="285">
        <v>321.2452045236285</v>
      </c>
      <c r="F47" s="285">
        <v>263.63333333333333</v>
      </c>
      <c r="G47" s="360">
        <v>251.24188034188035</v>
      </c>
      <c r="H47" s="285"/>
      <c r="I47" s="355"/>
      <c r="J47" s="710"/>
      <c r="K47" s="355"/>
      <c r="L47" s="679"/>
    </row>
    <row r="48" spans="2:12" ht="14.25" customHeight="1">
      <c r="B48" s="464">
        <v>45474</v>
      </c>
      <c r="C48" s="285">
        <v>204.75781430363747</v>
      </c>
      <c r="D48" s="285">
        <v>259.85328116887376</v>
      </c>
      <c r="E48" s="285">
        <v>310.60821023160207</v>
      </c>
      <c r="F48" s="285">
        <v>269.75</v>
      </c>
      <c r="G48" s="360">
        <v>259.38988095238096</v>
      </c>
      <c r="H48" s="285">
        <v>241.83459870627155</v>
      </c>
      <c r="I48" s="355"/>
      <c r="J48" s="710"/>
      <c r="K48" s="355"/>
      <c r="L48" s="679"/>
    </row>
    <row r="49" spans="2:11" ht="14.25" customHeight="1">
      <c r="B49" s="860" t="s">
        <v>273</v>
      </c>
      <c r="C49" s="861"/>
      <c r="D49" s="861"/>
      <c r="E49" s="861"/>
      <c r="F49" s="861"/>
      <c r="G49" s="861"/>
      <c r="H49" s="862"/>
      <c r="I49" s="224"/>
      <c r="K49" s="1" t="s">
        <v>97</v>
      </c>
    </row>
    <row r="50" spans="2:11" ht="14.25" customHeight="1">
      <c r="B50" s="284"/>
      <c r="C50" s="465"/>
      <c r="D50" s="465"/>
      <c r="E50" s="465"/>
      <c r="F50" s="465"/>
      <c r="G50" s="465"/>
      <c r="H50" s="465"/>
      <c r="I50" s="224"/>
    </row>
    <row r="51" spans="2:11" ht="14.25" customHeight="1">
      <c r="B51" s="284"/>
      <c r="C51" s="465"/>
      <c r="D51" s="465"/>
      <c r="E51" s="465"/>
      <c r="F51" s="465"/>
      <c r="G51" s="465"/>
      <c r="H51" s="465"/>
      <c r="I51" s="224"/>
    </row>
    <row r="52" spans="2:11" ht="15.05" customHeight="1">
      <c r="B52" s="1"/>
      <c r="I52" s="224"/>
    </row>
    <row r="53" spans="2:11" ht="12.8" customHeight="1">
      <c r="B53" s="1"/>
      <c r="C53" s="30"/>
      <c r="D53" s="30"/>
      <c r="E53" s="30"/>
      <c r="F53" s="30"/>
      <c r="G53" s="30"/>
      <c r="H53" s="30"/>
      <c r="I53" s="30"/>
    </row>
    <row r="54" spans="2:11" ht="15.05" customHeight="1">
      <c r="C54" s="30"/>
      <c r="F54" s="30"/>
      <c r="G54" s="30"/>
      <c r="I54" s="13"/>
    </row>
    <row r="55" spans="2:11" ht="15.05" customHeight="1">
      <c r="I55" s="13"/>
    </row>
    <row r="56" spans="2:11" ht="15.05" customHeight="1">
      <c r="I56" s="13"/>
    </row>
    <row r="57" spans="2:11" ht="15.05" customHeight="1"/>
    <row r="58" spans="2:11" ht="15.05" customHeight="1"/>
    <row r="59" spans="2:11" ht="15.05" customHeight="1"/>
    <row r="60" spans="2:11" ht="15.05" customHeight="1"/>
    <row r="61" spans="2:11" ht="15.05" customHeight="1"/>
    <row r="62" spans="2:11" ht="15.05" customHeight="1"/>
    <row r="63" spans="2:11" ht="15.05" customHeight="1"/>
    <row r="64" spans="2:11" ht="15.05" customHeight="1"/>
    <row r="65" spans="2:2" ht="13.75" customHeight="1"/>
    <row r="66" spans="2:2" ht="13.75" customHeight="1"/>
    <row r="67" spans="2:2" ht="13.75" customHeight="1"/>
    <row r="68" spans="2:2" ht="13.75" customHeight="1"/>
    <row r="69" spans="2:2" ht="13.75" customHeight="1"/>
    <row r="70" spans="2:2" ht="7.55" customHeight="1"/>
    <row r="71" spans="2:2" ht="11.95" customHeight="1"/>
    <row r="72" spans="2:2" ht="13.75" customHeight="1">
      <c r="B72" s="1"/>
    </row>
    <row r="73" spans="2:2" ht="13.75" customHeight="1"/>
    <row r="74" spans="2:2" ht="13.75" customHeight="1"/>
    <row r="75" spans="2:2" ht="13.75" customHeight="1"/>
    <row r="76" spans="2:2" ht="13.75" customHeight="1"/>
    <row r="77" spans="2:2" ht="13.75" customHeight="1"/>
    <row r="78" spans="2:2" ht="13.75" customHeight="1"/>
    <row r="79" spans="2:2" ht="13.75" customHeight="1"/>
    <row r="80" spans="2:2" ht="13.75" customHeight="1"/>
    <row r="81" spans="9:9" ht="13.75" customHeight="1"/>
    <row r="82" spans="9:9" ht="13.75" customHeight="1"/>
    <row r="83" spans="9:9" ht="13.75" customHeight="1"/>
    <row r="84" spans="9:9" ht="13.75" customHeight="1"/>
    <row r="85" spans="9:9" ht="13.75" customHeight="1">
      <c r="I85" s="4"/>
    </row>
    <row r="86" spans="9:9" ht="13.75" customHeight="1">
      <c r="I86" s="4"/>
    </row>
    <row r="87" spans="9:9" ht="13.75" customHeight="1"/>
    <row r="88" spans="9:9" ht="13.75" customHeight="1"/>
    <row r="89" spans="9:9" ht="13.75" customHeight="1"/>
    <row r="90" spans="9:9" ht="13.75" customHeight="1"/>
    <row r="91" spans="9:9" ht="13.75" customHeight="1"/>
    <row r="92" spans="9:9" ht="13.75" customHeight="1"/>
    <row r="93" spans="9:9" ht="13.75" customHeight="1"/>
    <row r="94" spans="9:9" ht="13.75" customHeight="1"/>
    <row r="95" spans="9:9" ht="13.75" customHeight="1"/>
    <row r="96" spans="9:9"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sheetData>
  <customSheetViews>
    <customSheetView guid="{5CDC6F58-B038-4A0E-A13D-C643B013E119}" topLeftCell="A26">
      <selection activeCell="C44" sqref="C44"/>
      <pageMargins left="0" right="0" top="0" bottom="0" header="0" footer="0"/>
      <printOptions horizontalCentered="1" verticalCentered="1"/>
      <pageSetup firstPageNumber="0" orientation="portrait" r:id="rId1"/>
      <headerFooter alignWithMargins="0">
        <oddFooter>&amp;C&amp;10&amp;A</oddFooter>
      </headerFooter>
    </customSheetView>
  </customSheetViews>
  <mergeCells count="4">
    <mergeCell ref="B49:H49"/>
    <mergeCell ref="B1:H1"/>
    <mergeCell ref="B3:H3"/>
    <mergeCell ref="B4:H4"/>
  </mergeCells>
  <printOptions horizontalCentered="1" verticalCentered="1"/>
  <pageMargins left="0.59055118110236227" right="0.59055118110236227" top="0.31496062992125984" bottom="0.23622047244094491" header="0.23622047244094491" footer="0.23622047244094491"/>
  <pageSetup paperSize="126" scale="71"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7821-183A-4148-8C54-C87BF34964E8}">
  <sheetPr>
    <pageSetUpPr fitToPage="1"/>
  </sheetPr>
  <dimension ref="A1:BK180"/>
  <sheetViews>
    <sheetView zoomScale="80" zoomScaleNormal="80" workbookViewId="0">
      <pane ySplit="1" topLeftCell="A2" activePane="bottomLeft" state="frozen"/>
      <selection activeCell="F47" sqref="F47"/>
      <selection pane="bottomLeft" activeCell="AQ37" sqref="AQ37"/>
    </sheetView>
  </sheetViews>
  <sheetFormatPr baseColWidth="10" defaultColWidth="7.25" defaultRowHeight="12.45"/>
  <cols>
    <col min="1" max="1" width="3.83203125" style="1" customWidth="1"/>
    <col min="2" max="2" width="8.25" style="739" customWidth="1"/>
    <col min="3" max="10" width="6.4140625" style="739" customWidth="1"/>
    <col min="11" max="11" width="7.1640625" style="531" customWidth="1"/>
    <col min="12" max="12" width="7.6640625" style="765" customWidth="1"/>
    <col min="13" max="13" width="7.6640625" style="766" hidden="1" customWidth="1"/>
    <col min="14" max="38" width="7.6640625" style="339" hidden="1" customWidth="1"/>
    <col min="39" max="56" width="7.6640625" style="339" customWidth="1"/>
    <col min="57" max="59" width="7.6640625" style="531" customWidth="1"/>
    <col min="60" max="16384" width="7.25" style="531"/>
  </cols>
  <sheetData>
    <row r="1" spans="1:63" s="343" customFormat="1">
      <c r="A1" s="22"/>
      <c r="B1" s="738"/>
      <c r="C1" s="738"/>
      <c r="D1" s="738"/>
      <c r="E1" s="738"/>
      <c r="F1" s="738"/>
      <c r="G1" s="738"/>
      <c r="H1" s="738"/>
      <c r="I1" s="738"/>
      <c r="J1" s="738"/>
      <c r="L1" s="584"/>
      <c r="M1" s="764"/>
      <c r="N1" s="417">
        <v>44256</v>
      </c>
      <c r="O1" s="417">
        <v>44317</v>
      </c>
      <c r="P1" s="417">
        <v>44378</v>
      </c>
      <c r="Q1" s="417">
        <v>44440</v>
      </c>
      <c r="R1" s="417">
        <v>44531</v>
      </c>
      <c r="S1" s="417">
        <v>44621</v>
      </c>
      <c r="T1" s="417">
        <v>44652</v>
      </c>
      <c r="U1" s="417">
        <v>44682</v>
      </c>
      <c r="V1" s="417">
        <v>44713</v>
      </c>
      <c r="W1" s="417">
        <v>44743</v>
      </c>
      <c r="X1" s="417">
        <v>44774</v>
      </c>
      <c r="Y1" s="417">
        <v>44805</v>
      </c>
      <c r="Z1" s="417">
        <v>44835</v>
      </c>
      <c r="AA1" s="417">
        <v>44866</v>
      </c>
      <c r="AB1" s="417">
        <v>44896</v>
      </c>
      <c r="AC1" s="417">
        <v>44927</v>
      </c>
      <c r="AD1" s="417">
        <v>44958</v>
      </c>
      <c r="AE1" s="417">
        <v>44986</v>
      </c>
      <c r="AF1" s="417">
        <v>45047</v>
      </c>
      <c r="AG1" s="417">
        <v>45078</v>
      </c>
      <c r="AH1" s="417">
        <v>45108</v>
      </c>
      <c r="AI1" s="417">
        <v>45139</v>
      </c>
      <c r="AJ1" s="417">
        <v>45170</v>
      </c>
      <c r="AK1" s="417">
        <v>45200</v>
      </c>
      <c r="AL1" s="417">
        <v>45231</v>
      </c>
      <c r="AM1" s="417">
        <v>45261</v>
      </c>
      <c r="AN1" s="417">
        <v>45292</v>
      </c>
      <c r="AO1" s="417">
        <v>45323</v>
      </c>
      <c r="AP1" s="417">
        <v>45352</v>
      </c>
      <c r="AQ1" s="417">
        <v>45383</v>
      </c>
      <c r="AR1" s="417">
        <v>45413</v>
      </c>
      <c r="AS1" s="417">
        <v>45444</v>
      </c>
      <c r="AT1" s="417">
        <v>45474</v>
      </c>
      <c r="AU1" s="417">
        <v>45505</v>
      </c>
      <c r="AV1" s="417">
        <v>45536</v>
      </c>
      <c r="AW1" s="417">
        <v>45566</v>
      </c>
      <c r="AX1" s="417">
        <v>45597</v>
      </c>
      <c r="AY1" s="417">
        <v>45627</v>
      </c>
      <c r="AZ1" s="417">
        <v>45717</v>
      </c>
      <c r="BA1" s="417">
        <v>45778</v>
      </c>
      <c r="BB1" s="417">
        <v>45839</v>
      </c>
      <c r="BC1" s="417">
        <v>45901</v>
      </c>
      <c r="BD1" s="275"/>
    </row>
    <row r="2" spans="1:63" s="343" customFormat="1" ht="17.7" customHeight="1">
      <c r="A2" s="22"/>
      <c r="B2" s="738"/>
      <c r="C2" s="738"/>
      <c r="D2" s="738"/>
      <c r="E2" s="738"/>
      <c r="F2" s="738"/>
      <c r="G2" s="738"/>
      <c r="H2" s="738"/>
      <c r="I2" s="738"/>
      <c r="J2" s="738"/>
      <c r="L2" s="765">
        <v>44200</v>
      </c>
      <c r="M2" s="766" t="s">
        <v>274</v>
      </c>
      <c r="N2" s="496">
        <v>220.28028</v>
      </c>
      <c r="O2" s="496"/>
      <c r="P2" s="496">
        <v>222.30119999999999</v>
      </c>
      <c r="Q2" s="496">
        <v>223.77096</v>
      </c>
      <c r="R2" s="496">
        <v>226.52676</v>
      </c>
      <c r="S2" s="496">
        <v>227.90466000000001</v>
      </c>
      <c r="T2" s="496"/>
      <c r="U2" s="496"/>
      <c r="V2" s="496"/>
      <c r="W2" s="496"/>
      <c r="X2" s="496"/>
      <c r="Y2" s="417">
        <v>44835</v>
      </c>
      <c r="Z2" s="496"/>
      <c r="AA2" s="496"/>
      <c r="AB2" s="339"/>
      <c r="AC2" s="339"/>
      <c r="AD2" s="339"/>
      <c r="AE2" s="339"/>
      <c r="AF2" s="339"/>
      <c r="AG2" s="339"/>
      <c r="AH2" s="339"/>
      <c r="AI2" s="339"/>
      <c r="AJ2" s="275"/>
      <c r="AK2" s="275"/>
      <c r="AL2" s="275"/>
      <c r="AM2" s="275"/>
      <c r="AN2" s="275"/>
      <c r="AO2" s="275"/>
      <c r="AP2" s="275"/>
      <c r="AQ2" s="275"/>
      <c r="AR2" s="275"/>
      <c r="AS2" s="275"/>
      <c r="AT2" s="275"/>
      <c r="AU2" s="275"/>
      <c r="AV2" s="275"/>
      <c r="AW2" s="275"/>
      <c r="AX2" s="275"/>
      <c r="AY2" s="275"/>
      <c r="AZ2" s="275"/>
      <c r="BA2" s="275"/>
      <c r="BB2" s="275"/>
      <c r="BC2" s="275"/>
      <c r="BD2" s="275"/>
    </row>
    <row r="3" spans="1:63" s="343" customFormat="1" ht="17.7" customHeight="1">
      <c r="A3" s="22"/>
      <c r="B3" s="738"/>
      <c r="C3" s="738"/>
      <c r="D3" s="738"/>
      <c r="E3" s="738"/>
      <c r="F3" s="738"/>
      <c r="G3" s="738"/>
      <c r="H3" s="738"/>
      <c r="I3" s="738"/>
      <c r="J3" s="738"/>
      <c r="L3" s="765">
        <v>44207</v>
      </c>
      <c r="M3" s="766" t="s">
        <v>275</v>
      </c>
      <c r="N3" s="496">
        <v>218.25935999999999</v>
      </c>
      <c r="O3" s="496"/>
      <c r="P3" s="496">
        <v>221.10702000000001</v>
      </c>
      <c r="Q3" s="496">
        <v>222.94422</v>
      </c>
      <c r="R3" s="496">
        <v>225.70001999999999</v>
      </c>
      <c r="S3" s="496">
        <v>227.3535</v>
      </c>
      <c r="T3" s="496"/>
      <c r="U3" s="496"/>
      <c r="V3" s="496"/>
      <c r="W3" s="496"/>
      <c r="X3" s="496"/>
      <c r="Y3" s="417">
        <v>44866</v>
      </c>
      <c r="Z3" s="496"/>
      <c r="AA3" s="496"/>
      <c r="AB3" s="339"/>
      <c r="AC3" s="339"/>
      <c r="AD3" s="339"/>
      <c r="AE3" s="339"/>
      <c r="AF3" s="339"/>
      <c r="AG3" s="339"/>
      <c r="AH3" s="339"/>
      <c r="AI3" s="339"/>
      <c r="AJ3" s="275"/>
      <c r="AK3" s="275"/>
      <c r="AL3" s="275"/>
      <c r="AM3" s="275"/>
      <c r="AN3" s="275"/>
      <c r="AO3" s="275"/>
      <c r="AP3" s="275"/>
      <c r="AQ3" s="275"/>
      <c r="AR3" s="275"/>
      <c r="AS3" s="275"/>
      <c r="AT3" s="275"/>
      <c r="AU3" s="275"/>
      <c r="AV3" s="275"/>
      <c r="AW3" s="275"/>
      <c r="AX3" s="275"/>
      <c r="AY3" s="275"/>
      <c r="AZ3" s="275"/>
      <c r="BA3" s="275"/>
      <c r="BB3" s="275"/>
      <c r="BC3" s="275"/>
      <c r="BD3" s="275"/>
    </row>
    <row r="4" spans="1:63" s="343" customFormat="1" ht="17.7" customHeight="1">
      <c r="A4" s="22"/>
      <c r="B4" s="738"/>
      <c r="C4" s="738"/>
      <c r="D4" s="738"/>
      <c r="E4" s="738"/>
      <c r="F4" s="738"/>
      <c r="G4" s="738"/>
      <c r="H4" s="738"/>
      <c r="I4" s="738"/>
      <c r="J4" s="738"/>
      <c r="L4" s="765">
        <v>44215</v>
      </c>
      <c r="M4" s="494" t="s">
        <v>276</v>
      </c>
      <c r="N4" s="496">
        <v>236.63136</v>
      </c>
      <c r="O4" s="496"/>
      <c r="P4" s="496">
        <v>237.4581</v>
      </c>
      <c r="Q4" s="496">
        <v>238.65227999999999</v>
      </c>
      <c r="R4" s="496">
        <v>241.04064</v>
      </c>
      <c r="S4" s="496">
        <v>241.49993999999998</v>
      </c>
      <c r="T4" s="496"/>
      <c r="U4" s="496"/>
      <c r="V4" s="496"/>
      <c r="W4" s="496"/>
      <c r="X4" s="496"/>
      <c r="Y4" s="417">
        <v>44896</v>
      </c>
      <c r="Z4" s="496"/>
      <c r="AA4" s="496"/>
      <c r="AB4" s="339"/>
      <c r="AC4" s="339"/>
      <c r="AD4" s="339"/>
      <c r="AE4" s="339"/>
      <c r="AF4" s="339"/>
      <c r="AG4" s="339"/>
      <c r="AH4" s="339"/>
      <c r="AI4" s="339"/>
      <c r="AJ4" s="275"/>
      <c r="AK4" s="275"/>
      <c r="AL4" s="275"/>
      <c r="AM4" s="275"/>
      <c r="AN4" s="275"/>
      <c r="AO4" s="275"/>
      <c r="AP4" s="275"/>
      <c r="AQ4" s="275"/>
      <c r="AR4" s="275"/>
      <c r="AS4" s="275"/>
      <c r="AT4" s="275"/>
      <c r="AU4" s="275"/>
      <c r="AV4" s="275"/>
      <c r="AW4" s="275"/>
      <c r="AX4" s="275"/>
      <c r="AY4" s="275"/>
      <c r="AZ4" s="275"/>
      <c r="BA4" s="275"/>
      <c r="BB4" s="275"/>
      <c r="BC4" s="275"/>
      <c r="BD4" s="275"/>
    </row>
    <row r="5" spans="1:63" s="343" customFormat="1" ht="24.9">
      <c r="A5" s="22"/>
      <c r="B5" s="738"/>
      <c r="C5" s="738"/>
      <c r="D5" s="738"/>
      <c r="E5" s="738"/>
      <c r="F5" s="738"/>
      <c r="G5" s="738"/>
      <c r="H5" s="738"/>
      <c r="I5" s="738"/>
      <c r="J5" s="738"/>
      <c r="L5" s="765">
        <v>44221</v>
      </c>
      <c r="M5" s="494" t="s">
        <v>277</v>
      </c>
      <c r="N5" s="496">
        <v>230.47674000000001</v>
      </c>
      <c r="O5" s="496"/>
      <c r="P5" s="496">
        <v>231.21161999999998</v>
      </c>
      <c r="Q5" s="496">
        <v>231.94649999999999</v>
      </c>
      <c r="R5" s="496">
        <v>233.78369999999998</v>
      </c>
      <c r="S5" s="496">
        <v>234.24299999999999</v>
      </c>
      <c r="T5" s="496"/>
      <c r="U5" s="496"/>
      <c r="V5" s="496"/>
      <c r="W5" s="496"/>
      <c r="X5" s="496"/>
      <c r="Y5" s="417">
        <v>44927</v>
      </c>
      <c r="Z5" s="496"/>
      <c r="AA5" s="496"/>
      <c r="AB5" s="339"/>
      <c r="AC5" s="339"/>
      <c r="AD5" s="339"/>
      <c r="AE5" s="339"/>
      <c r="AF5" s="339"/>
      <c r="AG5" s="339"/>
      <c r="AH5" s="339"/>
      <c r="AI5" s="339"/>
      <c r="AJ5" s="275"/>
      <c r="AK5" s="275"/>
      <c r="AL5" s="275"/>
      <c r="AM5" s="275"/>
      <c r="AN5" s="275"/>
      <c r="AO5" s="275"/>
      <c r="AP5" s="275"/>
      <c r="AQ5" s="275"/>
      <c r="AR5" s="275"/>
      <c r="AS5" s="275"/>
      <c r="AT5" s="275"/>
      <c r="AU5" s="275"/>
      <c r="AV5" s="275"/>
      <c r="AW5" s="275"/>
      <c r="AX5" s="275"/>
      <c r="AY5" s="275"/>
      <c r="AZ5" s="275"/>
      <c r="BA5" s="275"/>
      <c r="BB5" s="275"/>
      <c r="BC5" s="275"/>
      <c r="BD5" s="275"/>
    </row>
    <row r="6" spans="1:63" s="343" customFormat="1" ht="24.9">
      <c r="A6" s="22"/>
      <c r="B6" s="738"/>
      <c r="C6" s="738"/>
      <c r="D6" s="738"/>
      <c r="E6" s="738"/>
      <c r="F6" s="738"/>
      <c r="G6" s="738"/>
      <c r="H6" s="738"/>
      <c r="I6" s="738"/>
      <c r="J6" s="738"/>
      <c r="L6" s="765">
        <v>44228</v>
      </c>
      <c r="M6" s="494" t="s">
        <v>278</v>
      </c>
      <c r="N6" s="496">
        <v>229.74186</v>
      </c>
      <c r="O6" s="496"/>
      <c r="P6" s="496">
        <v>230.66046</v>
      </c>
      <c r="Q6" s="496">
        <v>231.21161999999998</v>
      </c>
      <c r="R6" s="496">
        <v>232.86509999999998</v>
      </c>
      <c r="S6" s="496">
        <v>233.04882000000001</v>
      </c>
      <c r="T6" s="496"/>
      <c r="U6" s="496"/>
      <c r="V6" s="496"/>
      <c r="W6" s="496"/>
      <c r="X6" s="496"/>
      <c r="Y6" s="417">
        <v>44958</v>
      </c>
      <c r="Z6" s="496"/>
      <c r="AA6" s="496"/>
      <c r="AB6" s="496"/>
      <c r="AC6" s="496"/>
      <c r="AD6" s="496"/>
      <c r="AE6" s="339"/>
      <c r="AF6" s="339"/>
      <c r="AG6" s="339"/>
      <c r="AH6" s="339"/>
      <c r="AI6" s="339"/>
      <c r="AJ6" s="275"/>
      <c r="AK6" s="275"/>
      <c r="AL6" s="275"/>
      <c r="AM6" s="275"/>
      <c r="AN6" s="275"/>
      <c r="AO6" s="275"/>
      <c r="AP6" s="275"/>
      <c r="AQ6" s="275"/>
      <c r="AR6" s="275"/>
      <c r="AS6" s="275"/>
      <c r="AT6" s="275"/>
      <c r="AU6" s="275"/>
      <c r="AV6" s="275"/>
      <c r="AW6" s="275"/>
      <c r="AX6" s="275"/>
      <c r="AY6" s="275"/>
      <c r="AZ6" s="275"/>
      <c r="BA6" s="275"/>
      <c r="BB6" s="275"/>
      <c r="BC6" s="275"/>
      <c r="BD6" s="275"/>
    </row>
    <row r="7" spans="1:63" ht="12.8" customHeight="1">
      <c r="B7" s="738"/>
      <c r="C7" s="738"/>
      <c r="D7" s="738"/>
      <c r="E7" s="738"/>
      <c r="F7" s="738"/>
      <c r="G7" s="738"/>
      <c r="H7" s="738"/>
      <c r="I7" s="738"/>
      <c r="J7" s="738"/>
      <c r="K7" s="343"/>
      <c r="L7" s="765">
        <v>44235</v>
      </c>
      <c r="M7" s="494" t="s">
        <v>279</v>
      </c>
      <c r="N7" s="496">
        <v>234.97788</v>
      </c>
      <c r="O7" s="496">
        <v>236.72322</v>
      </c>
      <c r="P7" s="496">
        <v>236.90693999999999</v>
      </c>
      <c r="Q7" s="496">
        <v>238.00925999999998</v>
      </c>
      <c r="R7" s="496">
        <v>240.03018</v>
      </c>
      <c r="S7" s="496">
        <v>241.22435999999999</v>
      </c>
      <c r="T7" s="496"/>
      <c r="U7" s="496"/>
      <c r="V7" s="496"/>
      <c r="W7" s="496"/>
      <c r="X7" s="496"/>
      <c r="Y7" s="417">
        <v>44986</v>
      </c>
      <c r="Z7" s="496"/>
      <c r="AA7" s="496"/>
    </row>
    <row r="8" spans="1:63" s="343" customFormat="1" ht="11.95" customHeight="1">
      <c r="A8" s="22"/>
      <c r="B8" s="738"/>
      <c r="C8" s="738"/>
      <c r="D8" s="738"/>
      <c r="E8" s="738"/>
      <c r="F8" s="738"/>
      <c r="G8" s="738"/>
      <c r="H8" s="738"/>
      <c r="I8" s="738"/>
      <c r="J8" s="738"/>
      <c r="L8" s="765">
        <v>44243</v>
      </c>
      <c r="M8" s="766" t="s">
        <v>280</v>
      </c>
      <c r="N8" s="496">
        <v>234.24299999999999</v>
      </c>
      <c r="O8" s="496">
        <v>236.35577999999998</v>
      </c>
      <c r="P8" s="496">
        <v>237.09065999999999</v>
      </c>
      <c r="Q8" s="496">
        <v>238.46856</v>
      </c>
      <c r="R8" s="496">
        <v>240.58133999999998</v>
      </c>
      <c r="S8" s="496">
        <v>242.32667999999998</v>
      </c>
      <c r="T8" s="496"/>
      <c r="U8" s="496"/>
      <c r="V8" s="496"/>
      <c r="W8" s="496"/>
      <c r="X8" s="496"/>
      <c r="Y8" s="417">
        <v>45017</v>
      </c>
      <c r="Z8" s="496"/>
      <c r="AA8" s="496"/>
      <c r="AB8" s="339"/>
      <c r="AC8" s="339"/>
      <c r="AD8" s="339"/>
      <c r="AE8" s="339"/>
      <c r="AF8" s="339"/>
      <c r="AG8" s="339"/>
      <c r="AH8" s="339"/>
      <c r="AI8" s="339"/>
      <c r="AJ8" s="275"/>
      <c r="AK8" s="275"/>
      <c r="AL8" s="275"/>
      <c r="AM8" s="275"/>
      <c r="AN8" s="275"/>
      <c r="AO8" s="275"/>
      <c r="AP8" s="275"/>
      <c r="AQ8" s="275"/>
      <c r="AR8" s="275"/>
      <c r="AS8" s="275"/>
      <c r="AT8" s="275"/>
      <c r="AU8" s="275"/>
      <c r="AV8" s="275"/>
      <c r="AW8" s="275"/>
      <c r="AX8" s="275"/>
      <c r="AY8" s="275"/>
      <c r="AZ8" s="275"/>
      <c r="BA8" s="275"/>
      <c r="BB8" s="275"/>
      <c r="BC8" s="275"/>
      <c r="BD8" s="275"/>
    </row>
    <row r="9" spans="1:63" s="343" customFormat="1" ht="11.95" customHeight="1">
      <c r="A9" s="22"/>
      <c r="B9" s="738"/>
      <c r="C9" s="738"/>
      <c r="D9" s="738"/>
      <c r="E9" s="738"/>
      <c r="F9" s="738"/>
      <c r="G9" s="738"/>
      <c r="H9" s="738"/>
      <c r="I9" s="738"/>
      <c r="J9" s="738"/>
      <c r="L9" s="765">
        <v>44249</v>
      </c>
      <c r="M9" s="766" t="s">
        <v>281</v>
      </c>
      <c r="N9" s="496">
        <v>236.81507999999999</v>
      </c>
      <c r="O9" s="496">
        <v>239.20344</v>
      </c>
      <c r="P9" s="496">
        <v>240.48947999999999</v>
      </c>
      <c r="Q9" s="496">
        <v>241.95923999999999</v>
      </c>
      <c r="R9" s="496">
        <v>243.98015999999998</v>
      </c>
      <c r="S9" s="496">
        <v>245.44991999999999</v>
      </c>
      <c r="T9" s="496"/>
      <c r="U9" s="496"/>
      <c r="V9" s="496"/>
      <c r="W9" s="496"/>
      <c r="X9" s="496"/>
      <c r="Y9" s="417">
        <v>45047</v>
      </c>
      <c r="Z9" s="496"/>
      <c r="AA9" s="496"/>
      <c r="AB9" s="339"/>
      <c r="AC9" s="339"/>
      <c r="AD9" s="339"/>
      <c r="AE9" s="339"/>
      <c r="AF9" s="339"/>
      <c r="AG9" s="339"/>
      <c r="AH9" s="339"/>
      <c r="AI9" s="339"/>
      <c r="AJ9" s="275"/>
      <c r="AK9" s="275"/>
      <c r="AL9" s="275"/>
      <c r="AM9" s="275"/>
      <c r="AN9" s="275"/>
      <c r="AO9" s="275"/>
      <c r="AP9" s="275"/>
      <c r="AQ9" s="275"/>
      <c r="AR9" s="275"/>
      <c r="AS9" s="275"/>
      <c r="AT9" s="275"/>
      <c r="AU9" s="275"/>
      <c r="AV9" s="275"/>
      <c r="AW9" s="275"/>
      <c r="AX9" s="275"/>
      <c r="AY9" s="275"/>
      <c r="AZ9" s="275"/>
      <c r="BA9" s="275"/>
      <c r="BB9" s="275"/>
      <c r="BC9" s="275"/>
      <c r="BD9" s="275"/>
    </row>
    <row r="10" spans="1:63" s="343" customFormat="1" ht="11.95" customHeight="1">
      <c r="A10" s="22"/>
      <c r="B10" s="738"/>
      <c r="C10" s="738"/>
      <c r="D10" s="738"/>
      <c r="E10" s="738"/>
      <c r="F10" s="738"/>
      <c r="G10" s="738"/>
      <c r="H10" s="738"/>
      <c r="I10" s="738"/>
      <c r="J10" s="738"/>
      <c r="L10" s="765">
        <v>44256</v>
      </c>
      <c r="M10" s="766" t="s">
        <v>282</v>
      </c>
      <c r="N10" s="496">
        <v>225.70001999999999</v>
      </c>
      <c r="O10" s="496">
        <v>229.00698</v>
      </c>
      <c r="P10" s="496">
        <v>231.02789999999999</v>
      </c>
      <c r="Q10" s="496">
        <v>232.77323999999999</v>
      </c>
      <c r="R10" s="496">
        <v>235.62090000000001</v>
      </c>
      <c r="S10" s="496">
        <v>237.91739999999999</v>
      </c>
      <c r="T10" s="496"/>
      <c r="U10" s="496"/>
      <c r="V10" s="496"/>
      <c r="W10" s="496"/>
      <c r="X10" s="496"/>
      <c r="Y10" s="417">
        <v>45078</v>
      </c>
      <c r="Z10" s="496"/>
      <c r="AA10" s="496"/>
      <c r="AB10" s="339"/>
      <c r="AC10" s="339"/>
      <c r="AD10" s="339"/>
      <c r="AE10" s="339"/>
      <c r="AF10" s="339"/>
      <c r="AG10" s="339"/>
      <c r="AH10" s="339"/>
      <c r="AI10" s="339"/>
      <c r="AJ10" s="275"/>
      <c r="AK10" s="275"/>
      <c r="AL10" s="275"/>
      <c r="AM10" s="275"/>
      <c r="AN10" s="275"/>
      <c r="AO10" s="275"/>
      <c r="AP10" s="275"/>
      <c r="AQ10" s="275"/>
      <c r="AR10" s="275"/>
      <c r="AS10" s="275"/>
      <c r="AT10" s="275"/>
      <c r="AU10" s="275"/>
      <c r="AV10" s="275"/>
      <c r="AW10" s="275"/>
      <c r="AX10" s="275"/>
      <c r="AY10" s="275"/>
      <c r="AZ10" s="275"/>
      <c r="BA10" s="275"/>
      <c r="BB10" s="275"/>
      <c r="BC10" s="275"/>
      <c r="BD10" s="275"/>
    </row>
    <row r="11" spans="1:63" s="343" customFormat="1" ht="11.95" customHeight="1">
      <c r="A11" s="22"/>
      <c r="B11" s="738"/>
      <c r="C11" s="738"/>
      <c r="D11" s="738"/>
      <c r="E11" s="738"/>
      <c r="F11" s="738"/>
      <c r="G11" s="738"/>
      <c r="H11" s="738"/>
      <c r="I11" s="738"/>
      <c r="J11" s="738"/>
      <c r="L11" s="765">
        <v>44263</v>
      </c>
      <c r="M11" s="766" t="s">
        <v>283</v>
      </c>
      <c r="N11" s="496">
        <v>225.33258000000001</v>
      </c>
      <c r="O11" s="496">
        <v>228.45581999999999</v>
      </c>
      <c r="P11" s="496">
        <v>230.5686</v>
      </c>
      <c r="Q11" s="496">
        <v>232.58951999999999</v>
      </c>
      <c r="R11" s="496">
        <v>235.25345999999999</v>
      </c>
      <c r="S11" s="496">
        <v>237.36624</v>
      </c>
      <c r="T11" s="496"/>
      <c r="U11" s="496"/>
      <c r="V11" s="496"/>
      <c r="W11" s="496"/>
      <c r="X11" s="496"/>
      <c r="Y11" s="417">
        <v>45108</v>
      </c>
      <c r="Z11" s="496"/>
      <c r="AA11" s="496"/>
      <c r="AB11" s="496"/>
      <c r="AC11" s="496"/>
      <c r="AD11" s="496"/>
      <c r="AE11" s="339"/>
      <c r="AF11" s="339"/>
      <c r="AG11" s="339"/>
      <c r="AH11" s="339"/>
      <c r="AI11" s="339"/>
      <c r="AJ11" s="275"/>
      <c r="AK11" s="275"/>
      <c r="AL11" s="275"/>
      <c r="AM11" s="275"/>
      <c r="AN11" s="275"/>
      <c r="AO11" s="275"/>
      <c r="AP11" s="275"/>
      <c r="AQ11" s="275"/>
      <c r="AR11" s="275"/>
      <c r="AS11" s="275"/>
      <c r="AT11" s="275"/>
      <c r="AU11" s="275"/>
      <c r="AV11" s="275"/>
      <c r="AW11" s="275"/>
      <c r="AX11" s="275"/>
      <c r="AY11" s="275"/>
      <c r="AZ11" s="275"/>
      <c r="BA11" s="275"/>
      <c r="BB11" s="275"/>
      <c r="BC11" s="275"/>
      <c r="BD11" s="275"/>
    </row>
    <row r="12" spans="1:63" s="343" customFormat="1" ht="11.95" customHeight="1">
      <c r="A12" s="22"/>
      <c r="B12" s="738"/>
      <c r="C12" s="738"/>
      <c r="D12" s="738"/>
      <c r="E12" s="738"/>
      <c r="F12" s="738"/>
      <c r="G12" s="738"/>
      <c r="H12" s="738"/>
      <c r="I12" s="738"/>
      <c r="J12" s="738"/>
      <c r="K12" s="759"/>
      <c r="L12" s="765">
        <v>44270</v>
      </c>
      <c r="M12" s="766" t="s">
        <v>284</v>
      </c>
      <c r="N12" s="339"/>
      <c r="O12" s="496">
        <v>222.94422</v>
      </c>
      <c r="P12" s="496">
        <v>224.78142</v>
      </c>
      <c r="Q12" s="496">
        <v>226.80233999999999</v>
      </c>
      <c r="R12" s="496">
        <v>229.65</v>
      </c>
      <c r="S12" s="496">
        <v>231.85463999999999</v>
      </c>
      <c r="T12" s="496"/>
      <c r="U12" s="496"/>
      <c r="V12" s="496"/>
      <c r="W12" s="496"/>
      <c r="X12" s="496"/>
      <c r="Y12" s="417">
        <v>45139</v>
      </c>
      <c r="Z12" s="496"/>
      <c r="AA12" s="496"/>
      <c r="AB12" s="496"/>
      <c r="AC12" s="496"/>
      <c r="AD12" s="496"/>
      <c r="AE12" s="339"/>
      <c r="AF12" s="339"/>
      <c r="AG12" s="339"/>
      <c r="AH12" s="339"/>
      <c r="AI12" s="339"/>
      <c r="AJ12" s="275"/>
      <c r="AK12" s="275"/>
      <c r="AL12" s="275"/>
      <c r="AM12" s="275"/>
      <c r="AN12" s="275"/>
      <c r="AO12" s="275"/>
      <c r="AP12" s="275"/>
      <c r="AQ12" s="275"/>
      <c r="AR12" s="275"/>
      <c r="AS12" s="275"/>
      <c r="AT12" s="275"/>
      <c r="AU12" s="275"/>
      <c r="AV12" s="275"/>
      <c r="AW12" s="275"/>
      <c r="AX12" s="275"/>
      <c r="AY12" s="275"/>
      <c r="AZ12" s="275"/>
      <c r="BA12" s="275"/>
      <c r="BB12" s="275"/>
      <c r="BC12" s="275"/>
      <c r="BD12" s="275"/>
    </row>
    <row r="13" spans="1:63" s="343" customFormat="1" ht="11.95" customHeight="1">
      <c r="A13" s="22"/>
      <c r="B13" s="738"/>
      <c r="C13" s="738"/>
      <c r="D13" s="738"/>
      <c r="E13" s="738"/>
      <c r="F13" s="738"/>
      <c r="G13" s="738"/>
      <c r="H13" s="738"/>
      <c r="I13" s="738"/>
      <c r="J13" s="738"/>
      <c r="K13" s="759"/>
      <c r="L13" s="765">
        <v>44325</v>
      </c>
      <c r="M13" s="767" t="s">
        <v>285</v>
      </c>
      <c r="N13" s="339"/>
      <c r="O13" s="339">
        <v>212.47217999999998</v>
      </c>
      <c r="P13" s="339">
        <v>214.67681999999999</v>
      </c>
      <c r="Q13" s="339">
        <v>216.78960000000001</v>
      </c>
      <c r="R13" s="339">
        <v>219.82097999999999</v>
      </c>
      <c r="S13" s="339">
        <v>222.30119999999999</v>
      </c>
      <c r="T13" s="339"/>
      <c r="U13" s="339"/>
      <c r="V13" s="339"/>
      <c r="W13" s="339"/>
      <c r="X13" s="339"/>
      <c r="Y13" s="417">
        <v>45170</v>
      </c>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275"/>
      <c r="BC13" s="275"/>
      <c r="BD13" s="275"/>
    </row>
    <row r="14" spans="1:63" s="343" customFormat="1" ht="11.95" customHeight="1">
      <c r="A14" s="22"/>
      <c r="B14" s="738"/>
      <c r="C14" s="738"/>
      <c r="D14" s="738"/>
      <c r="E14" s="738"/>
      <c r="F14" s="738"/>
      <c r="G14" s="738"/>
      <c r="H14" s="738"/>
      <c r="I14" s="738"/>
      <c r="J14" s="738"/>
      <c r="K14" s="759"/>
      <c r="L14" s="765">
        <v>44284</v>
      </c>
      <c r="M14" s="767" t="s">
        <v>286</v>
      </c>
      <c r="N14" s="339"/>
      <c r="O14" s="339">
        <v>209.25708</v>
      </c>
      <c r="P14" s="339">
        <v>211.46171999999999</v>
      </c>
      <c r="Q14" s="339">
        <v>213.75821999999999</v>
      </c>
      <c r="R14" s="339">
        <v>217.24889999999999</v>
      </c>
      <c r="S14" s="339">
        <v>220.28028</v>
      </c>
      <c r="T14" s="339"/>
      <c r="U14" s="339"/>
      <c r="V14" s="339"/>
      <c r="W14" s="339"/>
      <c r="X14" s="339"/>
      <c r="Y14" s="417">
        <v>45200</v>
      </c>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275"/>
      <c r="BC14" s="275"/>
      <c r="BD14" s="275"/>
    </row>
    <row r="15" spans="1:63" s="532" customFormat="1" ht="11.95" customHeight="1">
      <c r="A15" s="556"/>
      <c r="B15" s="740"/>
      <c r="C15" s="740"/>
      <c r="D15" s="740"/>
      <c r="E15" s="740"/>
      <c r="F15" s="740"/>
      <c r="G15" s="740"/>
      <c r="H15" s="740"/>
      <c r="I15" s="740"/>
      <c r="J15" s="740"/>
      <c r="K15" s="757"/>
      <c r="L15" s="765">
        <v>44291</v>
      </c>
      <c r="M15" s="767" t="s">
        <v>287</v>
      </c>
      <c r="N15" s="339"/>
      <c r="O15" s="339">
        <v>206.86872</v>
      </c>
      <c r="P15" s="339">
        <v>209.34894</v>
      </c>
      <c r="Q15" s="339">
        <v>211.7373</v>
      </c>
      <c r="R15" s="339">
        <v>215.59541999999999</v>
      </c>
      <c r="S15" s="339">
        <v>219.08609999999999</v>
      </c>
      <c r="T15" s="339"/>
      <c r="U15" s="339"/>
      <c r="V15" s="339"/>
      <c r="W15" s="339"/>
      <c r="X15" s="339"/>
      <c r="Y15" s="417">
        <v>45231</v>
      </c>
      <c r="Z15" s="339"/>
      <c r="AA15" s="339"/>
      <c r="AB15" s="339">
        <v>223.12794</v>
      </c>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c r="BA15" s="339"/>
      <c r="BB15" s="275"/>
      <c r="BC15" s="275"/>
      <c r="BD15" s="275"/>
      <c r="BE15" s="343"/>
      <c r="BF15" s="343"/>
      <c r="BG15" s="343"/>
      <c r="BH15" s="343"/>
      <c r="BI15" s="343"/>
      <c r="BJ15" s="343"/>
      <c r="BK15" s="343"/>
    </row>
    <row r="16" spans="1:63" s="343" customFormat="1" ht="11.95" customHeight="1">
      <c r="A16" s="22"/>
      <c r="B16" s="738"/>
      <c r="C16" s="738"/>
      <c r="D16" s="738"/>
      <c r="E16" s="738"/>
      <c r="F16" s="738"/>
      <c r="G16" s="738"/>
      <c r="H16" s="738"/>
      <c r="I16" s="738"/>
      <c r="J16" s="738"/>
      <c r="K16" s="759"/>
      <c r="L16" s="765">
        <v>44298</v>
      </c>
      <c r="M16" s="767" t="s">
        <v>288</v>
      </c>
      <c r="N16" s="339"/>
      <c r="O16" s="339">
        <v>212.74776</v>
      </c>
      <c r="P16" s="339">
        <v>215.59541999999999</v>
      </c>
      <c r="Q16" s="339">
        <v>217.98378</v>
      </c>
      <c r="R16" s="339">
        <v>221.56631999999999</v>
      </c>
      <c r="S16" s="339">
        <v>225.05699999999999</v>
      </c>
      <c r="T16" s="339"/>
      <c r="U16" s="339"/>
      <c r="V16" s="339"/>
      <c r="W16" s="339"/>
      <c r="X16" s="339"/>
      <c r="Y16" s="417">
        <v>45261</v>
      </c>
      <c r="Z16" s="339"/>
      <c r="AA16" s="339"/>
      <c r="AB16" s="339">
        <v>226.89419999999998</v>
      </c>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275"/>
      <c r="BC16" s="275"/>
      <c r="BD16" s="275"/>
    </row>
    <row r="17" spans="2:35" ht="11.95" customHeight="1">
      <c r="B17" s="738"/>
      <c r="C17" s="738"/>
      <c r="D17" s="738"/>
      <c r="E17" s="738"/>
      <c r="F17" s="738"/>
      <c r="G17" s="738"/>
      <c r="H17" s="738"/>
      <c r="I17" s="738"/>
      <c r="J17" s="738"/>
      <c r="K17" s="759"/>
      <c r="L17" s="765">
        <v>44305</v>
      </c>
      <c r="M17" s="767" t="s">
        <v>289</v>
      </c>
      <c r="O17" s="339">
        <v>224.87327999999999</v>
      </c>
      <c r="P17" s="339">
        <v>227.3535</v>
      </c>
      <c r="Q17" s="339">
        <v>229.65</v>
      </c>
      <c r="R17" s="339">
        <v>232.95695999999998</v>
      </c>
      <c r="S17" s="339">
        <v>235.89648</v>
      </c>
      <c r="Y17" s="417">
        <v>45292</v>
      </c>
      <c r="AB17" s="339">
        <v>234.79416000000001</v>
      </c>
    </row>
    <row r="18" spans="2:35" ht="11.95" customHeight="1">
      <c r="B18" s="738"/>
      <c r="C18" s="738"/>
      <c r="D18" s="738"/>
      <c r="E18" s="738"/>
      <c r="F18" s="738"/>
      <c r="G18" s="738"/>
      <c r="H18" s="738"/>
      <c r="I18" s="738"/>
      <c r="J18" s="738"/>
      <c r="K18" s="759"/>
      <c r="L18" s="765">
        <v>44312</v>
      </c>
      <c r="M18" s="767" t="s">
        <v>290</v>
      </c>
      <c r="O18" s="339">
        <v>257.85102000000001</v>
      </c>
      <c r="P18" s="339">
        <v>260.42309999999998</v>
      </c>
      <c r="Q18" s="339">
        <v>261.98471999999998</v>
      </c>
      <c r="R18" s="339">
        <v>264.28122000000002</v>
      </c>
      <c r="S18" s="339">
        <v>266.66958</v>
      </c>
      <c r="Y18" s="417">
        <v>45323</v>
      </c>
      <c r="AB18" s="339">
        <v>252.98244</v>
      </c>
    </row>
    <row r="19" spans="2:35" ht="11.95" customHeight="1">
      <c r="B19" s="738"/>
      <c r="C19" s="738"/>
      <c r="D19" s="738"/>
      <c r="E19" s="738"/>
      <c r="F19" s="738"/>
      <c r="G19" s="738"/>
      <c r="H19" s="738"/>
      <c r="I19" s="738"/>
      <c r="J19" s="738"/>
      <c r="K19" s="758"/>
      <c r="L19" s="765">
        <v>44319</v>
      </c>
      <c r="M19" s="767" t="s">
        <v>291</v>
      </c>
      <c r="O19" s="339">
        <v>250.77779999999998</v>
      </c>
      <c r="P19" s="339">
        <v>252.98244</v>
      </c>
      <c r="Q19" s="339">
        <v>254.72778</v>
      </c>
      <c r="R19" s="339">
        <v>257.39171999999996</v>
      </c>
      <c r="S19" s="339">
        <v>260.14751999999999</v>
      </c>
      <c r="Y19" s="417">
        <v>45352</v>
      </c>
      <c r="AB19" s="339">
        <v>248.4813</v>
      </c>
    </row>
    <row r="20" spans="2:35" ht="11.95" customHeight="1">
      <c r="B20" s="738"/>
      <c r="C20" s="738"/>
      <c r="D20" s="738"/>
      <c r="E20" s="738"/>
      <c r="F20" s="738"/>
      <c r="G20" s="738"/>
      <c r="H20" s="738"/>
      <c r="I20" s="738"/>
      <c r="J20" s="738"/>
      <c r="K20" s="758"/>
      <c r="L20" s="765">
        <v>44326</v>
      </c>
      <c r="M20" s="767" t="s">
        <v>292</v>
      </c>
      <c r="O20" s="339">
        <v>255.55452</v>
      </c>
      <c r="P20" s="339">
        <v>258.49403999999998</v>
      </c>
      <c r="Q20" s="339">
        <v>259.96379999999999</v>
      </c>
      <c r="R20" s="339">
        <v>262.35215999999997</v>
      </c>
      <c r="S20" s="339">
        <v>264.64866000000001</v>
      </c>
      <c r="Y20" s="417">
        <v>45383</v>
      </c>
      <c r="AB20" s="339">
        <v>252.06384</v>
      </c>
    </row>
    <row r="21" spans="2:35" ht="11.95" customHeight="1">
      <c r="B21" s="738"/>
      <c r="C21" s="738"/>
      <c r="D21" s="738"/>
      <c r="E21" s="738"/>
      <c r="F21" s="738"/>
      <c r="G21" s="738"/>
      <c r="H21" s="738"/>
      <c r="I21" s="738"/>
      <c r="J21" s="738"/>
      <c r="K21" s="758"/>
      <c r="L21" s="765">
        <v>44333</v>
      </c>
      <c r="M21" s="766" t="s">
        <v>293</v>
      </c>
      <c r="P21" s="496">
        <v>239.66273999999999</v>
      </c>
      <c r="Q21" s="496">
        <v>241.59180000000001</v>
      </c>
      <c r="R21" s="496">
        <v>244.07201999999998</v>
      </c>
      <c r="S21" s="496">
        <v>246.55223999999998</v>
      </c>
      <c r="T21" s="496"/>
      <c r="U21" s="496"/>
      <c r="V21" s="496"/>
      <c r="W21" s="496"/>
      <c r="X21" s="496"/>
      <c r="Y21" s="417">
        <v>45413</v>
      </c>
      <c r="Z21" s="496"/>
      <c r="AA21" s="496"/>
      <c r="AB21" s="496">
        <v>241.04064</v>
      </c>
      <c r="AC21" s="496"/>
      <c r="AD21" s="496"/>
    </row>
    <row r="22" spans="2:35" ht="11.95" customHeight="1">
      <c r="B22" s="738"/>
      <c r="C22" s="738"/>
      <c r="D22" s="738"/>
      <c r="E22" s="738"/>
      <c r="F22" s="738"/>
      <c r="G22" s="738"/>
      <c r="H22" s="738"/>
      <c r="I22" s="738"/>
      <c r="J22" s="738"/>
      <c r="K22" s="758"/>
      <c r="L22" s="765">
        <v>44340</v>
      </c>
      <c r="M22" s="766" t="s">
        <v>294</v>
      </c>
      <c r="P22" s="496">
        <v>226.06745999999998</v>
      </c>
      <c r="Q22" s="496">
        <v>228.82326</v>
      </c>
      <c r="R22" s="496">
        <v>232.31394</v>
      </c>
      <c r="S22" s="496">
        <v>235.34531999999999</v>
      </c>
      <c r="T22" s="496"/>
      <c r="U22" s="496"/>
      <c r="V22" s="496"/>
      <c r="W22" s="496"/>
      <c r="X22" s="496"/>
      <c r="Y22" s="417">
        <v>45444</v>
      </c>
      <c r="Z22" s="496"/>
      <c r="AA22" s="496"/>
      <c r="AB22" s="496">
        <v>239.11158</v>
      </c>
      <c r="AC22" s="496"/>
      <c r="AD22" s="496"/>
    </row>
    <row r="23" spans="2:35" ht="11.95" customHeight="1">
      <c r="C23" s="738"/>
      <c r="D23" s="738"/>
      <c r="E23" s="738"/>
      <c r="F23" s="738"/>
      <c r="G23" s="738"/>
      <c r="H23" s="738"/>
      <c r="I23" s="738"/>
      <c r="J23" s="738"/>
      <c r="K23" s="759"/>
      <c r="L23" s="765">
        <v>44348</v>
      </c>
      <c r="M23" s="766" t="s">
        <v>295</v>
      </c>
      <c r="P23" s="496">
        <v>234.24299999999999</v>
      </c>
      <c r="Q23" s="496">
        <v>236.99879999999999</v>
      </c>
      <c r="R23" s="496">
        <v>241.13249999999999</v>
      </c>
      <c r="S23" s="496">
        <v>244.62317999999999</v>
      </c>
      <c r="T23" s="496"/>
      <c r="U23" s="496"/>
      <c r="V23" s="496"/>
      <c r="W23" s="496">
        <v>244.71503999999999</v>
      </c>
      <c r="X23" s="496"/>
      <c r="Y23" s="417">
        <v>45474</v>
      </c>
      <c r="Z23" s="496"/>
      <c r="AA23" s="496"/>
      <c r="AB23" s="496">
        <v>249.30804000000001</v>
      </c>
      <c r="AC23" s="496"/>
      <c r="AD23" s="496"/>
    </row>
    <row r="24" spans="2:35" ht="11.95" customHeight="1">
      <c r="C24" s="738"/>
      <c r="D24" s="738"/>
      <c r="E24" s="738"/>
      <c r="F24" s="738"/>
      <c r="G24" s="738"/>
      <c r="H24" s="738"/>
      <c r="I24" s="738"/>
      <c r="J24" s="738"/>
      <c r="K24" s="759"/>
      <c r="L24" s="765">
        <v>44354</v>
      </c>
      <c r="M24" s="766" t="s">
        <v>296</v>
      </c>
      <c r="P24" s="496">
        <v>231.4872</v>
      </c>
      <c r="Q24" s="496">
        <v>234.42671999999999</v>
      </c>
      <c r="R24" s="496">
        <v>238.3767</v>
      </c>
      <c r="S24" s="496">
        <v>242.05109999999999</v>
      </c>
      <c r="T24" s="496"/>
      <c r="U24" s="496"/>
      <c r="V24" s="496"/>
      <c r="W24" s="496">
        <v>245.54177999999999</v>
      </c>
      <c r="X24" s="496"/>
      <c r="Y24" s="417">
        <v>45505</v>
      </c>
      <c r="Z24" s="496"/>
      <c r="AA24" s="496"/>
      <c r="AB24" s="496">
        <v>250.13478000000001</v>
      </c>
      <c r="AC24" s="496"/>
      <c r="AD24" s="496"/>
      <c r="AE24" s="496"/>
      <c r="AF24" s="496"/>
      <c r="AG24" s="496"/>
      <c r="AH24" s="496"/>
      <c r="AI24" s="496"/>
    </row>
    <row r="25" spans="2:35" ht="11.95" customHeight="1">
      <c r="B25" s="738"/>
      <c r="C25" s="738"/>
      <c r="D25" s="738"/>
      <c r="E25" s="738"/>
      <c r="F25" s="738"/>
      <c r="G25" s="738"/>
      <c r="H25" s="738"/>
      <c r="I25" s="738"/>
      <c r="J25" s="738"/>
      <c r="K25" s="759"/>
      <c r="L25" s="765">
        <v>44361</v>
      </c>
      <c r="M25" s="766" t="s">
        <v>297</v>
      </c>
      <c r="P25" s="768">
        <v>230.75232</v>
      </c>
      <c r="Q25" s="768">
        <v>233.78369999999998</v>
      </c>
      <c r="R25" s="768">
        <v>236.90693999999999</v>
      </c>
      <c r="S25" s="768">
        <v>240.12204</v>
      </c>
      <c r="T25" s="768"/>
      <c r="U25" s="768"/>
      <c r="V25" s="768"/>
      <c r="W25" s="768">
        <v>240.58133999999998</v>
      </c>
      <c r="X25" s="768"/>
      <c r="Y25" s="417">
        <v>45536</v>
      </c>
      <c r="Z25" s="768"/>
      <c r="AA25" s="768"/>
      <c r="AB25" s="768">
        <v>244.71503999999999</v>
      </c>
      <c r="AC25" s="768"/>
      <c r="AD25" s="768"/>
    </row>
    <row r="26" spans="2:35" ht="11.95" customHeight="1">
      <c r="C26" s="738"/>
      <c r="D26" s="738"/>
      <c r="E26" s="738"/>
      <c r="F26" s="738"/>
      <c r="G26" s="738"/>
      <c r="H26" s="738"/>
      <c r="I26" s="738"/>
      <c r="J26" s="738"/>
      <c r="K26" s="343"/>
      <c r="L26" s="765">
        <v>44368</v>
      </c>
      <c r="M26" s="766" t="s">
        <v>298</v>
      </c>
      <c r="P26" s="768">
        <v>220.37214</v>
      </c>
      <c r="Q26" s="768">
        <v>223.86282</v>
      </c>
      <c r="R26" s="768">
        <v>227.81279999999998</v>
      </c>
      <c r="S26" s="768">
        <v>231.76277999999999</v>
      </c>
      <c r="T26" s="768"/>
      <c r="U26" s="768"/>
      <c r="V26" s="768"/>
      <c r="W26" s="768">
        <v>233.41625999999999</v>
      </c>
      <c r="X26" s="768"/>
      <c r="Y26" s="417">
        <v>45566</v>
      </c>
      <c r="Z26" s="768"/>
      <c r="AA26" s="768"/>
      <c r="AB26" s="768">
        <v>237.82553999999999</v>
      </c>
      <c r="AC26" s="768"/>
      <c r="AD26" s="768"/>
    </row>
    <row r="27" spans="2:35" ht="11.95" customHeight="1">
      <c r="B27" s="738"/>
      <c r="C27" s="738"/>
      <c r="D27" s="738"/>
      <c r="E27" s="738"/>
      <c r="F27" s="738"/>
      <c r="G27" s="738"/>
      <c r="H27" s="738"/>
      <c r="I27" s="738"/>
      <c r="J27" s="738"/>
      <c r="K27" s="343"/>
      <c r="L27" s="765">
        <v>44375</v>
      </c>
      <c r="M27" s="766" t="s">
        <v>299</v>
      </c>
      <c r="P27" s="768">
        <v>227.07792000000001</v>
      </c>
      <c r="Q27" s="768">
        <v>230.29301999999998</v>
      </c>
      <c r="R27" s="768">
        <v>233.69183999999998</v>
      </c>
      <c r="S27" s="768">
        <v>236.99879999999999</v>
      </c>
      <c r="T27" s="768"/>
      <c r="U27" s="768"/>
      <c r="V27" s="768"/>
      <c r="W27" s="768">
        <v>236.35577999999998</v>
      </c>
      <c r="X27" s="768"/>
      <c r="Y27" s="417">
        <v>45597</v>
      </c>
      <c r="Z27" s="768"/>
      <c r="AA27" s="768"/>
      <c r="AB27" s="768">
        <v>239.75459999999998</v>
      </c>
      <c r="AC27" s="768"/>
      <c r="AD27" s="768"/>
    </row>
    <row r="28" spans="2:35" ht="11.95" customHeight="1">
      <c r="B28" s="738"/>
      <c r="C28" s="738"/>
      <c r="D28" s="738"/>
      <c r="E28" s="738"/>
      <c r="F28" s="738"/>
      <c r="G28" s="738"/>
      <c r="H28" s="738"/>
      <c r="I28" s="738"/>
      <c r="J28" s="738"/>
      <c r="K28" s="343"/>
      <c r="L28" s="765">
        <v>44383</v>
      </c>
      <c r="M28" s="766" t="s">
        <v>300</v>
      </c>
      <c r="P28" s="768">
        <v>211.46171999999999</v>
      </c>
      <c r="Q28" s="768">
        <v>214.4931</v>
      </c>
      <c r="R28" s="768">
        <v>218.81052</v>
      </c>
      <c r="S28" s="768">
        <v>222.66863999999998</v>
      </c>
      <c r="T28" s="768"/>
      <c r="U28" s="768"/>
      <c r="V28" s="768"/>
      <c r="W28" s="768">
        <v>224.68956</v>
      </c>
      <c r="X28" s="768"/>
      <c r="Y28" s="417">
        <v>45627</v>
      </c>
      <c r="Z28" s="768"/>
      <c r="AA28" s="768"/>
      <c r="AB28" s="768">
        <v>228.36395999999999</v>
      </c>
      <c r="AC28" s="768"/>
      <c r="AD28" s="768"/>
    </row>
    <row r="29" spans="2:35" ht="11.95" customHeight="1">
      <c r="B29" s="680" t="s">
        <v>301</v>
      </c>
      <c r="C29" s="738"/>
      <c r="D29" s="738"/>
      <c r="E29" s="738"/>
      <c r="F29" s="738"/>
      <c r="G29" s="738"/>
      <c r="H29" s="738"/>
      <c r="I29" s="738"/>
      <c r="J29" s="738"/>
      <c r="K29" s="343"/>
      <c r="L29" s="765">
        <v>44389</v>
      </c>
      <c r="M29" s="766" t="s">
        <v>302</v>
      </c>
      <c r="Q29" s="768">
        <v>226.06745999999998</v>
      </c>
      <c r="R29" s="768">
        <v>229.92558</v>
      </c>
      <c r="S29" s="768">
        <v>233.3244</v>
      </c>
      <c r="T29" s="768"/>
      <c r="U29" s="768"/>
      <c r="V29" s="768"/>
      <c r="W29" s="768">
        <v>233.14068</v>
      </c>
      <c r="X29" s="768"/>
      <c r="Y29" s="417">
        <v>45658</v>
      </c>
      <c r="Z29" s="768"/>
      <c r="AA29" s="768"/>
      <c r="AB29" s="768">
        <v>236.90693999999999</v>
      </c>
      <c r="AC29" s="768"/>
      <c r="AD29" s="768"/>
    </row>
    <row r="30" spans="2:35" ht="11.95" customHeight="1">
      <c r="B30" s="738"/>
      <c r="C30" s="738"/>
      <c r="D30" s="738"/>
      <c r="E30" s="738"/>
      <c r="F30" s="738"/>
      <c r="G30" s="738"/>
      <c r="H30" s="738"/>
      <c r="I30" s="738"/>
      <c r="J30" s="738"/>
      <c r="K30" s="343"/>
      <c r="L30" s="765">
        <v>44396</v>
      </c>
      <c r="M30" s="766" t="s">
        <v>303</v>
      </c>
      <c r="Q30" s="768">
        <v>239.66273999999999</v>
      </c>
      <c r="R30" s="768">
        <v>243.61272</v>
      </c>
      <c r="S30" s="768">
        <v>246.27665999999999</v>
      </c>
      <c r="T30" s="768"/>
      <c r="U30" s="768"/>
      <c r="V30" s="768"/>
      <c r="W30" s="768">
        <v>243.15341999999998</v>
      </c>
      <c r="X30" s="768"/>
      <c r="Y30" s="417">
        <v>45689</v>
      </c>
      <c r="Z30" s="768"/>
      <c r="AA30" s="768"/>
      <c r="AB30" s="768">
        <v>246.27665999999999</v>
      </c>
      <c r="AC30" s="768"/>
      <c r="AD30" s="768"/>
    </row>
    <row r="31" spans="2:35" ht="11.95" customHeight="1">
      <c r="B31" s="738"/>
      <c r="C31" s="738"/>
      <c r="D31" s="738"/>
      <c r="E31" s="738"/>
      <c r="F31" s="738"/>
      <c r="G31" s="738"/>
      <c r="H31" s="738"/>
      <c r="I31" s="738"/>
      <c r="J31" s="738"/>
      <c r="K31" s="343"/>
      <c r="L31" s="765">
        <v>44403</v>
      </c>
      <c r="M31" s="766" t="s">
        <v>304</v>
      </c>
      <c r="Q31" s="768">
        <v>234.79416000000001</v>
      </c>
      <c r="R31" s="768">
        <v>239.01972000000001</v>
      </c>
      <c r="S31" s="768">
        <v>241.68366</v>
      </c>
      <c r="T31" s="768"/>
      <c r="U31" s="768"/>
      <c r="V31" s="768"/>
      <c r="W31" s="768">
        <v>239.75459999999998</v>
      </c>
      <c r="X31" s="768"/>
      <c r="Y31" s="417">
        <v>45717</v>
      </c>
      <c r="Z31" s="768"/>
      <c r="AA31" s="768"/>
      <c r="AB31" s="768">
        <v>242.5104</v>
      </c>
      <c r="AC31" s="768"/>
      <c r="AD31" s="768"/>
    </row>
    <row r="32" spans="2:35" ht="11.95" customHeight="1">
      <c r="B32" s="738"/>
      <c r="C32" s="738"/>
      <c r="D32" s="738"/>
      <c r="E32" s="738"/>
      <c r="F32" s="738"/>
      <c r="G32" s="738"/>
      <c r="H32" s="738"/>
      <c r="I32" s="738"/>
      <c r="J32" s="738"/>
      <c r="K32" s="343"/>
      <c r="L32" s="765">
        <v>44410</v>
      </c>
      <c r="M32" s="766" t="s">
        <v>305</v>
      </c>
      <c r="Q32" s="768">
        <v>258.49403999999998</v>
      </c>
      <c r="R32" s="768">
        <v>262.62774000000002</v>
      </c>
      <c r="S32" s="768">
        <v>265.38353999999998</v>
      </c>
      <c r="T32" s="768"/>
      <c r="U32" s="768"/>
      <c r="V32" s="768"/>
      <c r="W32" s="768">
        <v>258.95333999999997</v>
      </c>
      <c r="X32" s="768"/>
      <c r="Y32" s="417">
        <v>45748</v>
      </c>
      <c r="Z32" s="768"/>
      <c r="AA32" s="768"/>
      <c r="AB32" s="768">
        <v>260.97426000000002</v>
      </c>
      <c r="AC32" s="768"/>
      <c r="AD32" s="768"/>
    </row>
    <row r="33" spans="2:50" ht="11.95" customHeight="1">
      <c r="B33" s="738"/>
      <c r="C33" s="738"/>
      <c r="D33" s="738"/>
      <c r="E33" s="738"/>
      <c r="F33" s="738"/>
      <c r="G33" s="738"/>
      <c r="H33" s="738"/>
      <c r="I33" s="738"/>
      <c r="J33" s="738"/>
      <c r="K33" s="343"/>
      <c r="L33" s="765">
        <v>44417</v>
      </c>
      <c r="M33" s="766" t="s">
        <v>306</v>
      </c>
      <c r="Q33" s="496">
        <v>257.75916000000001</v>
      </c>
      <c r="R33" s="496">
        <v>262.16843999999998</v>
      </c>
      <c r="S33" s="496">
        <v>265.47539999999998</v>
      </c>
      <c r="T33" s="496"/>
      <c r="U33" s="496"/>
      <c r="V33" s="496"/>
      <c r="W33" s="496">
        <v>259.22892000000002</v>
      </c>
      <c r="X33" s="496"/>
      <c r="Y33" s="417">
        <v>45778</v>
      </c>
      <c r="Z33" s="496"/>
      <c r="AA33" s="496"/>
      <c r="AB33" s="496">
        <v>261.43356</v>
      </c>
      <c r="AC33" s="496"/>
      <c r="AD33" s="496"/>
      <c r="AE33" s="496"/>
      <c r="AF33" s="496"/>
      <c r="AG33" s="496"/>
      <c r="AH33" s="496"/>
      <c r="AI33" s="496"/>
    </row>
    <row r="34" spans="2:50" ht="11.95" customHeight="1">
      <c r="B34" s="738"/>
      <c r="C34" s="738"/>
      <c r="D34" s="738"/>
      <c r="E34" s="738"/>
      <c r="F34" s="738"/>
      <c r="G34" s="738"/>
      <c r="H34" s="738"/>
      <c r="I34" s="738"/>
      <c r="J34" s="738"/>
      <c r="K34" s="343"/>
      <c r="L34" s="765">
        <v>44424</v>
      </c>
      <c r="M34" s="766" t="s">
        <v>307</v>
      </c>
      <c r="Q34" s="496">
        <v>270.61955999999998</v>
      </c>
      <c r="R34" s="496">
        <v>275.30441999999999</v>
      </c>
      <c r="S34" s="496">
        <v>278.42766</v>
      </c>
      <c r="T34" s="496"/>
      <c r="U34" s="496"/>
      <c r="V34" s="496"/>
      <c r="W34" s="496">
        <v>265.93469999999996</v>
      </c>
      <c r="X34" s="496"/>
      <c r="Y34" s="417">
        <v>45809</v>
      </c>
      <c r="Z34" s="496"/>
      <c r="AA34" s="496"/>
      <c r="AB34" s="496">
        <v>268.41492</v>
      </c>
      <c r="AC34" s="496"/>
      <c r="AD34" s="496"/>
      <c r="AE34" s="496"/>
      <c r="AF34" s="496"/>
      <c r="AG34" s="496"/>
      <c r="AH34" s="496"/>
      <c r="AI34" s="496"/>
    </row>
    <row r="35" spans="2:50" ht="11.95" customHeight="1">
      <c r="B35" s="738"/>
      <c r="C35" s="738"/>
      <c r="D35" s="738"/>
      <c r="E35" s="738"/>
      <c r="F35" s="738"/>
      <c r="G35" s="738"/>
      <c r="H35" s="738"/>
      <c r="I35" s="738"/>
      <c r="J35" s="738"/>
      <c r="K35" s="343"/>
      <c r="L35" s="765">
        <v>44431</v>
      </c>
      <c r="M35" s="766" t="s">
        <v>308</v>
      </c>
      <c r="Q35" s="496">
        <v>258.76961999999997</v>
      </c>
      <c r="R35" s="496">
        <v>263.63819999999998</v>
      </c>
      <c r="S35" s="496">
        <v>267.12887999999998</v>
      </c>
      <c r="T35" s="496"/>
      <c r="U35" s="496"/>
      <c r="V35" s="496"/>
      <c r="W35" s="496">
        <v>259.96379999999999</v>
      </c>
      <c r="X35" s="496"/>
      <c r="Y35" s="417">
        <v>45839</v>
      </c>
      <c r="Z35" s="496"/>
      <c r="AA35" s="496"/>
      <c r="AB35" s="496">
        <v>263.63819999999998</v>
      </c>
      <c r="AC35" s="496"/>
      <c r="AD35" s="496"/>
      <c r="AE35" s="496"/>
      <c r="AF35" s="496"/>
      <c r="AG35" s="496"/>
      <c r="AH35" s="496"/>
      <c r="AI35" s="496"/>
    </row>
    <row r="36" spans="2:50" ht="13.75" customHeight="1">
      <c r="B36" s="738"/>
      <c r="C36" s="738"/>
      <c r="D36" s="738"/>
      <c r="E36" s="738"/>
      <c r="F36" s="738"/>
      <c r="G36" s="738"/>
      <c r="H36" s="738"/>
      <c r="I36" s="738"/>
      <c r="J36" s="738"/>
      <c r="K36" s="343"/>
      <c r="L36" s="765">
        <v>44438</v>
      </c>
      <c r="M36" s="766" t="s">
        <v>309</v>
      </c>
      <c r="Q36" s="496">
        <v>258.76961999999997</v>
      </c>
      <c r="R36" s="496">
        <v>261.80099999999999</v>
      </c>
      <c r="S36" s="496">
        <v>265.10795999999999</v>
      </c>
      <c r="T36" s="496"/>
      <c r="U36" s="496"/>
      <c r="V36" s="496"/>
      <c r="W36" s="496">
        <v>259.87194</v>
      </c>
      <c r="X36" s="496"/>
      <c r="Y36" s="417">
        <v>45870</v>
      </c>
      <c r="Z36" s="496"/>
      <c r="AA36" s="496"/>
      <c r="AB36" s="496">
        <v>263.27076</v>
      </c>
      <c r="AC36" s="496"/>
      <c r="AD36" s="496"/>
      <c r="AE36" s="496"/>
      <c r="AF36" s="496"/>
      <c r="AG36" s="496"/>
      <c r="AH36" s="496"/>
      <c r="AI36" s="496"/>
    </row>
    <row r="37" spans="2:50" ht="13.75" customHeight="1">
      <c r="B37" s="738"/>
      <c r="C37" s="738"/>
      <c r="D37" s="738"/>
      <c r="E37" s="738"/>
      <c r="F37" s="738"/>
      <c r="G37" s="738"/>
      <c r="H37" s="738"/>
      <c r="I37" s="738"/>
      <c r="J37" s="738"/>
      <c r="K37" s="343"/>
      <c r="L37" s="765">
        <v>44446</v>
      </c>
      <c r="M37" s="766" t="s">
        <v>310</v>
      </c>
      <c r="Q37" s="496">
        <v>260.79053999999996</v>
      </c>
      <c r="R37" s="496">
        <v>263.63819999999998</v>
      </c>
      <c r="S37" s="496">
        <v>266.94515999999999</v>
      </c>
      <c r="T37" s="496"/>
      <c r="U37" s="496"/>
      <c r="V37" s="496"/>
      <c r="W37" s="496">
        <v>261.06612000000001</v>
      </c>
      <c r="X37" s="496"/>
      <c r="Y37" s="417">
        <v>45901</v>
      </c>
      <c r="Z37" s="496"/>
      <c r="AA37" s="496"/>
      <c r="AB37" s="496">
        <v>265.19981999999999</v>
      </c>
      <c r="AC37" s="496"/>
      <c r="AD37" s="496"/>
      <c r="AE37" s="496"/>
      <c r="AF37" s="496"/>
      <c r="AG37" s="496"/>
      <c r="AH37" s="496"/>
      <c r="AI37" s="496"/>
    </row>
    <row r="38" spans="2:50" ht="12.8" customHeight="1">
      <c r="B38" s="738"/>
      <c r="C38" s="738"/>
      <c r="D38" s="738"/>
      <c r="E38" s="738"/>
      <c r="F38" s="738"/>
      <c r="G38" s="738"/>
      <c r="H38" s="738"/>
      <c r="I38" s="738"/>
      <c r="J38" s="738"/>
      <c r="K38" s="343"/>
      <c r="L38" s="765">
        <v>44452</v>
      </c>
      <c r="M38" s="766" t="s">
        <v>311</v>
      </c>
      <c r="R38" s="496">
        <v>252.1557</v>
      </c>
      <c r="S38" s="496">
        <v>255.3708</v>
      </c>
      <c r="T38" s="496"/>
      <c r="U38" s="496"/>
      <c r="V38" s="496"/>
      <c r="W38" s="496">
        <v>254.08475999999999</v>
      </c>
      <c r="X38" s="496"/>
      <c r="Y38" s="417">
        <v>45931</v>
      </c>
      <c r="Z38" s="496"/>
      <c r="AA38" s="496"/>
      <c r="AB38" s="496">
        <v>258.40217999999999</v>
      </c>
      <c r="AC38" s="496"/>
      <c r="AD38" s="496"/>
    </row>
    <row r="39" spans="2:50" ht="12.8" customHeight="1">
      <c r="B39" s="738"/>
      <c r="C39" s="738"/>
      <c r="D39" s="738"/>
      <c r="E39" s="738"/>
      <c r="F39" s="738"/>
      <c r="G39" s="738"/>
      <c r="H39" s="738"/>
      <c r="I39" s="738"/>
      <c r="J39" s="738"/>
      <c r="K39" s="343"/>
      <c r="L39" s="765">
        <v>44459</v>
      </c>
      <c r="M39" s="766" t="s">
        <v>312</v>
      </c>
      <c r="R39" s="496">
        <v>257.20799999999997</v>
      </c>
      <c r="S39" s="496">
        <v>260.51495999999997</v>
      </c>
      <c r="T39" s="496"/>
      <c r="U39" s="496"/>
      <c r="V39" s="496"/>
      <c r="W39" s="496">
        <v>259.68822</v>
      </c>
      <c r="X39" s="496"/>
      <c r="Y39" s="417">
        <v>45962</v>
      </c>
      <c r="Z39" s="496"/>
      <c r="AA39" s="496"/>
      <c r="AB39" s="496">
        <v>264.09749999999997</v>
      </c>
      <c r="AC39" s="496"/>
      <c r="AD39" s="496"/>
    </row>
    <row r="40" spans="2:50" ht="15.05" customHeight="1">
      <c r="B40" s="738"/>
      <c r="C40" s="738"/>
      <c r="D40" s="738"/>
      <c r="E40" s="738"/>
      <c r="F40" s="738"/>
      <c r="G40" s="738"/>
      <c r="H40" s="738"/>
      <c r="I40" s="738"/>
      <c r="J40" s="738"/>
      <c r="K40" s="343"/>
      <c r="L40" s="765">
        <v>44466</v>
      </c>
      <c r="M40" s="766" t="s">
        <v>313</v>
      </c>
      <c r="R40" s="496">
        <v>264.83238</v>
      </c>
      <c r="S40" s="496">
        <v>267.68004000000002</v>
      </c>
      <c r="T40" s="496"/>
      <c r="U40" s="496"/>
      <c r="V40" s="496"/>
      <c r="W40" s="496">
        <v>264.28122000000002</v>
      </c>
      <c r="X40" s="496"/>
      <c r="Y40" s="417">
        <v>45992</v>
      </c>
      <c r="Z40" s="496"/>
      <c r="AA40" s="496"/>
      <c r="AB40" s="496">
        <v>267.58817999999997</v>
      </c>
      <c r="AC40" s="496"/>
      <c r="AD40" s="496"/>
    </row>
    <row r="41" spans="2:50" ht="15.05" customHeight="1">
      <c r="B41" s="738"/>
      <c r="C41" s="738"/>
      <c r="D41" s="738"/>
      <c r="E41" s="738"/>
      <c r="F41" s="738"/>
      <c r="G41" s="738"/>
      <c r="H41" s="738"/>
      <c r="I41" s="738"/>
      <c r="J41" s="738"/>
      <c r="K41" s="343"/>
      <c r="L41" s="765">
        <v>44473</v>
      </c>
      <c r="M41" s="766" t="s">
        <v>314</v>
      </c>
      <c r="R41" s="496">
        <v>277.14161999999999</v>
      </c>
      <c r="S41" s="496">
        <v>279.98928000000001</v>
      </c>
      <c r="T41" s="496"/>
      <c r="U41" s="496"/>
      <c r="V41" s="496"/>
      <c r="W41" s="496">
        <v>276.03929999999997</v>
      </c>
      <c r="X41" s="496"/>
      <c r="Y41" s="417">
        <v>46023</v>
      </c>
      <c r="Z41" s="496"/>
      <c r="AA41" s="496"/>
      <c r="AB41" s="496">
        <v>279.07067999999998</v>
      </c>
      <c r="AC41" s="496"/>
      <c r="AD41" s="496"/>
      <c r="AJ41" s="496"/>
      <c r="AK41" s="496"/>
      <c r="AL41" s="496"/>
      <c r="AM41" s="496"/>
      <c r="AN41" s="496"/>
      <c r="AO41" s="496"/>
      <c r="AP41" s="496"/>
      <c r="AQ41" s="496"/>
      <c r="AR41" s="496"/>
      <c r="AS41" s="496"/>
      <c r="AT41" s="496"/>
      <c r="AU41" s="496"/>
      <c r="AV41" s="496"/>
      <c r="AW41" s="496"/>
      <c r="AX41" s="496"/>
    </row>
    <row r="42" spans="2:50" ht="15.05" customHeight="1">
      <c r="B42" s="738"/>
      <c r="C42" s="738"/>
      <c r="D42" s="738"/>
      <c r="E42" s="738"/>
      <c r="F42" s="738"/>
      <c r="G42" s="738"/>
      <c r="H42" s="738"/>
      <c r="I42" s="738"/>
      <c r="J42" s="738"/>
      <c r="K42" s="343"/>
      <c r="L42" s="765">
        <v>44480</v>
      </c>
      <c r="M42" s="766" t="s">
        <v>315</v>
      </c>
      <c r="R42" s="496">
        <v>269.88468</v>
      </c>
      <c r="S42" s="496">
        <v>272.91606000000002</v>
      </c>
      <c r="T42" s="496"/>
      <c r="U42" s="496"/>
      <c r="V42" s="496"/>
      <c r="W42" s="496">
        <v>272.18117999999998</v>
      </c>
      <c r="X42" s="496"/>
      <c r="Y42" s="417">
        <v>46054</v>
      </c>
      <c r="Z42" s="496"/>
      <c r="AA42" s="496"/>
      <c r="AB42" s="496">
        <v>275.58</v>
      </c>
      <c r="AC42" s="496"/>
      <c r="AD42" s="496"/>
      <c r="AP42" s="496"/>
      <c r="AQ42" s="496"/>
      <c r="AR42" s="496"/>
      <c r="AS42" s="496"/>
      <c r="AT42" s="496"/>
      <c r="AU42" s="496"/>
      <c r="AV42" s="496"/>
      <c r="AW42" s="496"/>
      <c r="AX42" s="496"/>
    </row>
    <row r="43" spans="2:50" ht="15.05" customHeight="1">
      <c r="B43" s="738"/>
      <c r="C43" s="738"/>
      <c r="D43" s="738"/>
      <c r="E43" s="738"/>
      <c r="F43" s="738"/>
      <c r="G43" s="738"/>
      <c r="H43" s="738"/>
      <c r="I43" s="738"/>
      <c r="J43" s="738"/>
      <c r="K43" s="343"/>
      <c r="L43" s="765">
        <v>44487</v>
      </c>
      <c r="M43" s="766" t="s">
        <v>316</v>
      </c>
      <c r="R43" s="496">
        <v>275.21256</v>
      </c>
      <c r="S43" s="496">
        <v>277.78463999999997</v>
      </c>
      <c r="T43" s="496"/>
      <c r="U43" s="496"/>
      <c r="V43" s="496"/>
      <c r="W43" s="496">
        <v>275.58</v>
      </c>
      <c r="X43" s="496"/>
      <c r="Y43" s="417">
        <v>46082</v>
      </c>
      <c r="Z43" s="496"/>
      <c r="AA43" s="496"/>
      <c r="AB43" s="496">
        <v>278.70323999999999</v>
      </c>
      <c r="AC43" s="496"/>
      <c r="AD43" s="496"/>
      <c r="AP43" s="496"/>
      <c r="AQ43" s="496"/>
      <c r="AR43" s="496"/>
      <c r="AS43" s="496"/>
      <c r="AT43" s="496"/>
      <c r="AU43" s="496"/>
      <c r="AV43" s="496"/>
      <c r="AW43" s="496"/>
      <c r="AX43" s="496"/>
    </row>
    <row r="44" spans="2:50" ht="15.05" customHeight="1">
      <c r="B44" s="738"/>
      <c r="C44" s="738"/>
      <c r="D44" s="738"/>
      <c r="E44" s="738"/>
      <c r="F44" s="738"/>
      <c r="G44" s="738"/>
      <c r="H44" s="738"/>
      <c r="I44" s="738"/>
      <c r="J44" s="738"/>
      <c r="K44" s="343"/>
      <c r="L44" s="765">
        <v>44494</v>
      </c>
      <c r="M44" s="766" t="s">
        <v>317</v>
      </c>
      <c r="R44" s="496">
        <v>285.77645999999999</v>
      </c>
      <c r="S44" s="496">
        <v>286.78692000000001</v>
      </c>
      <c r="T44" s="496"/>
      <c r="U44" s="496"/>
      <c r="V44" s="496"/>
      <c r="W44" s="496">
        <v>281.36718000000002</v>
      </c>
      <c r="X44" s="496"/>
      <c r="Y44" s="496">
        <v>281.18345999999997</v>
      </c>
      <c r="Z44" s="496"/>
      <c r="AA44" s="496"/>
      <c r="AB44" s="496">
        <v>283.57182</v>
      </c>
      <c r="AC44" s="496"/>
      <c r="AD44" s="496"/>
      <c r="AP44" s="496"/>
      <c r="AQ44" s="496"/>
      <c r="AR44" s="496"/>
      <c r="AS44" s="496"/>
      <c r="AT44" s="496"/>
      <c r="AU44" s="496"/>
      <c r="AV44" s="496"/>
      <c r="AW44" s="496"/>
      <c r="AX44" s="496"/>
    </row>
    <row r="45" spans="2:50" ht="15.05" customHeight="1">
      <c r="B45" s="738"/>
      <c r="C45" s="738"/>
      <c r="D45" s="738"/>
      <c r="E45" s="738"/>
      <c r="F45" s="738"/>
      <c r="G45" s="738"/>
      <c r="H45" s="738"/>
      <c r="I45" s="738"/>
      <c r="J45" s="738"/>
      <c r="K45" s="343"/>
      <c r="L45" s="765">
        <v>44501</v>
      </c>
      <c r="M45" s="766" t="s">
        <v>318</v>
      </c>
      <c r="Q45" s="768"/>
      <c r="R45" s="768">
        <v>296.34035999999998</v>
      </c>
      <c r="S45" s="768">
        <v>297.71825999999999</v>
      </c>
      <c r="T45" s="768"/>
      <c r="U45" s="768"/>
      <c r="V45" s="768"/>
      <c r="W45" s="768">
        <v>292.02294000000001</v>
      </c>
      <c r="X45" s="768"/>
      <c r="Y45" s="768">
        <v>291.37991999999997</v>
      </c>
      <c r="Z45" s="768"/>
      <c r="AA45" s="768"/>
      <c r="AB45" s="768">
        <v>293.21711999999997</v>
      </c>
      <c r="AC45" s="768"/>
      <c r="AD45" s="768"/>
      <c r="AP45" s="496"/>
      <c r="AQ45" s="496"/>
      <c r="AR45" s="496"/>
      <c r="AS45" s="496"/>
      <c r="AT45" s="496"/>
      <c r="AU45" s="496"/>
      <c r="AV45" s="496"/>
      <c r="AW45" s="496"/>
      <c r="AX45" s="496"/>
    </row>
    <row r="46" spans="2:50" ht="15.05" customHeight="1">
      <c r="B46" s="738"/>
      <c r="C46" s="738"/>
      <c r="D46" s="738"/>
      <c r="E46" s="738"/>
      <c r="F46" s="738"/>
      <c r="G46" s="738"/>
      <c r="H46" s="738"/>
      <c r="I46" s="738"/>
      <c r="J46" s="738"/>
      <c r="K46" s="343"/>
      <c r="L46" s="765">
        <v>44508</v>
      </c>
      <c r="M46" s="766" t="s">
        <v>319</v>
      </c>
      <c r="R46" s="496">
        <v>286.87878000000001</v>
      </c>
      <c r="S46" s="496">
        <v>288.44040000000001</v>
      </c>
      <c r="T46" s="496"/>
      <c r="U46" s="496"/>
      <c r="V46" s="496"/>
      <c r="W46" s="496">
        <v>285.13344000000001</v>
      </c>
      <c r="X46" s="496"/>
      <c r="Y46" s="496">
        <v>284.39855999999997</v>
      </c>
      <c r="Z46" s="496"/>
      <c r="AA46" s="496"/>
      <c r="AB46" s="496">
        <v>286.69506000000001</v>
      </c>
      <c r="AC46" s="496"/>
      <c r="AD46" s="496"/>
      <c r="AJ46" s="496"/>
      <c r="AK46" s="496"/>
      <c r="AL46" s="496"/>
      <c r="AM46" s="496"/>
      <c r="AN46" s="496"/>
      <c r="AO46" s="496"/>
      <c r="AP46" s="496"/>
      <c r="AQ46" s="496"/>
      <c r="AR46" s="496"/>
      <c r="AS46" s="496"/>
      <c r="AT46" s="496"/>
      <c r="AU46" s="496"/>
      <c r="AV46" s="496"/>
      <c r="AW46" s="496"/>
      <c r="AX46" s="496"/>
    </row>
    <row r="47" spans="2:50" ht="15.05" customHeight="1">
      <c r="B47" s="738"/>
      <c r="C47" s="738"/>
      <c r="D47" s="738"/>
      <c r="E47" s="738"/>
      <c r="F47" s="738"/>
      <c r="G47" s="738"/>
      <c r="H47" s="738"/>
      <c r="I47" s="738"/>
      <c r="J47" s="738"/>
      <c r="K47" s="343"/>
      <c r="L47" s="765">
        <v>44515</v>
      </c>
      <c r="M47" s="766" t="s">
        <v>320</v>
      </c>
      <c r="R47" s="496">
        <v>307.17984000000001</v>
      </c>
      <c r="S47" s="496">
        <v>308.09843999999998</v>
      </c>
      <c r="T47" s="496"/>
      <c r="U47" s="496"/>
      <c r="V47" s="496"/>
      <c r="W47" s="496">
        <v>301.76009999999997</v>
      </c>
      <c r="X47" s="496"/>
      <c r="Y47" s="496">
        <v>299.46359999999999</v>
      </c>
      <c r="Z47" s="496"/>
      <c r="AA47" s="496"/>
      <c r="AB47" s="496">
        <v>301.02521999999999</v>
      </c>
      <c r="AC47" s="496"/>
      <c r="AD47" s="496"/>
    </row>
    <row r="48" spans="2:50" ht="15.05" customHeight="1">
      <c r="B48" s="738"/>
      <c r="C48" s="738"/>
      <c r="D48" s="738"/>
      <c r="E48" s="738"/>
      <c r="F48" s="738"/>
      <c r="G48" s="738"/>
      <c r="H48" s="738"/>
      <c r="I48" s="738"/>
      <c r="J48" s="738"/>
      <c r="K48" s="343"/>
      <c r="L48" s="765">
        <v>44522</v>
      </c>
      <c r="M48" s="766" t="s">
        <v>321</v>
      </c>
      <c r="R48" s="496">
        <v>316.64141999999998</v>
      </c>
      <c r="S48" s="496">
        <v>318.38675999999998</v>
      </c>
      <c r="T48" s="496"/>
      <c r="U48" s="496"/>
      <c r="V48" s="496"/>
      <c r="W48" s="496">
        <v>311.86469999999997</v>
      </c>
      <c r="X48" s="496"/>
      <c r="Y48" s="496">
        <v>310.9461</v>
      </c>
      <c r="Z48" s="496"/>
      <c r="AA48" s="496"/>
      <c r="AB48" s="496">
        <v>312.59958</v>
      </c>
      <c r="AC48" s="496"/>
      <c r="AD48" s="496"/>
    </row>
    <row r="49" spans="2:47" ht="15.05" customHeight="1">
      <c r="B49" s="738"/>
      <c r="C49" s="738"/>
      <c r="D49" s="738"/>
      <c r="E49" s="738"/>
      <c r="F49" s="738"/>
      <c r="G49" s="738"/>
      <c r="H49" s="738"/>
      <c r="I49" s="738"/>
      <c r="J49" s="738"/>
      <c r="K49" s="343"/>
      <c r="L49" s="765">
        <v>44529</v>
      </c>
      <c r="M49" s="766" t="s">
        <v>322</v>
      </c>
      <c r="R49" s="496">
        <v>313.79375999999996</v>
      </c>
      <c r="S49" s="496">
        <v>314.98793999999998</v>
      </c>
      <c r="T49" s="496"/>
      <c r="U49" s="496"/>
      <c r="V49" s="496"/>
      <c r="W49" s="496">
        <v>307.73099999999999</v>
      </c>
      <c r="X49" s="496"/>
      <c r="Y49" s="496">
        <v>306.81239999999997</v>
      </c>
      <c r="Z49" s="496"/>
      <c r="AA49" s="496"/>
      <c r="AB49" s="496">
        <v>308.09843999999998</v>
      </c>
      <c r="AC49" s="496"/>
      <c r="AD49" s="496"/>
    </row>
    <row r="50" spans="2:47" ht="15.05" customHeight="1">
      <c r="B50" s="738"/>
      <c r="C50" s="738"/>
      <c r="D50" s="738"/>
      <c r="E50" s="738"/>
      <c r="F50" s="738"/>
      <c r="G50" s="738"/>
      <c r="H50" s="738"/>
      <c r="I50" s="738"/>
      <c r="J50" s="738"/>
      <c r="K50" s="343"/>
      <c r="L50" s="769">
        <v>44536</v>
      </c>
      <c r="M50" s="766" t="s">
        <v>323</v>
      </c>
      <c r="R50" s="496">
        <v>301.85195999999996</v>
      </c>
      <c r="S50" s="496">
        <v>302.21940000000001</v>
      </c>
      <c r="T50" s="496"/>
      <c r="U50" s="496"/>
      <c r="V50" s="496"/>
      <c r="W50" s="496">
        <v>299.46359999999999</v>
      </c>
      <c r="X50" s="496"/>
      <c r="Y50" s="496">
        <v>299.83103999999997</v>
      </c>
      <c r="Z50" s="496"/>
      <c r="AA50" s="496"/>
      <c r="AB50" s="496">
        <v>301.85195999999996</v>
      </c>
      <c r="AC50" s="496"/>
      <c r="AD50" s="496"/>
    </row>
    <row r="51" spans="2:47" ht="15.05" customHeight="1">
      <c r="B51" s="738"/>
      <c r="C51" s="738"/>
      <c r="D51" s="738"/>
      <c r="E51" s="738"/>
      <c r="F51" s="738"/>
      <c r="G51" s="738"/>
      <c r="H51" s="738"/>
      <c r="I51" s="738"/>
      <c r="J51" s="738"/>
      <c r="K51" s="343"/>
      <c r="L51" s="769">
        <v>44543</v>
      </c>
      <c r="M51" s="766" t="s">
        <v>324</v>
      </c>
      <c r="S51" s="496">
        <v>298.54500000000002</v>
      </c>
      <c r="T51" s="496"/>
      <c r="U51" s="496">
        <v>379.7</v>
      </c>
      <c r="V51" s="496"/>
      <c r="W51" s="496">
        <v>295.23804000000001</v>
      </c>
      <c r="X51" s="496"/>
      <c r="Y51" s="496">
        <v>295.88105999999999</v>
      </c>
      <c r="Z51" s="496"/>
      <c r="AA51" s="496"/>
      <c r="AB51" s="496">
        <v>297.71825999999999</v>
      </c>
      <c r="AC51" s="496"/>
      <c r="AD51" s="496"/>
      <c r="AE51" s="496"/>
      <c r="AF51" s="496"/>
      <c r="AG51" s="496"/>
      <c r="AH51" s="496"/>
      <c r="AI51" s="496"/>
    </row>
    <row r="52" spans="2:47" ht="15.05" customHeight="1">
      <c r="B52" s="738"/>
      <c r="C52" s="738"/>
      <c r="D52" s="738"/>
      <c r="E52" s="738"/>
      <c r="F52" s="738"/>
      <c r="G52" s="738"/>
      <c r="H52" s="738"/>
      <c r="I52" s="738"/>
      <c r="J52" s="738"/>
      <c r="K52" s="343"/>
      <c r="L52" s="769">
        <v>44550</v>
      </c>
      <c r="M52" s="766" t="s">
        <v>325</v>
      </c>
      <c r="S52" s="496">
        <v>298.82058000000001</v>
      </c>
      <c r="T52" s="496"/>
      <c r="U52" s="496">
        <v>379.5</v>
      </c>
      <c r="V52" s="496"/>
      <c r="W52" s="496">
        <v>295.32990000000001</v>
      </c>
      <c r="X52" s="496"/>
      <c r="Y52" s="496">
        <v>295.78919999999999</v>
      </c>
      <c r="Z52" s="496"/>
      <c r="AA52" s="496"/>
      <c r="AB52" s="496">
        <v>297.1671</v>
      </c>
      <c r="AC52" s="496"/>
      <c r="AD52" s="496"/>
      <c r="AE52" s="496"/>
      <c r="AF52" s="496"/>
      <c r="AG52" s="496"/>
      <c r="AH52" s="496"/>
      <c r="AI52" s="496"/>
    </row>
    <row r="53" spans="2:47" ht="15.05" customHeight="1">
      <c r="B53" s="738"/>
      <c r="C53" s="738"/>
      <c r="D53" s="738"/>
      <c r="E53" s="738"/>
      <c r="F53" s="738"/>
      <c r="G53" s="738"/>
      <c r="H53" s="738"/>
      <c r="I53" s="738"/>
      <c r="J53" s="738"/>
      <c r="K53" s="343"/>
      <c r="L53" s="769">
        <v>44557</v>
      </c>
      <c r="M53" s="766" t="s">
        <v>326</v>
      </c>
      <c r="S53" s="496">
        <v>311.22167999999999</v>
      </c>
      <c r="T53" s="496"/>
      <c r="U53" s="496">
        <v>391.9</v>
      </c>
      <c r="V53" s="496"/>
      <c r="W53" s="496">
        <v>308.19029999999998</v>
      </c>
      <c r="X53" s="496"/>
      <c r="Y53" s="496">
        <v>308.37401999999997</v>
      </c>
      <c r="Z53" s="496"/>
      <c r="AA53" s="496"/>
      <c r="AB53" s="496">
        <v>309.38448</v>
      </c>
      <c r="AC53" s="496"/>
      <c r="AD53" s="496"/>
      <c r="AE53" s="496"/>
      <c r="AF53" s="496"/>
      <c r="AG53" s="496"/>
      <c r="AH53" s="496"/>
      <c r="AI53" s="496"/>
    </row>
    <row r="54" spans="2:47" ht="15.05" customHeight="1">
      <c r="B54" s="738"/>
      <c r="C54" s="738"/>
      <c r="D54" s="738"/>
      <c r="E54" s="738"/>
      <c r="F54" s="738"/>
      <c r="G54" s="738"/>
      <c r="H54" s="738"/>
      <c r="I54" s="738"/>
      <c r="J54" s="738"/>
      <c r="K54" s="343"/>
      <c r="L54" s="769">
        <v>44564</v>
      </c>
      <c r="M54" s="766" t="s">
        <v>327</v>
      </c>
      <c r="S54" s="496">
        <v>290.82875999999999</v>
      </c>
      <c r="T54" s="496"/>
      <c r="U54" s="496">
        <v>371.9</v>
      </c>
      <c r="V54" s="496"/>
      <c r="W54" s="496">
        <v>289.91016000000002</v>
      </c>
      <c r="X54" s="496"/>
      <c r="Y54" s="496">
        <v>290.82875999999999</v>
      </c>
      <c r="Z54" s="496"/>
      <c r="AA54" s="496"/>
      <c r="AB54" s="496">
        <v>292.66595999999998</v>
      </c>
      <c r="AC54" s="496"/>
      <c r="AD54" s="496"/>
      <c r="AE54" s="496">
        <v>293.12525999999997</v>
      </c>
      <c r="AF54" s="496"/>
      <c r="AG54" s="496"/>
      <c r="AH54" s="496"/>
      <c r="AI54" s="496"/>
    </row>
    <row r="55" spans="2:47" ht="15.05" customHeight="1">
      <c r="B55" s="738"/>
      <c r="C55" s="738"/>
      <c r="D55" s="738"/>
      <c r="E55" s="738"/>
      <c r="F55" s="738"/>
      <c r="G55" s="738"/>
      <c r="H55" s="738"/>
      <c r="I55" s="738"/>
      <c r="J55" s="738"/>
      <c r="K55" s="343"/>
      <c r="L55" s="769">
        <v>44571</v>
      </c>
      <c r="M55" s="766" t="s">
        <v>328</v>
      </c>
      <c r="S55" s="496">
        <v>285.96017999999998</v>
      </c>
      <c r="T55" s="496"/>
      <c r="U55" s="496">
        <v>370.4</v>
      </c>
      <c r="V55" s="496"/>
      <c r="W55" s="496">
        <v>285.86831999999998</v>
      </c>
      <c r="X55" s="496"/>
      <c r="Y55" s="496">
        <v>286.97064</v>
      </c>
      <c r="Z55" s="496"/>
      <c r="AA55" s="496"/>
      <c r="AB55" s="496">
        <v>289.54271999999997</v>
      </c>
      <c r="AC55" s="496"/>
      <c r="AD55" s="496"/>
      <c r="AE55" s="496">
        <v>290.55318</v>
      </c>
      <c r="AF55" s="496"/>
      <c r="AG55" s="496"/>
      <c r="AH55" s="496"/>
      <c r="AI55" s="496"/>
      <c r="AJ55" s="496"/>
      <c r="AK55" s="496"/>
      <c r="AL55" s="496"/>
      <c r="AM55" s="496"/>
      <c r="AN55" s="496"/>
      <c r="AO55" s="496"/>
    </row>
    <row r="56" spans="2:47" ht="15.05" customHeight="1">
      <c r="B56" s="738"/>
      <c r="C56" s="738"/>
      <c r="D56" s="738"/>
      <c r="E56" s="738"/>
      <c r="F56" s="738"/>
      <c r="G56" s="738"/>
      <c r="H56" s="738"/>
      <c r="I56" s="738"/>
      <c r="J56" s="738"/>
      <c r="K56" s="343"/>
      <c r="L56" s="769">
        <v>44579</v>
      </c>
      <c r="M56" s="766" t="s">
        <v>329</v>
      </c>
      <c r="S56" s="496">
        <v>283.93925999999999</v>
      </c>
      <c r="T56" s="496"/>
      <c r="U56" s="496">
        <v>369.3</v>
      </c>
      <c r="V56" s="496"/>
      <c r="W56" s="496">
        <v>285.50088</v>
      </c>
      <c r="X56" s="496"/>
      <c r="Y56" s="496">
        <v>286.87878000000001</v>
      </c>
      <c r="Z56" s="496"/>
      <c r="AA56" s="496"/>
      <c r="AB56" s="496">
        <v>289.54271999999997</v>
      </c>
      <c r="AC56" s="496"/>
      <c r="AD56" s="496"/>
      <c r="AE56" s="496">
        <v>290.92061999999999</v>
      </c>
      <c r="AF56" s="496"/>
      <c r="AG56" s="496"/>
      <c r="AH56" s="496"/>
      <c r="AI56" s="496"/>
      <c r="AJ56" s="496"/>
      <c r="AK56" s="496"/>
      <c r="AL56" s="496"/>
      <c r="AM56" s="496"/>
      <c r="AN56" s="496"/>
      <c r="AO56" s="496"/>
    </row>
    <row r="57" spans="2:47" ht="15.05" customHeight="1">
      <c r="B57" s="738"/>
      <c r="C57" s="738"/>
      <c r="D57" s="738"/>
      <c r="E57" s="738"/>
      <c r="F57" s="738"/>
      <c r="G57" s="738"/>
      <c r="H57" s="738"/>
      <c r="I57" s="738"/>
      <c r="J57" s="738"/>
      <c r="K57" s="343"/>
      <c r="L57" s="769">
        <v>44585</v>
      </c>
      <c r="M57" s="766" t="s">
        <v>330</v>
      </c>
      <c r="S57" s="496">
        <v>300.56592000000001</v>
      </c>
      <c r="T57" s="496"/>
      <c r="U57" s="496">
        <v>389.6</v>
      </c>
      <c r="V57" s="496"/>
      <c r="W57" s="496">
        <v>301.30079999999998</v>
      </c>
      <c r="X57" s="496"/>
      <c r="Y57" s="496">
        <v>302.40312</v>
      </c>
      <c r="Z57" s="496"/>
      <c r="AA57" s="496"/>
      <c r="AB57" s="496">
        <v>304.88333999999998</v>
      </c>
      <c r="AC57" s="496"/>
      <c r="AD57" s="496"/>
      <c r="AE57" s="496">
        <v>305.15891999999997</v>
      </c>
      <c r="AF57" s="496"/>
      <c r="AG57" s="496"/>
      <c r="AH57" s="496"/>
      <c r="AI57" s="496"/>
      <c r="AJ57" s="496"/>
      <c r="AK57" s="496"/>
      <c r="AL57" s="496"/>
      <c r="AM57" s="496"/>
      <c r="AN57" s="496"/>
      <c r="AO57" s="496"/>
    </row>
    <row r="58" spans="2:47" ht="15.05" customHeight="1">
      <c r="B58" s="738"/>
      <c r="C58" s="738"/>
      <c r="D58" s="738"/>
      <c r="E58" s="738"/>
      <c r="F58" s="738"/>
      <c r="G58" s="738"/>
      <c r="H58" s="738"/>
      <c r="I58" s="738"/>
      <c r="J58" s="738"/>
      <c r="K58" s="343"/>
      <c r="L58" s="769">
        <v>44592</v>
      </c>
      <c r="M58" s="766" t="s">
        <v>331</v>
      </c>
      <c r="S58" s="496">
        <v>287.0625</v>
      </c>
      <c r="T58" s="496"/>
      <c r="U58" s="496">
        <v>380</v>
      </c>
      <c r="V58" s="496"/>
      <c r="W58" s="496">
        <v>288.07295999999997</v>
      </c>
      <c r="X58" s="496"/>
      <c r="Y58" s="496">
        <v>289.45085999999998</v>
      </c>
      <c r="Z58" s="496"/>
      <c r="AA58" s="496"/>
      <c r="AB58" s="496">
        <v>292.20666</v>
      </c>
      <c r="AC58" s="496"/>
      <c r="AD58" s="496"/>
      <c r="AE58" s="496">
        <v>293.21711999999997</v>
      </c>
      <c r="AF58" s="496"/>
      <c r="AG58" s="496"/>
      <c r="AH58" s="496"/>
      <c r="AI58" s="496"/>
      <c r="AJ58" s="496"/>
      <c r="AK58" s="496"/>
      <c r="AL58" s="496"/>
      <c r="AM58" s="496"/>
      <c r="AN58" s="496"/>
      <c r="AO58" s="496"/>
    </row>
    <row r="59" spans="2:47" ht="15.05" customHeight="1">
      <c r="B59" s="738"/>
      <c r="C59" s="738"/>
      <c r="D59" s="738"/>
      <c r="E59" s="738"/>
      <c r="F59" s="738"/>
      <c r="G59" s="738"/>
      <c r="H59" s="738"/>
      <c r="I59" s="738"/>
      <c r="J59" s="738"/>
      <c r="K59" s="343"/>
      <c r="L59" s="769">
        <v>44599</v>
      </c>
      <c r="M59" s="766" t="s">
        <v>332</v>
      </c>
      <c r="S59" s="496">
        <v>290.92061999999999</v>
      </c>
      <c r="T59" s="496"/>
      <c r="U59" s="496">
        <v>380.6</v>
      </c>
      <c r="V59" s="496"/>
      <c r="W59" s="496">
        <v>293.21711999999997</v>
      </c>
      <c r="X59" s="496"/>
      <c r="Y59" s="496">
        <v>294.68687999999997</v>
      </c>
      <c r="Z59" s="496"/>
      <c r="AA59" s="496"/>
      <c r="AB59" s="496">
        <v>297.81011999999998</v>
      </c>
      <c r="AC59" s="496"/>
      <c r="AD59" s="496"/>
      <c r="AE59" s="496">
        <v>299.09616</v>
      </c>
      <c r="AF59" s="496"/>
      <c r="AG59" s="496"/>
      <c r="AH59" s="496"/>
      <c r="AI59" s="496"/>
      <c r="AJ59" s="496"/>
      <c r="AK59" s="496"/>
      <c r="AL59" s="496"/>
      <c r="AM59" s="496"/>
      <c r="AN59" s="496"/>
      <c r="AO59" s="496"/>
    </row>
    <row r="60" spans="2:47" ht="15.05" customHeight="1">
      <c r="B60" s="738"/>
      <c r="C60" s="738"/>
      <c r="D60" s="738"/>
      <c r="E60" s="738"/>
      <c r="F60" s="738"/>
      <c r="G60" s="738"/>
      <c r="H60" s="738"/>
      <c r="I60" s="738"/>
      <c r="J60" s="738"/>
      <c r="K60" s="343"/>
      <c r="L60" s="769">
        <v>44606</v>
      </c>
      <c r="M60" s="766" t="s">
        <v>333</v>
      </c>
      <c r="S60" s="496">
        <v>304.42403999999999</v>
      </c>
      <c r="T60" s="496"/>
      <c r="U60" s="496">
        <v>395.3</v>
      </c>
      <c r="V60" s="496"/>
      <c r="W60" s="496">
        <v>305.80194</v>
      </c>
      <c r="X60" s="496"/>
      <c r="Y60" s="496">
        <v>306.99612000000002</v>
      </c>
      <c r="Z60" s="496"/>
      <c r="AA60" s="496"/>
      <c r="AB60" s="496">
        <v>309.75191999999998</v>
      </c>
      <c r="AC60" s="496"/>
      <c r="AD60" s="496"/>
      <c r="AE60" s="496">
        <v>310.48680000000002</v>
      </c>
      <c r="AF60" s="496"/>
      <c r="AG60" s="496"/>
      <c r="AH60" s="496"/>
      <c r="AI60" s="496"/>
    </row>
    <row r="61" spans="2:47" ht="15.05" customHeight="1">
      <c r="B61" s="738"/>
      <c r="C61" s="738"/>
      <c r="D61" s="738"/>
      <c r="E61" s="738"/>
      <c r="F61" s="738"/>
      <c r="G61" s="738"/>
      <c r="H61" s="738"/>
      <c r="I61" s="738"/>
      <c r="J61" s="738"/>
      <c r="K61" s="343"/>
      <c r="L61" s="769">
        <v>44614</v>
      </c>
      <c r="M61" s="766" t="s">
        <v>334</v>
      </c>
      <c r="S61" s="496">
        <v>323.99021999999997</v>
      </c>
      <c r="T61" s="496"/>
      <c r="U61" s="496">
        <v>414</v>
      </c>
      <c r="V61" s="496"/>
      <c r="W61" s="496">
        <v>325.73555999999996</v>
      </c>
      <c r="X61" s="496"/>
      <c r="Y61" s="496">
        <v>326.37858</v>
      </c>
      <c r="Z61" s="496"/>
      <c r="AA61" s="496"/>
      <c r="AB61" s="496">
        <v>328.39949999999999</v>
      </c>
      <c r="AC61" s="496"/>
      <c r="AD61" s="496"/>
      <c r="AE61" s="496">
        <v>328.30763999999999</v>
      </c>
      <c r="AF61" s="496"/>
      <c r="AG61" s="496"/>
      <c r="AH61" s="496"/>
      <c r="AI61" s="496"/>
    </row>
    <row r="62" spans="2:47" ht="15.05" customHeight="1">
      <c r="B62" s="738"/>
      <c r="C62" s="738"/>
      <c r="D62" s="738"/>
      <c r="E62" s="738"/>
      <c r="F62" s="738"/>
      <c r="G62" s="738"/>
      <c r="H62" s="738"/>
      <c r="I62" s="738"/>
      <c r="J62" s="738"/>
      <c r="K62" s="343"/>
      <c r="L62" s="769">
        <v>44620</v>
      </c>
      <c r="M62" s="766" t="s">
        <v>335</v>
      </c>
      <c r="S62" s="496">
        <v>350.62961999999999</v>
      </c>
      <c r="T62" s="496"/>
      <c r="U62" s="496">
        <v>438.3</v>
      </c>
      <c r="V62" s="496"/>
      <c r="W62" s="496">
        <v>345.66917999999998</v>
      </c>
      <c r="X62" s="496"/>
      <c r="Y62" s="496">
        <v>342.72965999999997</v>
      </c>
      <c r="Z62" s="496"/>
      <c r="AA62" s="496"/>
      <c r="AB62" s="496">
        <v>341.16803999999996</v>
      </c>
      <c r="AC62" s="496"/>
      <c r="AD62" s="496"/>
      <c r="AE62" s="496">
        <v>336.20760000000001</v>
      </c>
      <c r="AF62" s="496"/>
      <c r="AG62" s="496"/>
      <c r="AH62" s="496"/>
      <c r="AI62" s="496"/>
    </row>
    <row r="63" spans="2:47" ht="15.05" customHeight="1">
      <c r="B63" s="738"/>
      <c r="C63" s="738"/>
      <c r="D63" s="738"/>
      <c r="E63" s="738"/>
      <c r="F63" s="738"/>
      <c r="G63" s="738"/>
      <c r="H63" s="738"/>
      <c r="I63" s="738"/>
      <c r="J63" s="738"/>
      <c r="K63" s="343"/>
      <c r="L63" s="769">
        <v>44627</v>
      </c>
      <c r="M63" s="766" t="s">
        <v>336</v>
      </c>
      <c r="U63" s="496">
        <v>547.9</v>
      </c>
      <c r="V63" s="496">
        <v>0</v>
      </c>
      <c r="W63" s="496">
        <v>453.32909999999998</v>
      </c>
      <c r="X63" s="496"/>
      <c r="Y63" s="496">
        <v>438.08033999999998</v>
      </c>
      <c r="Z63" s="496"/>
      <c r="AA63" s="496"/>
      <c r="AB63" s="496">
        <v>419.70833999999996</v>
      </c>
      <c r="AC63" s="496"/>
      <c r="AD63" s="496"/>
      <c r="AE63" s="496">
        <v>402.80610000000001</v>
      </c>
      <c r="AF63" s="496"/>
      <c r="AG63" s="496"/>
      <c r="AH63" s="496"/>
      <c r="AI63" s="496"/>
      <c r="AJ63" s="496">
        <v>306.99612000000002</v>
      </c>
      <c r="AK63" s="496"/>
      <c r="AL63" s="496"/>
      <c r="AM63" s="496"/>
      <c r="AN63" s="496"/>
      <c r="AO63" s="496"/>
      <c r="AP63" s="496"/>
      <c r="AQ63" s="496"/>
      <c r="AR63" s="496"/>
      <c r="AS63" s="496"/>
      <c r="AT63" s="496"/>
      <c r="AU63" s="496"/>
    </row>
    <row r="64" spans="2:47" ht="15.05" customHeight="1">
      <c r="L64" s="769">
        <v>44634</v>
      </c>
      <c r="M64" s="766" t="s">
        <v>337</v>
      </c>
      <c r="U64" s="496">
        <v>496</v>
      </c>
      <c r="V64" s="496">
        <v>0</v>
      </c>
      <c r="W64" s="496">
        <v>398.85611999999998</v>
      </c>
      <c r="X64" s="496"/>
      <c r="Y64" s="496">
        <v>392.33405999999997</v>
      </c>
      <c r="Z64" s="496"/>
      <c r="AA64" s="496"/>
      <c r="AB64" s="496">
        <v>386.63873999999998</v>
      </c>
      <c r="AC64" s="496"/>
      <c r="AD64" s="496"/>
      <c r="AE64" s="496">
        <v>374.97251999999997</v>
      </c>
      <c r="AF64" s="496"/>
      <c r="AG64" s="496"/>
      <c r="AH64" s="496"/>
      <c r="AI64" s="496"/>
      <c r="AJ64" s="496">
        <v>294.50315999999998</v>
      </c>
      <c r="AK64" s="496"/>
      <c r="AL64" s="496"/>
      <c r="AM64" s="496"/>
      <c r="AN64" s="496"/>
      <c r="AO64" s="496"/>
      <c r="AP64" s="496"/>
      <c r="AQ64" s="496"/>
      <c r="AR64" s="496"/>
      <c r="AS64" s="496"/>
      <c r="AT64" s="496"/>
      <c r="AU64" s="496"/>
    </row>
    <row r="65" spans="12:47" ht="15.05" customHeight="1">
      <c r="L65" s="769">
        <v>44641</v>
      </c>
      <c r="M65" s="766" t="s">
        <v>338</v>
      </c>
      <c r="U65" s="496">
        <v>409.05257999999998</v>
      </c>
      <c r="V65" s="496">
        <v>0</v>
      </c>
      <c r="W65" s="496">
        <v>405.37817999999999</v>
      </c>
      <c r="X65" s="496"/>
      <c r="Y65" s="496">
        <v>398.76425999999998</v>
      </c>
      <c r="Z65" s="496"/>
      <c r="AA65" s="496"/>
      <c r="AB65" s="496">
        <v>392.05847999999997</v>
      </c>
      <c r="AC65" s="496"/>
      <c r="AD65" s="496"/>
      <c r="AE65" s="496">
        <v>382.87248</v>
      </c>
      <c r="AF65" s="496"/>
      <c r="AG65" s="496"/>
      <c r="AH65" s="496"/>
      <c r="AI65" s="496"/>
      <c r="AJ65" s="496">
        <v>310.02749999999997</v>
      </c>
      <c r="AK65" s="496"/>
      <c r="AL65" s="496"/>
      <c r="AM65" s="496"/>
      <c r="AN65" s="496"/>
      <c r="AO65" s="496"/>
      <c r="AP65" s="496"/>
      <c r="AQ65" s="496"/>
      <c r="AR65" s="496"/>
      <c r="AS65" s="496"/>
      <c r="AT65" s="496"/>
      <c r="AU65" s="496"/>
    </row>
    <row r="66" spans="12:47" ht="15.05" customHeight="1">
      <c r="L66" s="769">
        <v>44648</v>
      </c>
      <c r="M66" s="766" t="s">
        <v>339</v>
      </c>
      <c r="U66" s="496">
        <v>393.34451999999999</v>
      </c>
      <c r="V66" s="496">
        <v>0</v>
      </c>
      <c r="W66" s="496">
        <v>392.97708</v>
      </c>
      <c r="X66" s="496"/>
      <c r="Y66" s="496">
        <v>390.95616000000001</v>
      </c>
      <c r="Z66" s="496"/>
      <c r="AA66" s="496"/>
      <c r="AB66" s="496">
        <v>389.02709999999996</v>
      </c>
      <c r="AC66" s="496"/>
      <c r="AD66" s="496"/>
      <c r="AE66" s="496">
        <v>383.23991999999998</v>
      </c>
      <c r="AF66" s="496"/>
      <c r="AG66" s="496"/>
      <c r="AH66" s="496"/>
      <c r="AI66" s="496"/>
      <c r="AJ66" s="496">
        <v>323.43905999999998</v>
      </c>
      <c r="AK66" s="496"/>
      <c r="AL66" s="496"/>
      <c r="AM66" s="496"/>
      <c r="AN66" s="496"/>
      <c r="AO66" s="496"/>
      <c r="AP66" s="496"/>
      <c r="AQ66" s="496"/>
      <c r="AR66" s="496"/>
      <c r="AS66" s="496"/>
      <c r="AT66" s="496"/>
      <c r="AU66" s="496"/>
    </row>
    <row r="67" spans="12:47" ht="15.05" customHeight="1">
      <c r="L67" s="769">
        <v>44655</v>
      </c>
      <c r="M67" s="766" t="s">
        <v>340</v>
      </c>
      <c r="U67" s="496">
        <v>381.31085999999999</v>
      </c>
      <c r="V67" s="496">
        <v>0</v>
      </c>
      <c r="W67" s="496">
        <v>381.86201999999997</v>
      </c>
      <c r="X67" s="496"/>
      <c r="Y67" s="496">
        <v>381.49457999999998</v>
      </c>
      <c r="Z67" s="496"/>
      <c r="AA67" s="496"/>
      <c r="AB67" s="496">
        <v>381.40271999999999</v>
      </c>
      <c r="AC67" s="496"/>
      <c r="AD67" s="496"/>
      <c r="AE67" s="496">
        <v>378.92250000000001</v>
      </c>
      <c r="AF67" s="496"/>
      <c r="AG67" s="496"/>
      <c r="AH67" s="496"/>
      <c r="AI67" s="496"/>
      <c r="AJ67" s="496">
        <v>332.34947999999997</v>
      </c>
      <c r="AK67" s="496"/>
      <c r="AL67" s="496"/>
      <c r="AM67" s="496"/>
      <c r="AN67" s="496"/>
      <c r="AO67" s="496"/>
      <c r="AP67" s="496">
        <v>331.33902</v>
      </c>
      <c r="AQ67" s="496"/>
      <c r="AR67" s="496"/>
      <c r="AS67" s="496"/>
      <c r="AT67" s="496"/>
      <c r="AU67" s="496"/>
    </row>
    <row r="68" spans="12:47" ht="15.05" customHeight="1">
      <c r="L68" s="769">
        <v>44662</v>
      </c>
      <c r="M68" s="766" t="s">
        <v>341</v>
      </c>
      <c r="U68" s="496">
        <v>419.43275999999997</v>
      </c>
      <c r="V68" s="496">
        <v>0</v>
      </c>
      <c r="W68" s="496">
        <v>420.90251999999998</v>
      </c>
      <c r="X68" s="496"/>
      <c r="Y68" s="496">
        <v>420.35136</v>
      </c>
      <c r="Z68" s="496"/>
      <c r="AA68" s="496"/>
      <c r="AB68" s="496">
        <v>419.61647999999997</v>
      </c>
      <c r="AC68" s="496"/>
      <c r="AD68" s="496"/>
      <c r="AE68" s="496">
        <v>417.59555999999998</v>
      </c>
      <c r="AF68" s="496"/>
      <c r="AG68" s="496"/>
      <c r="AH68" s="496"/>
      <c r="AI68" s="496"/>
      <c r="AJ68" s="496">
        <v>364.22489999999999</v>
      </c>
      <c r="AK68" s="496"/>
      <c r="AL68" s="496"/>
      <c r="AM68" s="496"/>
      <c r="AN68" s="496"/>
      <c r="AO68" s="496"/>
      <c r="AP68" s="496">
        <v>331.33902</v>
      </c>
      <c r="AQ68" s="496"/>
      <c r="AR68" s="496"/>
      <c r="AS68" s="496"/>
      <c r="AT68" s="496"/>
      <c r="AU68" s="496"/>
    </row>
    <row r="69" spans="12:47" ht="15.05" customHeight="1">
      <c r="L69" s="769">
        <v>44669</v>
      </c>
      <c r="M69" s="766" t="s">
        <v>342</v>
      </c>
      <c r="U69" s="496">
        <v>435.41640000000001</v>
      </c>
      <c r="V69" s="496">
        <v>0</v>
      </c>
      <c r="W69" s="496">
        <v>436.88615999999996</v>
      </c>
      <c r="X69" s="496"/>
      <c r="Y69" s="496">
        <v>435.23267999999996</v>
      </c>
      <c r="Z69" s="496"/>
      <c r="AA69" s="496"/>
      <c r="AB69" s="496">
        <v>432.84431999999998</v>
      </c>
      <c r="AC69" s="496"/>
      <c r="AD69" s="496"/>
      <c r="AE69" s="496">
        <v>430.45596</v>
      </c>
      <c r="AF69" s="496"/>
      <c r="AG69" s="496"/>
      <c r="AH69" s="496"/>
      <c r="AI69" s="496"/>
      <c r="AJ69" s="496">
        <v>383.33177999999998</v>
      </c>
      <c r="AK69" s="496"/>
      <c r="AL69" s="496"/>
      <c r="AM69" s="496"/>
      <c r="AN69" s="496"/>
      <c r="AO69" s="496"/>
      <c r="AP69" s="496">
        <v>376.25855999999999</v>
      </c>
      <c r="AQ69" s="496"/>
      <c r="AR69" s="496"/>
      <c r="AS69" s="496"/>
      <c r="AT69" s="496"/>
      <c r="AU69" s="496"/>
    </row>
    <row r="70" spans="12:47" ht="15.05" customHeight="1">
      <c r="L70" s="769">
        <v>44676</v>
      </c>
      <c r="M70" s="766" t="s">
        <v>343</v>
      </c>
      <c r="U70" s="496">
        <v>420.81065999999998</v>
      </c>
      <c r="V70" s="496">
        <v>0</v>
      </c>
      <c r="W70" s="496">
        <v>423.65832</v>
      </c>
      <c r="X70" s="496"/>
      <c r="Y70" s="496">
        <v>423.47460000000001</v>
      </c>
      <c r="Z70" s="496"/>
      <c r="AA70" s="496"/>
      <c r="AB70" s="496">
        <v>422.37227999999999</v>
      </c>
      <c r="AC70" s="496"/>
      <c r="AD70" s="496"/>
      <c r="AE70" s="496">
        <v>420.71879999999999</v>
      </c>
      <c r="AF70" s="496"/>
      <c r="AG70" s="496"/>
      <c r="AH70" s="496"/>
      <c r="AI70" s="496"/>
      <c r="AJ70" s="496">
        <v>385.81200000000001</v>
      </c>
      <c r="AK70" s="496"/>
      <c r="AL70" s="496"/>
      <c r="AM70" s="496"/>
      <c r="AN70" s="496"/>
      <c r="AO70" s="496"/>
      <c r="AP70" s="496">
        <v>379.74923999999999</v>
      </c>
      <c r="AQ70" s="496"/>
      <c r="AR70" s="496"/>
      <c r="AS70" s="496"/>
      <c r="AT70" s="496"/>
      <c r="AU70" s="496"/>
    </row>
    <row r="71" spans="12:47" ht="15.05" customHeight="1">
      <c r="L71" s="769">
        <v>44683</v>
      </c>
      <c r="M71" s="770" t="s">
        <v>344</v>
      </c>
      <c r="U71" s="496">
        <v>399.32</v>
      </c>
      <c r="V71" s="496">
        <v>0</v>
      </c>
      <c r="W71" s="496">
        <v>403.45</v>
      </c>
      <c r="X71" s="496"/>
      <c r="Y71" s="496">
        <v>404.74</v>
      </c>
      <c r="Z71" s="496">
        <v>0</v>
      </c>
      <c r="AA71" s="496"/>
      <c r="AB71" s="496">
        <v>405.93</v>
      </c>
      <c r="AC71" s="496"/>
      <c r="AD71" s="496"/>
      <c r="AE71" s="496">
        <v>405.38</v>
      </c>
      <c r="AF71" s="496"/>
      <c r="AG71" s="496"/>
      <c r="AH71" s="496"/>
      <c r="AI71" s="496"/>
      <c r="AJ71" s="496">
        <v>376.63</v>
      </c>
      <c r="AK71" s="496"/>
      <c r="AL71" s="496"/>
      <c r="AM71" s="496"/>
      <c r="AN71" s="496"/>
      <c r="AO71" s="496"/>
      <c r="AP71" s="496">
        <v>372.77</v>
      </c>
      <c r="AQ71" s="496"/>
      <c r="AR71" s="496"/>
      <c r="AS71" s="496"/>
      <c r="AT71" s="496"/>
      <c r="AU71" s="496"/>
    </row>
    <row r="72" spans="12:47" ht="15.05" customHeight="1">
      <c r="L72" s="769">
        <v>44690</v>
      </c>
      <c r="M72" s="771" t="s">
        <v>345</v>
      </c>
      <c r="U72" s="496">
        <v>423.75018</v>
      </c>
      <c r="V72" s="496">
        <v>0</v>
      </c>
      <c r="W72" s="496">
        <v>427.79201999999998</v>
      </c>
      <c r="X72" s="496"/>
      <c r="Y72" s="496">
        <v>428.9862</v>
      </c>
      <c r="Z72" s="496">
        <v>0</v>
      </c>
      <c r="AA72" s="496"/>
      <c r="AB72" s="496">
        <v>430.63968</v>
      </c>
      <c r="AC72" s="496"/>
      <c r="AD72" s="496"/>
      <c r="AE72" s="496">
        <v>429.90479999999997</v>
      </c>
      <c r="AF72" s="496"/>
      <c r="AG72" s="496"/>
      <c r="AH72" s="496"/>
      <c r="AI72" s="496"/>
      <c r="AJ72" s="496">
        <v>390.86430000000001</v>
      </c>
      <c r="AK72" s="496"/>
      <c r="AL72" s="496"/>
      <c r="AM72" s="496"/>
      <c r="AN72" s="496"/>
      <c r="AO72" s="496"/>
      <c r="AP72" s="496">
        <v>386.08758</v>
      </c>
      <c r="AQ72" s="496"/>
      <c r="AR72" s="496"/>
      <c r="AS72" s="496"/>
      <c r="AT72" s="496"/>
      <c r="AU72" s="496"/>
    </row>
    <row r="73" spans="12:47" ht="15.05" customHeight="1">
      <c r="L73" s="769">
        <v>44697</v>
      </c>
      <c r="M73" s="771" t="s">
        <v>346</v>
      </c>
      <c r="U73" s="496">
        <v>0</v>
      </c>
      <c r="V73" s="496">
        <v>0</v>
      </c>
      <c r="W73" s="496">
        <v>496.77887999999996</v>
      </c>
      <c r="X73" s="496"/>
      <c r="Y73" s="496">
        <v>497.42189999999999</v>
      </c>
      <c r="Z73" s="496">
        <v>0</v>
      </c>
      <c r="AA73" s="496"/>
      <c r="AB73" s="496">
        <v>497.78933999999998</v>
      </c>
      <c r="AC73" s="496"/>
      <c r="AD73" s="496"/>
      <c r="AE73" s="496">
        <v>492.82889999999998</v>
      </c>
      <c r="AF73" s="496"/>
      <c r="AG73" s="496"/>
      <c r="AH73" s="496"/>
      <c r="AI73" s="496"/>
      <c r="AJ73" s="496">
        <v>415.66649999999998</v>
      </c>
      <c r="AK73" s="496"/>
      <c r="AL73" s="496"/>
      <c r="AM73" s="496"/>
      <c r="AN73" s="496"/>
      <c r="AO73" s="496"/>
      <c r="AP73" s="496">
        <v>398.12124</v>
      </c>
      <c r="AQ73" s="496"/>
      <c r="AR73" s="496"/>
      <c r="AS73" s="496"/>
      <c r="AT73" s="496"/>
      <c r="AU73" s="496"/>
    </row>
    <row r="74" spans="12:47" ht="15.05" customHeight="1">
      <c r="L74" s="769">
        <v>44704</v>
      </c>
      <c r="V74" s="496"/>
      <c r="W74" s="496">
        <v>469.03715999999997</v>
      </c>
      <c r="X74" s="496"/>
      <c r="Y74" s="496">
        <v>470.50691999999998</v>
      </c>
      <c r="Z74" s="496"/>
      <c r="AA74" s="496"/>
      <c r="AB74" s="496">
        <v>472.06853999999998</v>
      </c>
      <c r="AC74" s="496"/>
      <c r="AD74" s="496"/>
      <c r="AE74" s="496">
        <v>471.7011</v>
      </c>
      <c r="AF74" s="496"/>
      <c r="AG74" s="496"/>
      <c r="AH74" s="496"/>
      <c r="AI74" s="496"/>
      <c r="AJ74" s="496">
        <v>411.80838</v>
      </c>
      <c r="AK74" s="496"/>
      <c r="AL74" s="496"/>
      <c r="AM74" s="496"/>
      <c r="AN74" s="496"/>
      <c r="AO74" s="496"/>
      <c r="AP74" s="496">
        <v>398.2131</v>
      </c>
      <c r="AQ74" s="496"/>
      <c r="AR74" s="496"/>
      <c r="AS74" s="496"/>
      <c r="AT74" s="496"/>
      <c r="AU74" s="496"/>
    </row>
    <row r="75" spans="12:47" ht="15.05" customHeight="1">
      <c r="L75" s="769">
        <v>44712</v>
      </c>
      <c r="V75" s="496"/>
      <c r="W75" s="496">
        <v>428.25131999999996</v>
      </c>
      <c r="X75" s="496"/>
      <c r="Y75" s="496">
        <v>430.63968</v>
      </c>
      <c r="Z75" s="496"/>
      <c r="AA75" s="496"/>
      <c r="AB75" s="496">
        <v>433.94664</v>
      </c>
      <c r="AC75" s="496"/>
      <c r="AD75" s="496"/>
      <c r="AE75" s="496">
        <v>434.77337999999997</v>
      </c>
      <c r="AF75" s="496"/>
      <c r="AG75" s="496"/>
      <c r="AH75" s="496"/>
      <c r="AI75" s="496"/>
      <c r="AJ75" s="496">
        <v>398.30495999999999</v>
      </c>
      <c r="AK75" s="496"/>
      <c r="AL75" s="496"/>
      <c r="AM75" s="496"/>
      <c r="AN75" s="496"/>
      <c r="AO75" s="496"/>
      <c r="AP75" s="496">
        <v>382.41318000000001</v>
      </c>
      <c r="AQ75" s="496"/>
      <c r="AR75" s="496"/>
      <c r="AS75" s="496"/>
      <c r="AT75" s="496"/>
      <c r="AU75" s="496"/>
    </row>
    <row r="76" spans="12:47" ht="15.05" customHeight="1">
      <c r="L76" s="769">
        <v>44718</v>
      </c>
      <c r="V76" s="496"/>
      <c r="W76" s="496">
        <v>429.90479999999997</v>
      </c>
      <c r="X76" s="496"/>
      <c r="Y76" s="496">
        <v>432.38502</v>
      </c>
      <c r="Z76" s="496"/>
      <c r="AA76" s="496"/>
      <c r="AB76" s="496">
        <v>435.96755999999999</v>
      </c>
      <c r="AC76" s="496"/>
      <c r="AD76" s="496"/>
      <c r="AE76" s="496">
        <v>437.89661999999998</v>
      </c>
      <c r="AF76" s="496"/>
      <c r="AG76" s="496"/>
      <c r="AH76" s="496"/>
      <c r="AI76" s="496"/>
      <c r="AJ76" s="496">
        <v>403.81655999999998</v>
      </c>
      <c r="AK76" s="496"/>
      <c r="AL76" s="496"/>
      <c r="AM76" s="496"/>
      <c r="AN76" s="496"/>
      <c r="AO76" s="496"/>
      <c r="AP76" s="496">
        <v>387.64920000000001</v>
      </c>
      <c r="AQ76" s="496"/>
      <c r="AR76" s="496"/>
      <c r="AS76" s="496"/>
      <c r="AT76" s="496"/>
      <c r="AU76" s="496"/>
    </row>
    <row r="77" spans="12:47" ht="15.05" customHeight="1">
      <c r="L77" s="769">
        <v>44725</v>
      </c>
      <c r="V77" s="496"/>
      <c r="W77" s="496">
        <v>426.87</v>
      </c>
      <c r="X77" s="496"/>
      <c r="Y77" s="496">
        <v>429.45</v>
      </c>
      <c r="Z77" s="496"/>
      <c r="AA77" s="496"/>
      <c r="AB77" s="496">
        <v>432.66</v>
      </c>
      <c r="AC77" s="496"/>
      <c r="AD77" s="496"/>
      <c r="AE77" s="496">
        <v>434.31</v>
      </c>
      <c r="AF77" s="496"/>
      <c r="AG77" s="496"/>
      <c r="AH77" s="496"/>
      <c r="AI77" s="496"/>
      <c r="AJ77" s="496">
        <v>405.19</v>
      </c>
      <c r="AK77" s="496"/>
      <c r="AL77" s="496"/>
      <c r="AM77" s="496"/>
      <c r="AN77" s="496"/>
      <c r="AO77" s="496"/>
      <c r="AP77" s="496">
        <v>394.81</v>
      </c>
      <c r="AQ77" s="496"/>
      <c r="AR77" s="496"/>
      <c r="AS77" s="496"/>
      <c r="AT77" s="496"/>
      <c r="AU77" s="496"/>
    </row>
    <row r="78" spans="12:47">
      <c r="L78" s="769">
        <v>44733</v>
      </c>
      <c r="W78" s="772">
        <v>382.59690000000001</v>
      </c>
      <c r="X78" s="772"/>
      <c r="Y78" s="772">
        <v>385.16897999999998</v>
      </c>
      <c r="Z78" s="772"/>
      <c r="AA78" s="772"/>
      <c r="AB78" s="772">
        <v>388.93523999999996</v>
      </c>
      <c r="AC78" s="772"/>
      <c r="AD78" s="772"/>
      <c r="AE78" s="772">
        <v>391.59917999999999</v>
      </c>
      <c r="AF78" s="772"/>
      <c r="AG78" s="772"/>
      <c r="AH78" s="772"/>
      <c r="AI78" s="772"/>
      <c r="AJ78" s="772">
        <v>368.63418000000001</v>
      </c>
      <c r="AK78" s="772"/>
      <c r="AL78" s="772"/>
      <c r="AM78" s="772"/>
      <c r="AN78" s="772"/>
      <c r="AO78" s="772"/>
      <c r="AP78" s="772">
        <v>359.26445999999999</v>
      </c>
      <c r="AQ78" s="772"/>
      <c r="AR78" s="772"/>
      <c r="AS78" s="772"/>
      <c r="AT78" s="772"/>
      <c r="AU78" s="772"/>
    </row>
    <row r="79" spans="12:47">
      <c r="L79" s="769">
        <v>44739</v>
      </c>
      <c r="W79" s="772">
        <v>357.42725999999999</v>
      </c>
      <c r="X79" s="772"/>
      <c r="Y79" s="772">
        <v>359.63189999999997</v>
      </c>
      <c r="Z79" s="772"/>
      <c r="AA79" s="772"/>
      <c r="AB79" s="772">
        <v>363.30629999999996</v>
      </c>
      <c r="AC79" s="772"/>
      <c r="AD79" s="772"/>
      <c r="AE79" s="772">
        <v>365.87837999999999</v>
      </c>
      <c r="AF79" s="772"/>
      <c r="AG79" s="772"/>
      <c r="AH79" s="772"/>
      <c r="AI79" s="772"/>
      <c r="AJ79" s="772">
        <v>343.09710000000001</v>
      </c>
      <c r="AK79" s="772"/>
      <c r="AL79" s="772"/>
      <c r="AM79" s="772"/>
      <c r="AN79" s="772"/>
      <c r="AO79" s="772"/>
      <c r="AP79" s="772">
        <v>335.10527999999999</v>
      </c>
      <c r="AQ79" s="772"/>
      <c r="AR79" s="772"/>
      <c r="AS79" s="772"/>
      <c r="AT79" s="772"/>
      <c r="AU79" s="772"/>
    </row>
    <row r="80" spans="12:47">
      <c r="L80" s="769">
        <v>44747</v>
      </c>
      <c r="W80" s="772">
        <v>316.09026</v>
      </c>
      <c r="X80" s="772"/>
      <c r="Y80" s="772">
        <v>316.73327999999998</v>
      </c>
      <c r="Z80" s="772"/>
      <c r="AA80" s="772"/>
      <c r="AB80" s="772">
        <v>319.85651999999999</v>
      </c>
      <c r="AC80" s="772"/>
      <c r="AD80" s="772"/>
      <c r="AE80" s="772">
        <v>322.15301999999997</v>
      </c>
      <c r="AF80" s="772"/>
      <c r="AG80" s="772"/>
      <c r="AH80" s="772"/>
      <c r="AI80" s="772"/>
      <c r="AJ80" s="772">
        <v>312.69144</v>
      </c>
      <c r="AK80" s="772"/>
      <c r="AL80" s="772"/>
      <c r="AM80" s="772">
        <v>311.12982</v>
      </c>
      <c r="AN80" s="772"/>
      <c r="AO80" s="772"/>
      <c r="AP80" s="772">
        <v>306.62867999999997</v>
      </c>
      <c r="AQ80" s="772"/>
      <c r="AR80" s="772"/>
      <c r="AS80" s="772"/>
      <c r="AT80" s="772"/>
      <c r="AU80" s="772"/>
    </row>
    <row r="81" spans="12:47">
      <c r="L81" s="769">
        <v>44753</v>
      </c>
      <c r="W81" s="772">
        <v>338.13666000000001</v>
      </c>
      <c r="X81" s="772"/>
      <c r="Y81" s="772">
        <v>336.29946000000001</v>
      </c>
      <c r="Z81" s="772"/>
      <c r="AA81" s="772"/>
      <c r="AB81" s="772">
        <v>339.23897999999997</v>
      </c>
      <c r="AC81" s="772"/>
      <c r="AD81" s="772"/>
      <c r="AE81" s="772">
        <v>340.61687999999998</v>
      </c>
      <c r="AF81" s="772"/>
      <c r="AG81" s="772"/>
      <c r="AH81" s="772"/>
      <c r="AI81" s="772"/>
      <c r="AJ81" s="772">
        <v>328.76693999999998</v>
      </c>
      <c r="AK81" s="772"/>
      <c r="AL81" s="772"/>
      <c r="AM81" s="772">
        <v>326.74601999999999</v>
      </c>
      <c r="AN81" s="772"/>
      <c r="AO81" s="772"/>
      <c r="AP81" s="772">
        <v>322.52046000000001</v>
      </c>
      <c r="AQ81" s="772"/>
      <c r="AR81" s="772"/>
      <c r="AS81" s="772"/>
      <c r="AT81" s="772"/>
      <c r="AU81" s="772"/>
    </row>
    <row r="82" spans="12:47">
      <c r="L82" s="769">
        <v>44760</v>
      </c>
      <c r="W82" s="772"/>
      <c r="X82" s="772"/>
      <c r="Y82" s="772">
        <v>321.14256</v>
      </c>
      <c r="Z82" s="772"/>
      <c r="AA82" s="772"/>
      <c r="AB82" s="772">
        <v>324.08207999999996</v>
      </c>
      <c r="AC82" s="772"/>
      <c r="AD82" s="772"/>
      <c r="AE82" s="772">
        <v>326.19486000000001</v>
      </c>
      <c r="AF82" s="772"/>
      <c r="AG82" s="772"/>
      <c r="AH82" s="772"/>
      <c r="AI82" s="772"/>
      <c r="AJ82" s="772">
        <v>321.41813999999999</v>
      </c>
      <c r="AK82" s="772"/>
      <c r="AL82" s="772"/>
      <c r="AM82" s="772">
        <v>321.51</v>
      </c>
      <c r="AN82" s="772"/>
      <c r="AO82" s="772"/>
      <c r="AP82" s="772">
        <v>319.12164000000001</v>
      </c>
      <c r="AQ82" s="772"/>
      <c r="AR82" s="772"/>
      <c r="AS82" s="772"/>
      <c r="AT82" s="772"/>
      <c r="AU82" s="772"/>
    </row>
    <row r="83" spans="12:47">
      <c r="L83" s="769">
        <v>44767</v>
      </c>
      <c r="Y83" s="772">
        <v>308.55773999999997</v>
      </c>
      <c r="Z83" s="772"/>
      <c r="AA83" s="772"/>
      <c r="AB83" s="772">
        <v>311.12982</v>
      </c>
      <c r="AC83" s="772"/>
      <c r="AD83" s="772"/>
      <c r="AE83" s="772">
        <v>312.87515999999999</v>
      </c>
      <c r="AF83" s="772"/>
      <c r="AG83" s="772"/>
      <c r="AH83" s="772"/>
      <c r="AI83" s="772"/>
      <c r="AJ83" s="772">
        <v>308.19029999999998</v>
      </c>
      <c r="AK83" s="772"/>
      <c r="AL83" s="772"/>
      <c r="AM83" s="772">
        <v>308.92518000000001</v>
      </c>
      <c r="AN83" s="772"/>
      <c r="AO83" s="772"/>
      <c r="AP83" s="772">
        <v>306.44495999999998</v>
      </c>
      <c r="AQ83" s="772"/>
      <c r="AR83" s="772"/>
      <c r="AS83" s="772"/>
      <c r="AT83" s="772"/>
      <c r="AU83" s="772"/>
    </row>
    <row r="84" spans="12:47">
      <c r="L84" s="769">
        <v>44774</v>
      </c>
      <c r="Y84" s="772">
        <v>318.38675999999998</v>
      </c>
      <c r="Z84" s="772"/>
      <c r="AA84" s="772"/>
      <c r="AB84" s="772">
        <v>321.14256</v>
      </c>
      <c r="AC84" s="772"/>
      <c r="AD84" s="772"/>
      <c r="AE84" s="772">
        <v>323.16347999999999</v>
      </c>
      <c r="AF84" s="772"/>
      <c r="AG84" s="772"/>
      <c r="AH84" s="772"/>
      <c r="AI84" s="772"/>
      <c r="AJ84" s="772">
        <v>317.8356</v>
      </c>
      <c r="AK84" s="772"/>
      <c r="AL84" s="772"/>
      <c r="AM84" s="772">
        <v>318.38675999999998</v>
      </c>
      <c r="AN84" s="772"/>
      <c r="AO84" s="772"/>
      <c r="AP84" s="772">
        <v>314.89607999999998</v>
      </c>
      <c r="AQ84" s="772"/>
      <c r="AR84" s="772"/>
      <c r="AS84" s="772"/>
      <c r="AT84" s="772"/>
      <c r="AU84" s="772"/>
    </row>
    <row r="85" spans="12:47">
      <c r="L85" s="769">
        <v>44781</v>
      </c>
      <c r="Y85" s="772">
        <v>311.49725999999998</v>
      </c>
      <c r="Z85" s="772"/>
      <c r="AA85" s="772"/>
      <c r="AB85" s="772">
        <v>314.16120000000001</v>
      </c>
      <c r="AC85" s="772"/>
      <c r="AD85" s="772"/>
      <c r="AE85" s="772">
        <v>316.36583999999999</v>
      </c>
      <c r="AF85" s="772"/>
      <c r="AG85" s="772"/>
      <c r="AH85" s="772"/>
      <c r="AI85" s="772"/>
      <c r="AJ85" s="772">
        <v>314.80421999999999</v>
      </c>
      <c r="AK85" s="772"/>
      <c r="AL85" s="772"/>
      <c r="AM85" s="772">
        <v>315.90654000000001</v>
      </c>
      <c r="AN85" s="772"/>
      <c r="AO85" s="772"/>
      <c r="AP85" s="772">
        <v>312.50772000000001</v>
      </c>
      <c r="AQ85" s="772"/>
      <c r="AR85" s="772"/>
      <c r="AS85" s="772"/>
      <c r="AT85" s="772"/>
      <c r="AU85" s="772"/>
    </row>
    <row r="86" spans="12:47">
      <c r="L86" s="769">
        <v>44788</v>
      </c>
      <c r="Y86" s="772">
        <v>324.35766000000001</v>
      </c>
      <c r="Z86" s="772"/>
      <c r="AA86" s="772"/>
      <c r="AB86" s="772">
        <v>325.18439999999998</v>
      </c>
      <c r="AC86" s="772"/>
      <c r="AD86" s="772"/>
      <c r="AE86" s="772">
        <v>326.01114000000001</v>
      </c>
      <c r="AF86" s="772"/>
      <c r="AG86" s="772"/>
      <c r="AH86" s="772"/>
      <c r="AI86" s="772"/>
      <c r="AJ86" s="772">
        <v>322.52046000000001</v>
      </c>
      <c r="AK86" s="772"/>
      <c r="AL86" s="772"/>
      <c r="AM86" s="772">
        <v>322.79604</v>
      </c>
      <c r="AN86" s="772"/>
      <c r="AO86" s="772"/>
      <c r="AP86" s="772">
        <v>319.85651999999999</v>
      </c>
      <c r="AQ86" s="772"/>
      <c r="AR86" s="772"/>
      <c r="AS86" s="772"/>
      <c r="AT86" s="772"/>
      <c r="AU86" s="772"/>
    </row>
    <row r="87" spans="12:47">
      <c r="L87" s="769">
        <v>44795</v>
      </c>
      <c r="Y87" s="772">
        <v>317.92746</v>
      </c>
      <c r="Z87" s="772"/>
      <c r="AA87" s="772"/>
      <c r="AB87" s="772">
        <v>318.20303999999999</v>
      </c>
      <c r="AC87" s="772"/>
      <c r="AD87" s="772"/>
      <c r="AE87" s="772">
        <v>318.47861999999998</v>
      </c>
      <c r="AF87" s="772"/>
      <c r="AG87" s="772"/>
      <c r="AH87" s="772"/>
      <c r="AI87" s="772"/>
      <c r="AJ87" s="772">
        <v>314.71235999999999</v>
      </c>
      <c r="AK87" s="772"/>
      <c r="AL87" s="772"/>
      <c r="AM87" s="772">
        <v>316.09026</v>
      </c>
      <c r="AN87" s="772"/>
      <c r="AO87" s="772"/>
      <c r="AP87" s="772">
        <v>315.26351999999997</v>
      </c>
      <c r="AQ87" s="772"/>
      <c r="AR87" s="772"/>
      <c r="AS87" s="772"/>
      <c r="AT87" s="772"/>
      <c r="AU87" s="772"/>
    </row>
    <row r="88" spans="12:47">
      <c r="L88" s="769">
        <v>44802</v>
      </c>
      <c r="Y88" s="772">
        <v>335.28899999999999</v>
      </c>
      <c r="Z88" s="772"/>
      <c r="AA88" s="772"/>
      <c r="AB88" s="772">
        <v>335.28899999999999</v>
      </c>
      <c r="AC88" s="772"/>
      <c r="AD88" s="772"/>
      <c r="AE88" s="772">
        <v>335.19713999999999</v>
      </c>
      <c r="AF88" s="772"/>
      <c r="AG88" s="772"/>
      <c r="AH88" s="772"/>
      <c r="AI88" s="772"/>
      <c r="AJ88" s="772">
        <v>329.86926</v>
      </c>
      <c r="AK88" s="772"/>
      <c r="AL88" s="772"/>
      <c r="AM88" s="772">
        <v>331.33902</v>
      </c>
      <c r="AN88" s="772"/>
      <c r="AO88" s="772"/>
      <c r="AP88" s="772">
        <v>330.51227999999998</v>
      </c>
      <c r="AQ88" s="772"/>
      <c r="AR88" s="772"/>
      <c r="AS88" s="772"/>
      <c r="AT88" s="772"/>
      <c r="AU88" s="772"/>
    </row>
    <row r="89" spans="12:47">
      <c r="L89" s="769">
        <v>44810</v>
      </c>
      <c r="Y89" s="772">
        <v>322.97976</v>
      </c>
      <c r="Z89" s="772"/>
      <c r="AA89" s="772"/>
      <c r="AB89" s="772">
        <v>324.08207999999996</v>
      </c>
      <c r="AC89" s="772"/>
      <c r="AD89" s="772"/>
      <c r="AE89" s="772">
        <v>324.7251</v>
      </c>
      <c r="AF89" s="772"/>
      <c r="AG89" s="772"/>
      <c r="AH89" s="772"/>
      <c r="AI89" s="772"/>
      <c r="AJ89" s="772">
        <v>321.32628</v>
      </c>
      <c r="AK89" s="772"/>
      <c r="AL89" s="772"/>
      <c r="AM89" s="772">
        <v>323.62277999999998</v>
      </c>
      <c r="AN89" s="772"/>
      <c r="AO89" s="772"/>
      <c r="AP89" s="772">
        <v>322.8879</v>
      </c>
      <c r="AQ89" s="772"/>
      <c r="AR89" s="772"/>
      <c r="AS89" s="772"/>
      <c r="AT89" s="772"/>
      <c r="AU89" s="772"/>
    </row>
    <row r="90" spans="12:47">
      <c r="L90" s="769">
        <v>44816</v>
      </c>
      <c r="Y90" s="772">
        <v>344.38313999999997</v>
      </c>
      <c r="Z90" s="772"/>
      <c r="AA90" s="772"/>
      <c r="AB90" s="772">
        <v>340.61687999999998</v>
      </c>
      <c r="AC90" s="772"/>
      <c r="AD90" s="772"/>
      <c r="AE90" s="772">
        <v>340.89245999999997</v>
      </c>
      <c r="AF90" s="772"/>
      <c r="AG90" s="772"/>
      <c r="AH90" s="772"/>
      <c r="AI90" s="772"/>
      <c r="AJ90" s="772">
        <v>336.29946000000001</v>
      </c>
      <c r="AK90" s="772"/>
      <c r="AL90" s="772"/>
      <c r="AM90" s="772">
        <v>337.76921999999996</v>
      </c>
      <c r="AN90" s="772"/>
      <c r="AO90" s="772"/>
      <c r="AP90" s="772">
        <v>336.20760000000001</v>
      </c>
      <c r="AQ90" s="772"/>
      <c r="AR90" s="772"/>
      <c r="AS90" s="772"/>
      <c r="AT90" s="772"/>
      <c r="AU90" s="772"/>
    </row>
    <row r="91" spans="12:47">
      <c r="L91" s="769">
        <v>44823</v>
      </c>
      <c r="Y91" s="772"/>
      <c r="Z91" s="772"/>
      <c r="AA91" s="772"/>
      <c r="AB91" s="772">
        <v>334.27853999999996</v>
      </c>
      <c r="AC91" s="772"/>
      <c r="AD91" s="772"/>
      <c r="AE91" s="772">
        <v>333.63551999999999</v>
      </c>
      <c r="AF91" s="772"/>
      <c r="AG91" s="772"/>
      <c r="AH91" s="772"/>
      <c r="AI91" s="772"/>
      <c r="AJ91" s="772">
        <v>329.31810000000002</v>
      </c>
      <c r="AK91" s="772"/>
      <c r="AL91" s="772"/>
      <c r="AM91" s="772">
        <v>331.24716000000001</v>
      </c>
      <c r="AN91" s="772"/>
      <c r="AO91" s="772"/>
      <c r="AP91" s="772">
        <v>329.86926</v>
      </c>
      <c r="AQ91" s="772"/>
      <c r="AR91" s="772"/>
      <c r="AS91" s="772"/>
      <c r="AT91" s="772"/>
      <c r="AU91" s="772"/>
    </row>
    <row r="92" spans="12:47">
      <c r="L92" s="769">
        <v>44830</v>
      </c>
      <c r="Z92" s="772"/>
      <c r="AA92" s="772"/>
      <c r="AB92" s="772">
        <v>341.53548000000001</v>
      </c>
      <c r="AC92" s="772"/>
      <c r="AD92" s="772"/>
      <c r="AE92" s="772">
        <v>340.24943999999999</v>
      </c>
      <c r="AF92" s="772"/>
      <c r="AG92" s="772"/>
      <c r="AH92" s="772"/>
      <c r="AI92" s="772"/>
      <c r="AJ92" s="772">
        <v>332.62505999999996</v>
      </c>
      <c r="AK92" s="772"/>
      <c r="AL92" s="772"/>
      <c r="AM92" s="772">
        <v>333.81923999999998</v>
      </c>
      <c r="AN92" s="772"/>
      <c r="AO92" s="772"/>
      <c r="AP92" s="772">
        <v>332.25761999999997</v>
      </c>
      <c r="AQ92" s="772"/>
      <c r="AR92" s="772"/>
      <c r="AS92" s="772"/>
      <c r="AT92" s="772"/>
      <c r="AU92" s="772"/>
    </row>
    <row r="93" spans="12:47">
      <c r="L93" s="769">
        <v>44837</v>
      </c>
      <c r="Z93" s="772"/>
      <c r="AA93" s="772"/>
      <c r="AB93" s="772">
        <v>363.30629999999996</v>
      </c>
      <c r="AC93" s="772"/>
      <c r="AD93" s="772"/>
      <c r="AE93" s="772">
        <v>362.11212</v>
      </c>
      <c r="AF93" s="772"/>
      <c r="AG93" s="772"/>
      <c r="AH93" s="772"/>
      <c r="AI93" s="772"/>
      <c r="AJ93" s="772">
        <v>348.24126000000001</v>
      </c>
      <c r="AK93" s="772"/>
      <c r="AL93" s="772"/>
      <c r="AM93" s="772">
        <v>347.87381999999997</v>
      </c>
      <c r="AN93" s="772"/>
      <c r="AO93" s="772"/>
      <c r="AP93" s="772">
        <v>344.56685999999996</v>
      </c>
      <c r="AQ93" s="772"/>
      <c r="AR93" s="772"/>
      <c r="AS93" s="772"/>
      <c r="AT93" s="772"/>
      <c r="AU93" s="772"/>
    </row>
    <row r="94" spans="12:47">
      <c r="L94" s="769">
        <v>44844</v>
      </c>
      <c r="Z94" s="772"/>
      <c r="AA94" s="772"/>
      <c r="AB94" s="772">
        <v>376.35041999999999</v>
      </c>
      <c r="AC94" s="772"/>
      <c r="AD94" s="772"/>
      <c r="AE94" s="772">
        <v>374.97251999999997</v>
      </c>
      <c r="AF94" s="772"/>
      <c r="AG94" s="772"/>
      <c r="AH94" s="772"/>
      <c r="AI94" s="772"/>
      <c r="AJ94" s="772">
        <v>361.37723999999997</v>
      </c>
      <c r="AK94" s="772"/>
      <c r="AL94" s="772"/>
      <c r="AM94" s="772">
        <v>360.36678000000001</v>
      </c>
      <c r="AN94" s="772"/>
      <c r="AO94" s="772"/>
      <c r="AP94" s="772">
        <v>357.05982</v>
      </c>
      <c r="AQ94" s="772"/>
      <c r="AR94" s="772"/>
      <c r="AS94" s="772"/>
      <c r="AT94" s="772"/>
      <c r="AU94" s="772"/>
    </row>
    <row r="95" spans="12:47">
      <c r="L95" s="769">
        <v>44851</v>
      </c>
      <c r="Z95" s="772"/>
      <c r="AA95" s="772"/>
      <c r="AB95" s="772">
        <v>349.80288000000002</v>
      </c>
      <c r="AC95" s="772"/>
      <c r="AD95" s="772"/>
      <c r="AE95" s="772">
        <v>349.34357999999997</v>
      </c>
      <c r="AF95" s="772"/>
      <c r="AG95" s="772"/>
      <c r="AH95" s="772"/>
      <c r="AI95" s="772"/>
      <c r="AJ95" s="772">
        <v>344.75058000000001</v>
      </c>
      <c r="AK95" s="772"/>
      <c r="AL95" s="772"/>
      <c r="AM95" s="772">
        <v>345.20988</v>
      </c>
      <c r="AN95" s="772"/>
      <c r="AO95" s="772"/>
      <c r="AP95" s="772">
        <v>342.63779999999997</v>
      </c>
      <c r="AQ95" s="772"/>
      <c r="AR95" s="772"/>
      <c r="AS95" s="772"/>
      <c r="AT95" s="772"/>
      <c r="AU95" s="772"/>
    </row>
    <row r="96" spans="12:47">
      <c r="L96" s="769">
        <v>44858</v>
      </c>
      <c r="Z96" s="772"/>
      <c r="AA96" s="772"/>
      <c r="AB96" s="772">
        <v>344.65872000000002</v>
      </c>
      <c r="AC96" s="772"/>
      <c r="AD96" s="772"/>
      <c r="AE96" s="772">
        <v>344.29127999999997</v>
      </c>
      <c r="AF96" s="772"/>
      <c r="AG96" s="772"/>
      <c r="AH96" s="772"/>
      <c r="AI96" s="772"/>
      <c r="AJ96" s="772">
        <v>341.81106</v>
      </c>
      <c r="AK96" s="772"/>
      <c r="AL96" s="772"/>
      <c r="AM96" s="772">
        <v>343.46454</v>
      </c>
      <c r="AN96" s="772"/>
      <c r="AO96" s="772"/>
      <c r="AP96" s="772">
        <v>341.7192</v>
      </c>
      <c r="AQ96" s="772"/>
      <c r="AR96" s="772"/>
      <c r="AS96" s="772"/>
      <c r="AT96" s="772"/>
      <c r="AU96" s="772"/>
    </row>
    <row r="97" spans="12:50">
      <c r="L97" s="769">
        <v>44865</v>
      </c>
      <c r="AB97" s="772">
        <v>359.63189999999997</v>
      </c>
      <c r="AC97" s="772"/>
      <c r="AD97" s="772"/>
      <c r="AE97" s="772">
        <v>357.97841999999997</v>
      </c>
      <c r="AF97" s="772"/>
      <c r="AG97" s="772"/>
      <c r="AH97" s="772"/>
      <c r="AI97" s="772"/>
      <c r="AJ97" s="772">
        <v>352.55867999999998</v>
      </c>
      <c r="AK97" s="772"/>
      <c r="AL97" s="772"/>
      <c r="AM97" s="772">
        <v>353.56914</v>
      </c>
      <c r="AN97" s="772"/>
      <c r="AO97" s="772"/>
      <c r="AP97" s="772">
        <v>349.71101999999996</v>
      </c>
      <c r="AQ97" s="772"/>
      <c r="AR97" s="772"/>
      <c r="AS97" s="772"/>
      <c r="AT97" s="772"/>
      <c r="AU97" s="772"/>
    </row>
    <row r="98" spans="12:50">
      <c r="L98" s="769">
        <v>44872</v>
      </c>
      <c r="AB98" s="772">
        <v>351.73194000000001</v>
      </c>
      <c r="AC98" s="772"/>
      <c r="AD98" s="772"/>
      <c r="AE98" s="772">
        <v>350.44589999999999</v>
      </c>
      <c r="AF98" s="772"/>
      <c r="AG98" s="772"/>
      <c r="AH98" s="772"/>
      <c r="AI98" s="772"/>
      <c r="AJ98" s="772">
        <v>346.03661999999997</v>
      </c>
      <c r="AK98" s="772"/>
      <c r="AL98" s="772"/>
      <c r="AM98" s="772">
        <v>347.23079999999999</v>
      </c>
      <c r="AN98" s="772"/>
      <c r="AO98" s="772"/>
      <c r="AP98" s="772">
        <v>345.30174</v>
      </c>
      <c r="AQ98" s="772"/>
      <c r="AR98" s="772"/>
      <c r="AS98" s="772"/>
      <c r="AT98" s="772"/>
      <c r="AU98" s="772"/>
    </row>
    <row r="99" spans="12:50">
      <c r="L99" s="769">
        <v>44879</v>
      </c>
      <c r="AB99" s="772">
        <v>351.36449999999996</v>
      </c>
      <c r="AC99" s="772"/>
      <c r="AD99" s="772"/>
      <c r="AE99" s="772">
        <v>348.97613999999999</v>
      </c>
      <c r="AF99" s="772"/>
      <c r="AG99" s="772"/>
      <c r="AH99" s="772"/>
      <c r="AI99" s="772"/>
      <c r="AJ99" s="772">
        <v>343.18896000000001</v>
      </c>
      <c r="AK99" s="772"/>
      <c r="AL99" s="772"/>
      <c r="AM99" s="772">
        <v>344.10755999999998</v>
      </c>
      <c r="AN99" s="772"/>
      <c r="AO99" s="772"/>
      <c r="AP99" s="772">
        <v>341.62734</v>
      </c>
      <c r="AQ99" s="772"/>
      <c r="AR99" s="772"/>
      <c r="AS99" s="772"/>
      <c r="AT99" s="772"/>
      <c r="AU99" s="772"/>
    </row>
    <row r="100" spans="12:50">
      <c r="L100" s="769">
        <v>44886</v>
      </c>
      <c r="AB100" s="772">
        <v>343.28082000000001</v>
      </c>
      <c r="AC100" s="772"/>
      <c r="AD100" s="772"/>
      <c r="AE100" s="772">
        <v>339.05525999999998</v>
      </c>
      <c r="AF100" s="772"/>
      <c r="AG100" s="772"/>
      <c r="AH100" s="772"/>
      <c r="AI100" s="772"/>
      <c r="AJ100" s="772">
        <v>333.63551999999999</v>
      </c>
      <c r="AK100" s="772"/>
      <c r="AL100" s="772"/>
      <c r="AM100" s="772">
        <v>334.55412000000001</v>
      </c>
      <c r="AN100" s="772"/>
      <c r="AO100" s="772"/>
      <c r="AP100" s="772">
        <v>332.53319999999997</v>
      </c>
      <c r="AQ100" s="772"/>
      <c r="AR100" s="772"/>
      <c r="AS100" s="772"/>
      <c r="AT100" s="772"/>
      <c r="AU100" s="772"/>
    </row>
    <row r="101" spans="12:50">
      <c r="L101" s="769">
        <v>44893</v>
      </c>
      <c r="AB101" s="772">
        <v>332.44133999999997</v>
      </c>
      <c r="AC101" s="772"/>
      <c r="AD101" s="772"/>
      <c r="AE101" s="772">
        <v>328.85879999999997</v>
      </c>
      <c r="AF101" s="772"/>
      <c r="AG101" s="772"/>
      <c r="AH101" s="772"/>
      <c r="AI101" s="772"/>
      <c r="AJ101" s="772">
        <v>322.8879</v>
      </c>
      <c r="AK101" s="772"/>
      <c r="AL101" s="772"/>
      <c r="AM101" s="772">
        <v>324.17394000000002</v>
      </c>
      <c r="AN101" s="772"/>
      <c r="AO101" s="772"/>
      <c r="AP101" s="772">
        <v>321.78557999999998</v>
      </c>
      <c r="AQ101" s="772"/>
      <c r="AR101" s="772"/>
      <c r="AS101" s="772"/>
      <c r="AT101" s="772"/>
      <c r="AU101" s="772"/>
      <c r="AV101" s="772"/>
      <c r="AW101" s="772"/>
      <c r="AX101" s="772"/>
    </row>
    <row r="102" spans="12:50">
      <c r="L102" s="769">
        <v>44900</v>
      </c>
      <c r="M102" s="764"/>
      <c r="AB102" s="772">
        <v>314.06934000000001</v>
      </c>
      <c r="AC102" s="772"/>
      <c r="AD102" s="772"/>
      <c r="AE102" s="772">
        <v>309.29262</v>
      </c>
      <c r="AF102" s="772"/>
      <c r="AG102" s="772"/>
      <c r="AH102" s="772"/>
      <c r="AI102" s="772"/>
      <c r="AJ102" s="772">
        <v>307.17984000000001</v>
      </c>
      <c r="AK102" s="772"/>
      <c r="AL102" s="772"/>
      <c r="AM102" s="772">
        <v>309.01704000000001</v>
      </c>
      <c r="AN102" s="772"/>
      <c r="AO102" s="772"/>
      <c r="AP102" s="772">
        <v>308.28215999999998</v>
      </c>
      <c r="AQ102" s="772"/>
      <c r="AR102" s="772"/>
      <c r="AS102" s="772"/>
      <c r="AT102" s="772"/>
      <c r="AU102" s="772"/>
      <c r="AV102" s="772">
        <v>284.94972000000001</v>
      </c>
      <c r="AW102" s="772"/>
      <c r="AX102" s="772"/>
    </row>
    <row r="103" spans="12:50">
      <c r="L103" s="769">
        <v>44907</v>
      </c>
      <c r="M103" s="764"/>
      <c r="AB103" s="772">
        <v>323.34719999999999</v>
      </c>
      <c r="AC103" s="772"/>
      <c r="AD103" s="772"/>
      <c r="AE103" s="772">
        <v>316.82513999999998</v>
      </c>
      <c r="AF103" s="772"/>
      <c r="AG103" s="772"/>
      <c r="AH103" s="772"/>
      <c r="AI103" s="772"/>
      <c r="AJ103" s="772">
        <v>311.12982</v>
      </c>
      <c r="AK103" s="772"/>
      <c r="AL103" s="772"/>
      <c r="AM103" s="772">
        <v>312.32400000000001</v>
      </c>
      <c r="AN103" s="772"/>
      <c r="AO103" s="772"/>
      <c r="AP103" s="772">
        <v>310.76238000000001</v>
      </c>
      <c r="AQ103" s="772"/>
      <c r="AR103" s="772"/>
      <c r="AS103" s="772"/>
      <c r="AT103" s="772"/>
      <c r="AU103" s="772"/>
      <c r="AV103" s="772">
        <v>290.09388000000001</v>
      </c>
      <c r="AW103" s="772"/>
      <c r="AX103" s="772"/>
    </row>
    <row r="104" spans="12:50">
      <c r="L104" s="769">
        <v>44914</v>
      </c>
      <c r="M104" s="764"/>
      <c r="AB104" s="772"/>
      <c r="AC104" s="772"/>
      <c r="AD104" s="772"/>
      <c r="AE104" s="772">
        <v>309.93563999999998</v>
      </c>
      <c r="AF104" s="772"/>
      <c r="AG104" s="772"/>
      <c r="AH104" s="772"/>
      <c r="AI104" s="772"/>
      <c r="AJ104" s="772">
        <v>306.07751999999999</v>
      </c>
      <c r="AK104" s="772"/>
      <c r="AL104" s="772"/>
      <c r="AM104" s="772">
        <v>307.82285999999999</v>
      </c>
      <c r="AN104" s="772"/>
      <c r="AO104" s="772"/>
      <c r="AP104" s="772">
        <v>307.17984000000001</v>
      </c>
      <c r="AQ104" s="772"/>
      <c r="AR104" s="772"/>
      <c r="AS104" s="772"/>
      <c r="AT104" s="772"/>
      <c r="AU104" s="772"/>
      <c r="AV104" s="772">
        <v>289.81829999999997</v>
      </c>
      <c r="AW104" s="772"/>
      <c r="AX104" s="772"/>
    </row>
    <row r="105" spans="12:50">
      <c r="L105" s="769">
        <v>44922</v>
      </c>
      <c r="M105" s="764"/>
      <c r="AB105" s="772"/>
      <c r="AC105" s="772"/>
      <c r="AD105" s="772"/>
      <c r="AE105" s="772">
        <v>323.07162</v>
      </c>
      <c r="AF105" s="772"/>
      <c r="AG105" s="772"/>
      <c r="AH105" s="772"/>
      <c r="AI105" s="772"/>
      <c r="AJ105" s="772">
        <v>317.46816000000001</v>
      </c>
      <c r="AK105" s="772"/>
      <c r="AL105" s="772"/>
      <c r="AM105" s="772">
        <v>318.57047999999998</v>
      </c>
      <c r="AN105" s="772"/>
      <c r="AO105" s="772"/>
      <c r="AP105" s="772">
        <v>317.92746</v>
      </c>
      <c r="AQ105" s="772"/>
      <c r="AR105" s="772"/>
      <c r="AS105" s="772"/>
      <c r="AT105" s="772"/>
      <c r="AU105" s="772"/>
      <c r="AV105" s="772">
        <v>301.39265999999998</v>
      </c>
      <c r="AW105" s="772"/>
      <c r="AX105" s="772"/>
    </row>
    <row r="106" spans="12:50">
      <c r="L106" s="769">
        <v>44999</v>
      </c>
      <c r="M106" s="764"/>
      <c r="AF106" s="772">
        <v>300.47406000000001</v>
      </c>
      <c r="AG106" s="772"/>
      <c r="AH106" s="772"/>
      <c r="AI106" s="772"/>
      <c r="AJ106" s="772">
        <v>296.15663999999998</v>
      </c>
      <c r="AK106" s="772"/>
      <c r="AL106" s="772"/>
      <c r="AM106" s="772">
        <v>297.99383999999998</v>
      </c>
      <c r="AN106" s="772"/>
      <c r="AO106" s="772"/>
      <c r="AP106" s="772">
        <v>298.08569999999997</v>
      </c>
      <c r="AQ106" s="772"/>
      <c r="AR106" s="772"/>
      <c r="AS106" s="772"/>
      <c r="AT106" s="772"/>
      <c r="AU106" s="772"/>
      <c r="AV106" s="772">
        <v>283.75554</v>
      </c>
      <c r="AW106" s="772"/>
      <c r="AX106" s="772"/>
    </row>
    <row r="107" spans="12:50">
      <c r="L107" s="769">
        <v>45005</v>
      </c>
      <c r="M107" s="764"/>
      <c r="AF107" s="772">
        <v>304.88333999999998</v>
      </c>
      <c r="AG107" s="772"/>
      <c r="AH107" s="772"/>
      <c r="AI107" s="772"/>
      <c r="AJ107" s="772">
        <v>299.09616</v>
      </c>
      <c r="AK107" s="772"/>
      <c r="AL107" s="772"/>
      <c r="AM107" s="772">
        <v>300.10661999999996</v>
      </c>
      <c r="AN107" s="772"/>
      <c r="AO107" s="772"/>
      <c r="AP107" s="772">
        <v>299.83103999999997</v>
      </c>
      <c r="AQ107" s="772"/>
      <c r="AR107" s="772"/>
      <c r="AS107" s="772"/>
      <c r="AT107" s="772"/>
      <c r="AU107" s="772"/>
      <c r="AV107" s="772">
        <v>283.75554</v>
      </c>
      <c r="AW107" s="772"/>
      <c r="AX107" s="772"/>
    </row>
    <row r="108" spans="12:50">
      <c r="L108" s="769">
        <v>45012</v>
      </c>
      <c r="M108" s="764"/>
      <c r="AF108" s="772">
        <v>316.09026</v>
      </c>
      <c r="AG108" s="772"/>
      <c r="AH108" s="772"/>
      <c r="AI108" s="772"/>
      <c r="AJ108" s="772">
        <v>310.39493999999996</v>
      </c>
      <c r="AK108" s="772"/>
      <c r="AL108" s="772"/>
      <c r="AM108" s="772">
        <v>310.85424</v>
      </c>
      <c r="AN108" s="772"/>
      <c r="AO108" s="772"/>
      <c r="AP108" s="772">
        <v>309.93563999999998</v>
      </c>
      <c r="AQ108" s="772"/>
      <c r="AR108" s="772"/>
      <c r="AS108" s="772"/>
      <c r="AT108" s="772"/>
      <c r="AU108" s="772"/>
      <c r="AV108" s="772">
        <v>291.74736000000001</v>
      </c>
      <c r="AW108" s="772"/>
      <c r="AX108" s="772"/>
    </row>
    <row r="109" spans="12:50">
      <c r="L109" s="769">
        <v>45019</v>
      </c>
      <c r="M109" s="764"/>
      <c r="AF109" s="772">
        <v>321.60185999999999</v>
      </c>
      <c r="AG109" s="772"/>
      <c r="AH109" s="772"/>
      <c r="AI109" s="772"/>
      <c r="AJ109" s="772">
        <v>314.89607999999998</v>
      </c>
      <c r="AK109" s="772"/>
      <c r="AL109" s="772"/>
      <c r="AM109" s="772">
        <v>315.07979999999998</v>
      </c>
      <c r="AN109" s="772"/>
      <c r="AO109" s="772"/>
      <c r="AP109" s="772">
        <v>314.06934000000001</v>
      </c>
      <c r="AQ109" s="772"/>
      <c r="AR109" s="772"/>
      <c r="AS109" s="772"/>
      <c r="AT109" s="772"/>
      <c r="AU109" s="772"/>
      <c r="AV109" s="772">
        <v>292.29852</v>
      </c>
      <c r="AW109" s="772"/>
      <c r="AX109" s="772"/>
    </row>
    <row r="110" spans="12:50">
      <c r="L110" s="769">
        <v>45026</v>
      </c>
      <c r="M110" s="764"/>
      <c r="AF110" s="772">
        <v>321.87743999999998</v>
      </c>
      <c r="AG110" s="772"/>
      <c r="AH110" s="772"/>
      <c r="AI110" s="772"/>
      <c r="AJ110" s="772">
        <v>313.88562000000002</v>
      </c>
      <c r="AK110" s="772"/>
      <c r="AL110" s="772"/>
      <c r="AM110" s="772">
        <v>314.43678</v>
      </c>
      <c r="AN110" s="772"/>
      <c r="AO110" s="772"/>
      <c r="AP110" s="772">
        <v>313.88562000000002</v>
      </c>
      <c r="AQ110" s="772"/>
      <c r="AR110" s="772"/>
      <c r="AS110" s="772"/>
      <c r="AT110" s="772"/>
      <c r="AU110" s="772"/>
      <c r="AV110" s="772">
        <v>291.93108000000001</v>
      </c>
      <c r="AW110" s="772"/>
      <c r="AX110" s="772"/>
    </row>
    <row r="111" spans="12:50">
      <c r="L111" s="769">
        <v>45033</v>
      </c>
      <c r="AF111" s="772">
        <v>326.92973999999998</v>
      </c>
      <c r="AG111" s="772"/>
      <c r="AH111" s="772"/>
      <c r="AI111" s="772"/>
      <c r="AJ111" s="772">
        <v>319.94837999999999</v>
      </c>
      <c r="AK111" s="772"/>
      <c r="AL111" s="772"/>
      <c r="AM111" s="772">
        <v>319.76465999999999</v>
      </c>
      <c r="AN111" s="772"/>
      <c r="AO111" s="772"/>
      <c r="AP111" s="772">
        <v>319.30536000000001</v>
      </c>
      <c r="AQ111" s="772"/>
      <c r="AR111" s="772"/>
      <c r="AS111" s="772"/>
      <c r="AT111" s="772"/>
      <c r="AU111" s="772"/>
      <c r="AV111" s="772">
        <v>299.46359999999999</v>
      </c>
      <c r="AW111" s="772"/>
      <c r="AX111" s="772"/>
    </row>
    <row r="112" spans="12:50">
      <c r="L112" s="769">
        <v>45040</v>
      </c>
      <c r="AF112" s="772">
        <v>306.07751999999999</v>
      </c>
      <c r="AG112" s="772"/>
      <c r="AH112" s="772">
        <v>300.38220000000001</v>
      </c>
      <c r="AI112" s="772"/>
      <c r="AJ112" s="772">
        <v>298.26941999999997</v>
      </c>
      <c r="AK112" s="772"/>
      <c r="AL112" s="772"/>
      <c r="AM112" s="772">
        <v>298.36127999999997</v>
      </c>
      <c r="AN112" s="772"/>
      <c r="AO112" s="772"/>
      <c r="AP112" s="772">
        <v>299.0043</v>
      </c>
      <c r="AQ112" s="772"/>
      <c r="AR112" s="772"/>
      <c r="AS112" s="772"/>
      <c r="AT112" s="772"/>
      <c r="AU112" s="772"/>
      <c r="AV112" s="772">
        <v>283.75554</v>
      </c>
      <c r="AW112" s="772"/>
      <c r="AX112" s="772"/>
    </row>
    <row r="113" spans="12:50">
      <c r="L113" s="769">
        <v>45048</v>
      </c>
      <c r="AF113" s="772">
        <v>283.38810000000001</v>
      </c>
      <c r="AG113" s="772"/>
      <c r="AH113" s="608">
        <v>271.99745999999999</v>
      </c>
      <c r="AI113" s="772"/>
      <c r="AJ113" s="772">
        <v>270.34397999999999</v>
      </c>
      <c r="AK113" s="772"/>
      <c r="AL113" s="772"/>
      <c r="AM113" s="772">
        <v>271.44630000000001</v>
      </c>
      <c r="AN113" s="772"/>
      <c r="AO113" s="772"/>
      <c r="AP113" s="772">
        <v>272.36489999999998</v>
      </c>
      <c r="AQ113" s="772"/>
      <c r="AR113" s="772"/>
      <c r="AS113" s="772"/>
      <c r="AT113" s="772"/>
      <c r="AU113" s="772"/>
      <c r="AV113" s="772">
        <v>267.12887999999998</v>
      </c>
      <c r="AW113" s="772"/>
      <c r="AX113" s="772"/>
    </row>
    <row r="114" spans="12:50">
      <c r="L114" s="769">
        <v>45054</v>
      </c>
      <c r="AF114" s="772">
        <v>327.38903999999997</v>
      </c>
      <c r="AG114" s="772"/>
      <c r="AH114" s="772">
        <v>310.21121999999997</v>
      </c>
      <c r="AI114" s="772"/>
      <c r="AJ114" s="772">
        <v>306.53681999999998</v>
      </c>
      <c r="AK114" s="772"/>
      <c r="AL114" s="772"/>
      <c r="AM114" s="772">
        <v>305.06705999999997</v>
      </c>
      <c r="AN114" s="772"/>
      <c r="AO114" s="772"/>
      <c r="AP114" s="772">
        <v>303.50543999999996</v>
      </c>
      <c r="AQ114" s="772"/>
      <c r="AR114" s="772"/>
      <c r="AS114" s="772"/>
      <c r="AT114" s="772"/>
      <c r="AU114" s="772"/>
      <c r="AV114" s="772">
        <v>293.21711999999997</v>
      </c>
      <c r="AW114" s="772"/>
      <c r="AX114" s="772"/>
    </row>
    <row r="115" spans="12:50">
      <c r="L115" s="769">
        <v>45061</v>
      </c>
      <c r="AG115" s="772"/>
      <c r="AH115" s="772">
        <v>330.05297999999999</v>
      </c>
      <c r="AI115" s="772"/>
      <c r="AJ115" s="772">
        <v>325.36811999999998</v>
      </c>
      <c r="AK115" s="772"/>
      <c r="AL115" s="772"/>
      <c r="AM115" s="772">
        <v>321.05070000000001</v>
      </c>
      <c r="AN115" s="772"/>
      <c r="AO115" s="772"/>
      <c r="AP115" s="772">
        <v>316.54955999999999</v>
      </c>
      <c r="AQ115" s="772"/>
      <c r="AR115" s="772"/>
      <c r="AS115" s="772"/>
      <c r="AT115" s="772"/>
      <c r="AU115" s="772"/>
      <c r="AV115" s="772">
        <v>292.75781999999998</v>
      </c>
      <c r="AW115" s="772"/>
      <c r="AX115" s="772"/>
    </row>
    <row r="116" spans="12:50">
      <c r="L116" s="769">
        <v>45069</v>
      </c>
      <c r="AH116" s="772">
        <v>303.41357999999997</v>
      </c>
      <c r="AI116" s="772"/>
      <c r="AJ116" s="772">
        <v>362.9</v>
      </c>
      <c r="AK116" s="772"/>
      <c r="AL116" s="772"/>
      <c r="AM116" s="772">
        <v>297.71825999999999</v>
      </c>
      <c r="AN116" s="772"/>
      <c r="AO116" s="772"/>
      <c r="AP116" s="772">
        <v>293.86014</v>
      </c>
      <c r="AQ116" s="772"/>
      <c r="AR116" s="772"/>
      <c r="AS116" s="772"/>
      <c r="AT116" s="772"/>
      <c r="AU116" s="772"/>
      <c r="AV116" s="772">
        <v>273.83465999999999</v>
      </c>
      <c r="AW116" s="772"/>
      <c r="AX116" s="772"/>
    </row>
    <row r="117" spans="12:50">
      <c r="L117" s="769">
        <v>45075</v>
      </c>
      <c r="AH117" s="772">
        <v>301.02521999999999</v>
      </c>
      <c r="AI117" s="772"/>
      <c r="AJ117" s="772">
        <v>299.18801999999999</v>
      </c>
      <c r="AK117" s="772"/>
      <c r="AL117" s="772"/>
      <c r="AM117" s="772">
        <v>297.44268</v>
      </c>
      <c r="AN117" s="772"/>
      <c r="AO117" s="772"/>
      <c r="AP117" s="772">
        <v>294.77873999999997</v>
      </c>
      <c r="AQ117" s="772"/>
      <c r="AR117" s="772"/>
      <c r="AS117" s="772"/>
      <c r="AT117" s="772"/>
      <c r="AU117" s="772"/>
      <c r="AV117" s="772">
        <v>279.34625999999997</v>
      </c>
      <c r="AW117" s="772"/>
      <c r="AX117" s="772"/>
    </row>
    <row r="118" spans="12:50">
      <c r="L118" s="769">
        <v>45082</v>
      </c>
      <c r="AH118" s="772">
        <v>302.12754000000001</v>
      </c>
      <c r="AI118" s="772"/>
      <c r="AJ118" s="772">
        <v>300.01475999999997</v>
      </c>
      <c r="AK118" s="772"/>
      <c r="AL118" s="772"/>
      <c r="AM118" s="772">
        <v>298.54500000000002</v>
      </c>
      <c r="AN118" s="772"/>
      <c r="AO118" s="772"/>
      <c r="AP118" s="772">
        <v>296.61593999999997</v>
      </c>
      <c r="AQ118" s="772"/>
      <c r="AR118" s="772"/>
      <c r="AS118" s="772"/>
      <c r="AT118" s="772"/>
      <c r="AU118" s="772"/>
      <c r="AV118" s="772">
        <v>286.60320000000002</v>
      </c>
      <c r="AW118" s="772"/>
      <c r="AX118" s="772"/>
    </row>
    <row r="119" spans="12:50">
      <c r="L119" s="769">
        <v>45090</v>
      </c>
      <c r="AH119" s="772">
        <v>290.92061999999999</v>
      </c>
      <c r="AI119" s="772"/>
      <c r="AJ119" s="772">
        <v>290.36946</v>
      </c>
      <c r="AK119" s="772"/>
      <c r="AL119" s="772"/>
      <c r="AM119" s="772">
        <v>290.27760000000001</v>
      </c>
      <c r="AN119" s="772"/>
      <c r="AO119" s="772"/>
      <c r="AP119" s="772">
        <v>288.71598</v>
      </c>
      <c r="AQ119" s="772"/>
      <c r="AR119" s="772"/>
      <c r="AS119" s="772"/>
      <c r="AT119" s="772"/>
      <c r="AU119" s="772"/>
      <c r="AV119" s="772">
        <v>282.65321999999998</v>
      </c>
      <c r="AW119" s="772"/>
      <c r="AX119" s="772"/>
    </row>
    <row r="120" spans="12:50">
      <c r="L120" s="769">
        <v>45099</v>
      </c>
      <c r="AH120" s="772">
        <v>320.04023999999998</v>
      </c>
      <c r="AI120" s="772"/>
      <c r="AJ120" s="772">
        <v>320.59139999999996</v>
      </c>
      <c r="AK120" s="772"/>
      <c r="AL120" s="772"/>
      <c r="AM120" s="772">
        <v>320.86698000000001</v>
      </c>
      <c r="AN120" s="772"/>
      <c r="AO120" s="772"/>
      <c r="AP120" s="772">
        <v>319.48908</v>
      </c>
      <c r="AQ120" s="772"/>
      <c r="AR120" s="772"/>
      <c r="AS120" s="772"/>
      <c r="AT120" s="772"/>
      <c r="AU120" s="772"/>
      <c r="AV120" s="772">
        <v>307.91471999999999</v>
      </c>
      <c r="AW120" s="772"/>
      <c r="AX120" s="772"/>
    </row>
    <row r="121" spans="12:50">
      <c r="L121" s="769">
        <v>45103</v>
      </c>
      <c r="AH121" s="772">
        <v>318.38675999999998</v>
      </c>
      <c r="AI121" s="772"/>
      <c r="AJ121" s="772">
        <v>319.02978000000002</v>
      </c>
      <c r="AK121" s="772"/>
      <c r="AL121" s="772"/>
      <c r="AM121" s="772">
        <v>318.93791999999996</v>
      </c>
      <c r="AN121" s="772"/>
      <c r="AO121" s="772"/>
      <c r="AP121" s="772">
        <v>316.82513999999998</v>
      </c>
      <c r="AQ121" s="772"/>
      <c r="AR121" s="772"/>
      <c r="AS121" s="772"/>
      <c r="AT121" s="772"/>
      <c r="AU121" s="772"/>
      <c r="AV121" s="772">
        <v>303.68916000000002</v>
      </c>
      <c r="AW121" s="772"/>
      <c r="AX121" s="772"/>
    </row>
    <row r="122" spans="12:50">
      <c r="L122" s="769">
        <v>45110</v>
      </c>
      <c r="AH122" s="772">
        <v>293.49270000000001</v>
      </c>
      <c r="AI122" s="772"/>
      <c r="AJ122" s="772">
        <v>292.66595999999998</v>
      </c>
      <c r="AK122" s="772"/>
      <c r="AL122" s="772"/>
      <c r="AM122" s="772">
        <v>293.49270000000001</v>
      </c>
      <c r="AN122" s="772"/>
      <c r="AO122" s="772"/>
      <c r="AP122" s="772">
        <v>292.57409999999999</v>
      </c>
      <c r="AQ122" s="772"/>
      <c r="AR122" s="772"/>
      <c r="AS122" s="772"/>
      <c r="AT122" s="772"/>
      <c r="AU122" s="772"/>
      <c r="AV122" s="772">
        <v>279.25439999999998</v>
      </c>
      <c r="AW122" s="772"/>
      <c r="AX122" s="772"/>
    </row>
    <row r="123" spans="12:50">
      <c r="L123" s="769">
        <v>45117</v>
      </c>
      <c r="M123" s="764"/>
      <c r="AH123" s="772">
        <v>297.81011999999998</v>
      </c>
      <c r="AI123" s="772"/>
      <c r="AJ123" s="772">
        <v>298.08569999999997</v>
      </c>
      <c r="AK123" s="772"/>
      <c r="AL123" s="772"/>
      <c r="AM123" s="772">
        <v>299.18801999999999</v>
      </c>
      <c r="AN123" s="772"/>
      <c r="AO123" s="772"/>
      <c r="AP123" s="772">
        <v>297.90197999999998</v>
      </c>
      <c r="AQ123" s="772"/>
      <c r="AR123" s="772"/>
      <c r="AS123" s="772"/>
      <c r="AT123" s="772"/>
      <c r="AU123" s="772"/>
      <c r="AV123" s="772">
        <v>281.73462000000001</v>
      </c>
      <c r="AW123" s="772"/>
      <c r="AX123" s="772"/>
    </row>
    <row r="124" spans="12:50">
      <c r="L124" s="769">
        <v>45124</v>
      </c>
      <c r="M124" s="764"/>
      <c r="AH124" s="772">
        <v>299.55545999999998</v>
      </c>
      <c r="AI124" s="772"/>
      <c r="AJ124" s="772">
        <v>299.55545999999998</v>
      </c>
      <c r="AK124" s="772"/>
      <c r="AL124" s="772"/>
      <c r="AM124" s="772">
        <v>301.30079999999998</v>
      </c>
      <c r="AN124" s="772"/>
      <c r="AO124" s="772"/>
      <c r="AP124" s="772">
        <v>300.29034000000001</v>
      </c>
      <c r="AQ124" s="772"/>
      <c r="AR124" s="772"/>
      <c r="AS124" s="772"/>
      <c r="AT124" s="772"/>
      <c r="AU124" s="772"/>
      <c r="AV124" s="772">
        <v>287.24621999999999</v>
      </c>
      <c r="AW124" s="772"/>
      <c r="AX124" s="772"/>
    </row>
    <row r="125" spans="12:50">
      <c r="L125" s="769">
        <v>45131</v>
      </c>
      <c r="AJ125" s="772">
        <v>337.49</v>
      </c>
      <c r="AK125" s="772"/>
      <c r="AL125" s="772"/>
      <c r="AM125" s="772">
        <v>339.97</v>
      </c>
      <c r="AN125" s="772"/>
      <c r="AO125" s="772"/>
      <c r="AP125" s="772">
        <v>337.49</v>
      </c>
      <c r="AQ125" s="772"/>
      <c r="AR125" s="772">
        <v>333.82</v>
      </c>
      <c r="AS125" s="772"/>
      <c r="AT125" s="772">
        <v>317.83999999999997</v>
      </c>
      <c r="AU125" s="772"/>
      <c r="AV125" s="772">
        <v>313.7</v>
      </c>
      <c r="AW125" s="772"/>
      <c r="AX125" s="772"/>
    </row>
    <row r="126" spans="12:50">
      <c r="L126" s="769">
        <v>45138</v>
      </c>
      <c r="AJ126" s="772">
        <v>298.63686000000001</v>
      </c>
      <c r="AK126" s="772"/>
      <c r="AL126" s="772"/>
      <c r="AM126" s="772">
        <v>304.79147999999998</v>
      </c>
      <c r="AN126" s="772"/>
      <c r="AO126" s="772"/>
      <c r="AP126" s="772">
        <v>306.35309999999998</v>
      </c>
      <c r="AQ126" s="772"/>
      <c r="AR126" s="772">
        <v>305.34264000000002</v>
      </c>
      <c r="AS126" s="772"/>
      <c r="AT126" s="772">
        <v>295.60548</v>
      </c>
      <c r="AU126" s="772"/>
      <c r="AV126" s="772">
        <v>294.22757999999999</v>
      </c>
      <c r="AW126" s="772"/>
      <c r="AX126" s="772"/>
    </row>
    <row r="127" spans="12:50">
      <c r="L127" s="769">
        <v>45145</v>
      </c>
      <c r="AJ127" s="772">
        <v>282.83693999999997</v>
      </c>
      <c r="AK127" s="772"/>
      <c r="AL127" s="772"/>
      <c r="AM127" s="772">
        <v>287.42993999999999</v>
      </c>
      <c r="AN127" s="772"/>
      <c r="AO127" s="772"/>
      <c r="AP127" s="772">
        <v>290.00202000000002</v>
      </c>
      <c r="AQ127" s="772"/>
      <c r="AR127" s="772">
        <v>291.01247999999998</v>
      </c>
      <c r="AS127" s="772"/>
      <c r="AT127" s="772">
        <v>285.68459999999999</v>
      </c>
      <c r="AU127" s="772"/>
      <c r="AV127" s="772">
        <v>285.68459999999999</v>
      </c>
      <c r="AW127" s="772"/>
      <c r="AX127" s="772"/>
    </row>
    <row r="128" spans="12:50">
      <c r="L128" s="769">
        <v>45152</v>
      </c>
      <c r="AJ128" s="772">
        <v>275.76371999999998</v>
      </c>
      <c r="AK128" s="772"/>
      <c r="AL128" s="772"/>
      <c r="AM128" s="772">
        <v>278.97881999999998</v>
      </c>
      <c r="AN128" s="772"/>
      <c r="AO128" s="772"/>
      <c r="AP128" s="772">
        <v>280.90787999999998</v>
      </c>
      <c r="AQ128" s="772"/>
      <c r="AR128" s="772">
        <v>282.10205999999999</v>
      </c>
      <c r="AS128" s="772"/>
      <c r="AT128" s="772">
        <v>276.31488000000002</v>
      </c>
      <c r="AU128" s="772"/>
      <c r="AV128" s="772">
        <v>277.41719999999998</v>
      </c>
      <c r="AW128" s="772"/>
      <c r="AX128" s="772"/>
    </row>
    <row r="129" spans="12:52">
      <c r="L129" s="769">
        <v>45159</v>
      </c>
      <c r="AJ129" s="772">
        <v>272.27303999999998</v>
      </c>
      <c r="AK129" s="772"/>
      <c r="AL129" s="772"/>
      <c r="AM129" s="772">
        <v>274.93698000000001</v>
      </c>
      <c r="AN129" s="772"/>
      <c r="AO129" s="772"/>
      <c r="AP129" s="772">
        <v>276.40674000000001</v>
      </c>
      <c r="AQ129" s="772"/>
      <c r="AR129" s="772">
        <v>277.41719999999998</v>
      </c>
      <c r="AS129" s="772"/>
      <c r="AT129" s="772">
        <v>272.18117999999998</v>
      </c>
      <c r="AU129" s="772"/>
      <c r="AV129" s="772">
        <v>273.37536</v>
      </c>
      <c r="AW129" s="772"/>
      <c r="AX129" s="772"/>
    </row>
    <row r="130" spans="12:52">
      <c r="L130" s="769">
        <v>45173</v>
      </c>
      <c r="AJ130" s="772">
        <v>264.74052</v>
      </c>
      <c r="AK130" s="772"/>
      <c r="AL130" s="772"/>
      <c r="AM130" s="772">
        <v>265.56725999999998</v>
      </c>
      <c r="AN130" s="772"/>
      <c r="AO130" s="772"/>
      <c r="AP130" s="772">
        <v>267.49631999999997</v>
      </c>
      <c r="AQ130" s="772"/>
      <c r="AR130" s="772">
        <v>268.87421999999998</v>
      </c>
      <c r="AS130" s="772"/>
      <c r="AT130" s="772">
        <v>263.82191999999998</v>
      </c>
      <c r="AU130" s="772"/>
      <c r="AV130" s="772">
        <v>265.93469999999996</v>
      </c>
      <c r="AW130" s="772"/>
      <c r="AX130" s="772"/>
      <c r="AY130" s="772"/>
    </row>
    <row r="131" spans="12:52">
      <c r="L131" s="769">
        <v>45180</v>
      </c>
      <c r="AJ131" s="772">
        <v>263.82191999999998</v>
      </c>
      <c r="AK131" s="772"/>
      <c r="AL131" s="772"/>
      <c r="AM131" s="772">
        <v>265.93469999999996</v>
      </c>
      <c r="AN131" s="772"/>
      <c r="AO131" s="772"/>
      <c r="AP131" s="772">
        <v>267.03701999999998</v>
      </c>
      <c r="AQ131" s="772"/>
      <c r="AR131" s="772">
        <v>267.58817999999997</v>
      </c>
      <c r="AS131" s="772"/>
      <c r="AT131" s="772">
        <v>262.26029999999997</v>
      </c>
      <c r="AU131" s="772"/>
      <c r="AV131" s="772">
        <v>264.18935999999997</v>
      </c>
      <c r="AW131" s="772"/>
      <c r="AX131" s="772"/>
      <c r="AY131" s="772"/>
    </row>
    <row r="132" spans="12:52">
      <c r="L132" s="769">
        <v>45187</v>
      </c>
      <c r="AJ132" s="772"/>
      <c r="AK132" s="772"/>
      <c r="AL132" s="772"/>
      <c r="AM132" s="772">
        <v>270.0684</v>
      </c>
      <c r="AN132" s="772"/>
      <c r="AO132" s="772"/>
      <c r="AP132" s="772">
        <v>271.81374</v>
      </c>
      <c r="AQ132" s="772"/>
      <c r="AR132" s="772">
        <v>272.45675999999997</v>
      </c>
      <c r="AS132" s="772"/>
      <c r="AT132" s="772">
        <v>265.93469999999996</v>
      </c>
      <c r="AU132" s="772"/>
      <c r="AV132" s="772">
        <v>266.94515999999999</v>
      </c>
      <c r="AW132" s="772"/>
      <c r="AX132" s="772"/>
      <c r="AY132" s="772">
        <v>270.89513999999997</v>
      </c>
    </row>
    <row r="133" spans="12:52">
      <c r="L133" s="769">
        <v>45194</v>
      </c>
      <c r="AJ133" s="772"/>
      <c r="AK133" s="772"/>
      <c r="AL133" s="772"/>
      <c r="AM133" s="772">
        <v>262.53588000000002</v>
      </c>
      <c r="AN133" s="772"/>
      <c r="AO133" s="772"/>
      <c r="AP133" s="772">
        <v>265.01609999999999</v>
      </c>
      <c r="AQ133" s="772"/>
      <c r="AR133" s="772">
        <v>266.66958</v>
      </c>
      <c r="AS133" s="772"/>
      <c r="AT133" s="772">
        <v>262.53588000000002</v>
      </c>
      <c r="AU133" s="772"/>
      <c r="AV133" s="772">
        <v>264.00563999999997</v>
      </c>
      <c r="AW133" s="772"/>
      <c r="AX133" s="772"/>
      <c r="AY133" s="772">
        <v>267.86376000000001</v>
      </c>
    </row>
    <row r="134" spans="12:52">
      <c r="L134" s="769">
        <v>45201</v>
      </c>
      <c r="AL134" s="339" t="s">
        <v>97</v>
      </c>
      <c r="AM134" s="772">
        <v>248.66502</v>
      </c>
      <c r="AN134" s="772"/>
      <c r="AO134" s="772"/>
      <c r="AP134" s="772">
        <v>251.51267999999999</v>
      </c>
      <c r="AQ134" s="772"/>
      <c r="AR134" s="772">
        <v>253.90103999999999</v>
      </c>
      <c r="AS134" s="772"/>
      <c r="AT134" s="772">
        <v>254.36033999999998</v>
      </c>
      <c r="AU134" s="772"/>
      <c r="AV134" s="772">
        <v>257.39171999999996</v>
      </c>
      <c r="AW134" s="772"/>
      <c r="AX134" s="772"/>
      <c r="AY134" s="772">
        <v>262.07657999999998</v>
      </c>
    </row>
    <row r="135" spans="12:52">
      <c r="L135" s="769">
        <v>45208</v>
      </c>
      <c r="AM135" s="772">
        <v>252.06384</v>
      </c>
      <c r="AN135" s="772"/>
      <c r="AO135" s="772"/>
      <c r="AP135" s="772">
        <v>255.27894000000001</v>
      </c>
      <c r="AQ135" s="772"/>
      <c r="AR135" s="772">
        <v>257.39171999999996</v>
      </c>
      <c r="AS135" s="772"/>
      <c r="AT135" s="772">
        <v>258.76961999999997</v>
      </c>
      <c r="AU135" s="772"/>
      <c r="AV135" s="772">
        <v>261.89285999999998</v>
      </c>
      <c r="AW135" s="772"/>
      <c r="AX135" s="772"/>
      <c r="AY135" s="772">
        <v>266.48586</v>
      </c>
    </row>
    <row r="136" spans="12:52">
      <c r="L136" s="769">
        <v>45215</v>
      </c>
      <c r="AM136" s="772">
        <v>245.72549999999998</v>
      </c>
      <c r="AN136" s="772"/>
      <c r="AO136" s="772"/>
      <c r="AP136" s="772">
        <v>249.12431999999998</v>
      </c>
      <c r="AQ136" s="772"/>
      <c r="AR136" s="772">
        <v>251.42081999999999</v>
      </c>
      <c r="AS136" s="772"/>
      <c r="AT136" s="772">
        <v>252.61499999999998</v>
      </c>
      <c r="AU136" s="772"/>
      <c r="AV136" s="772">
        <v>256.2894</v>
      </c>
      <c r="AW136" s="772"/>
      <c r="AX136" s="772"/>
      <c r="AY136" s="772">
        <v>261.3417</v>
      </c>
    </row>
    <row r="137" spans="12:52">
      <c r="L137" s="769">
        <v>45222</v>
      </c>
      <c r="AM137" s="772">
        <v>246.46037999999999</v>
      </c>
      <c r="AN137" s="772"/>
      <c r="AO137" s="772"/>
      <c r="AP137" s="772">
        <v>249.95105999999998</v>
      </c>
      <c r="AQ137" s="772"/>
      <c r="AR137" s="772">
        <v>252.33941999999999</v>
      </c>
      <c r="AS137" s="772"/>
      <c r="AT137" s="772">
        <v>253.71732</v>
      </c>
      <c r="AU137" s="772"/>
      <c r="AV137" s="772">
        <v>256.56497999999999</v>
      </c>
      <c r="AW137" s="772"/>
      <c r="AX137" s="772"/>
      <c r="AY137" s="772">
        <v>261.15798000000001</v>
      </c>
    </row>
    <row r="138" spans="12:52">
      <c r="L138" s="769">
        <v>45229</v>
      </c>
      <c r="AM138" s="772">
        <v>236.99879999999999</v>
      </c>
      <c r="AN138" s="772"/>
      <c r="AO138" s="772"/>
      <c r="AP138" s="772">
        <v>241.22435999999999</v>
      </c>
      <c r="AQ138" s="772"/>
      <c r="AR138" s="772">
        <v>244.16388000000001</v>
      </c>
      <c r="AS138" s="772"/>
      <c r="AT138" s="772">
        <v>246.46037999999999</v>
      </c>
      <c r="AU138" s="772"/>
      <c r="AV138" s="772">
        <v>250.22664</v>
      </c>
      <c r="AW138" s="772"/>
      <c r="AX138" s="772"/>
      <c r="AY138" s="772">
        <v>255.00335999999999</v>
      </c>
    </row>
    <row r="139" spans="12:52">
      <c r="L139" s="769">
        <v>45236</v>
      </c>
      <c r="AM139" s="772">
        <v>237.27437999999998</v>
      </c>
      <c r="AN139" s="772"/>
      <c r="AO139" s="772"/>
      <c r="AP139" s="772">
        <v>241.31621999999999</v>
      </c>
      <c r="AQ139" s="772"/>
      <c r="AR139" s="772">
        <v>244.25574</v>
      </c>
      <c r="AS139" s="772"/>
      <c r="AT139" s="772">
        <v>246.73596000000001</v>
      </c>
      <c r="AU139" s="772"/>
      <c r="AV139" s="772">
        <v>250.41036</v>
      </c>
      <c r="AW139" s="772"/>
      <c r="AX139" s="772"/>
      <c r="AY139" s="772">
        <v>254.81963999999999</v>
      </c>
    </row>
    <row r="140" spans="12:52">
      <c r="L140" s="769">
        <v>45243</v>
      </c>
      <c r="AM140" s="772">
        <v>235.71276</v>
      </c>
      <c r="AN140" s="772"/>
      <c r="AO140" s="772"/>
      <c r="AP140" s="772">
        <v>239.57087999999999</v>
      </c>
      <c r="AQ140" s="772"/>
      <c r="AR140" s="772">
        <v>241.95923999999999</v>
      </c>
      <c r="AS140" s="772"/>
      <c r="AT140" s="772">
        <v>244.25574</v>
      </c>
      <c r="AU140" s="772"/>
      <c r="AV140" s="772">
        <v>248.02199999999999</v>
      </c>
      <c r="AW140" s="772"/>
      <c r="AX140" s="772"/>
      <c r="AY140" s="772">
        <v>252.79872</v>
      </c>
    </row>
    <row r="141" spans="12:52">
      <c r="L141" s="769">
        <v>45257</v>
      </c>
      <c r="AM141" s="772">
        <v>216.78960000000001</v>
      </c>
      <c r="AN141" s="772"/>
      <c r="AO141" s="772"/>
      <c r="AP141" s="772">
        <v>219.17795999999998</v>
      </c>
      <c r="AQ141" s="772"/>
      <c r="AR141" s="772">
        <v>221.65817999999999</v>
      </c>
      <c r="AS141" s="772"/>
      <c r="AT141" s="772">
        <v>224.23025999999999</v>
      </c>
      <c r="AU141" s="772"/>
      <c r="AV141" s="772">
        <v>228.91512</v>
      </c>
      <c r="AW141" s="772"/>
      <c r="AX141" s="772"/>
      <c r="AY141" s="772">
        <v>234.61043999999998</v>
      </c>
    </row>
    <row r="142" spans="12:52">
      <c r="L142" s="769">
        <v>45264</v>
      </c>
      <c r="AM142" s="773">
        <v>241.13249999999999</v>
      </c>
      <c r="AN142" s="773"/>
      <c r="AO142" s="773"/>
      <c r="AP142" s="773">
        <v>241.68366</v>
      </c>
      <c r="AQ142" s="773"/>
      <c r="AR142" s="773">
        <v>243.15341999999998</v>
      </c>
      <c r="AS142" s="773"/>
      <c r="AT142" s="773">
        <v>244.53131999999999</v>
      </c>
      <c r="AU142" s="773"/>
      <c r="AV142" s="773">
        <v>248.57316</v>
      </c>
      <c r="AW142" s="773"/>
      <c r="AX142" s="773"/>
      <c r="AY142" s="773">
        <v>253.71732</v>
      </c>
    </row>
    <row r="143" spans="12:52">
      <c r="L143" s="769">
        <v>45271</v>
      </c>
      <c r="AM143" s="773">
        <v>230.38487999999998</v>
      </c>
      <c r="AN143" s="773"/>
      <c r="AO143" s="773"/>
      <c r="AP143" s="773">
        <v>232.31394</v>
      </c>
      <c r="AQ143" s="773"/>
      <c r="AR143" s="773">
        <v>234.05928</v>
      </c>
      <c r="AS143" s="773"/>
      <c r="AT143" s="773">
        <v>235.16159999999999</v>
      </c>
      <c r="AU143" s="773"/>
      <c r="AV143" s="773">
        <v>238.74413999999999</v>
      </c>
      <c r="AW143" s="773"/>
      <c r="AX143" s="773"/>
      <c r="AY143" s="773">
        <v>243.24527999999998</v>
      </c>
    </row>
    <row r="144" spans="12:52">
      <c r="L144" s="769">
        <v>45278</v>
      </c>
      <c r="AM144" s="773"/>
      <c r="AN144" s="773"/>
      <c r="AO144" s="773"/>
      <c r="AP144" s="773">
        <v>230.66046</v>
      </c>
      <c r="AQ144" s="773"/>
      <c r="AR144" s="773">
        <v>232.49766</v>
      </c>
      <c r="AS144" s="773"/>
      <c r="AT144" s="773">
        <v>234.33485999999999</v>
      </c>
      <c r="AU144" s="773"/>
      <c r="AV144" s="773">
        <v>238.28484</v>
      </c>
      <c r="AW144" s="773"/>
      <c r="AX144" s="773"/>
      <c r="AY144" s="773">
        <v>243.06155999999999</v>
      </c>
      <c r="AZ144" s="773">
        <v>245.44991999999999</v>
      </c>
    </row>
    <row r="145" spans="12:54">
      <c r="L145" s="769">
        <v>45286</v>
      </c>
      <c r="AP145" s="773">
        <v>236.17205999999999</v>
      </c>
      <c r="AQ145" s="773"/>
      <c r="AR145" s="773">
        <v>237.27437999999998</v>
      </c>
      <c r="AS145" s="773"/>
      <c r="AT145" s="773">
        <v>238.92785999999998</v>
      </c>
      <c r="AU145" s="773"/>
      <c r="AV145" s="773">
        <v>243.33714000000001</v>
      </c>
      <c r="AW145" s="773"/>
      <c r="AX145" s="773"/>
      <c r="AY145" s="773">
        <v>248.75688</v>
      </c>
      <c r="AZ145" s="773">
        <v>251.60453999999999</v>
      </c>
    </row>
    <row r="146" spans="12:54">
      <c r="L146" s="769">
        <v>45293</v>
      </c>
      <c r="AP146" s="773">
        <v>231.11975999999999</v>
      </c>
      <c r="AQ146" s="773"/>
      <c r="AR146" s="773">
        <v>232.22208000000001</v>
      </c>
      <c r="AS146" s="773"/>
      <c r="AT146" s="773">
        <v>233.14068</v>
      </c>
      <c r="AU146" s="773"/>
      <c r="AV146" s="773">
        <v>237.27437999999998</v>
      </c>
      <c r="AW146" s="773"/>
      <c r="AX146" s="773"/>
      <c r="AY146" s="773">
        <v>242.69412</v>
      </c>
      <c r="AZ146" s="773">
        <v>246.00108</v>
      </c>
    </row>
    <row r="147" spans="12:54">
      <c r="L147" s="769">
        <v>45299</v>
      </c>
      <c r="AP147" s="773">
        <v>226.06745999999998</v>
      </c>
      <c r="AQ147" s="773"/>
      <c r="AR147" s="773">
        <v>227.3535</v>
      </c>
      <c r="AS147" s="773"/>
      <c r="AT147" s="773">
        <v>228.82326</v>
      </c>
      <c r="AU147" s="773"/>
      <c r="AV147" s="773">
        <v>233.14068</v>
      </c>
      <c r="AW147" s="773"/>
      <c r="AX147" s="773"/>
      <c r="AY147" s="773">
        <v>239.11158</v>
      </c>
      <c r="AZ147" s="773">
        <v>242.96969999999999</v>
      </c>
    </row>
    <row r="148" spans="12:54">
      <c r="L148" s="769">
        <v>45306</v>
      </c>
      <c r="AP148" s="773">
        <v>226.06745999999998</v>
      </c>
      <c r="AQ148" s="773"/>
      <c r="AR148" s="773">
        <v>227.90466000000001</v>
      </c>
      <c r="AS148" s="773"/>
      <c r="AT148" s="773">
        <v>229.00698</v>
      </c>
      <c r="AU148" s="773"/>
      <c r="AV148" s="773">
        <v>232.77323999999999</v>
      </c>
      <c r="AW148" s="773"/>
      <c r="AX148" s="773"/>
      <c r="AY148" s="773">
        <v>238.28484</v>
      </c>
      <c r="AZ148" s="773">
        <v>241.95923999999999</v>
      </c>
    </row>
    <row r="149" spans="12:54">
      <c r="L149" s="769">
        <v>45317</v>
      </c>
      <c r="AP149" s="773">
        <v>229.55813999999998</v>
      </c>
      <c r="AQ149" s="773"/>
      <c r="AR149" s="773">
        <v>229.65</v>
      </c>
      <c r="AS149" s="773"/>
      <c r="AT149" s="773">
        <v>229.00698</v>
      </c>
      <c r="AU149" s="773"/>
      <c r="AV149" s="773">
        <v>232.77323999999999</v>
      </c>
      <c r="AW149" s="773"/>
      <c r="AX149" s="773"/>
      <c r="AY149" s="773">
        <v>239.01972000000001</v>
      </c>
      <c r="AZ149" s="773">
        <v>243.24527999999998</v>
      </c>
    </row>
    <row r="150" spans="12:54">
      <c r="L150" s="769">
        <v>45327</v>
      </c>
      <c r="AP150" s="773">
        <v>225.60816</v>
      </c>
      <c r="AQ150" s="773"/>
      <c r="AR150" s="773">
        <v>225.14885999999998</v>
      </c>
      <c r="AS150" s="773"/>
      <c r="AT150" s="773">
        <v>223.40351999999999</v>
      </c>
      <c r="AU150" s="773"/>
      <c r="AV150" s="773">
        <v>227.07792000000001</v>
      </c>
      <c r="AW150" s="773"/>
      <c r="AX150" s="773"/>
      <c r="AY150" s="773">
        <v>233.04882000000001</v>
      </c>
      <c r="AZ150" s="773">
        <v>237.64182</v>
      </c>
      <c r="BA150" s="773"/>
      <c r="BB150" s="773"/>
    </row>
    <row r="151" spans="12:54">
      <c r="L151" s="769">
        <v>45334</v>
      </c>
      <c r="AP151" s="773">
        <v>220.00469999999999</v>
      </c>
      <c r="AQ151" s="773"/>
      <c r="AR151" s="773">
        <v>219.26981999999998</v>
      </c>
      <c r="AS151" s="773"/>
      <c r="AT151" s="773">
        <v>216.42215999999999</v>
      </c>
      <c r="AU151" s="773"/>
      <c r="AV151" s="773">
        <v>220.64771999999999</v>
      </c>
      <c r="AW151" s="773"/>
      <c r="AX151" s="773"/>
      <c r="AY151" s="773">
        <v>226.71047999999999</v>
      </c>
      <c r="AZ151" s="773">
        <v>231.85463999999999</v>
      </c>
      <c r="BA151" s="773"/>
      <c r="BB151" s="773"/>
    </row>
    <row r="152" spans="12:54">
      <c r="L152" s="769">
        <v>45341</v>
      </c>
      <c r="AP152" s="773">
        <v>208.43034</v>
      </c>
      <c r="AQ152" s="773"/>
      <c r="AR152" s="773">
        <v>206.31755999999999</v>
      </c>
      <c r="AS152" s="773"/>
      <c r="AT152" s="773">
        <v>204.02106000000001</v>
      </c>
      <c r="AU152" s="773"/>
      <c r="AV152" s="773">
        <v>207.69546</v>
      </c>
      <c r="AW152" s="773"/>
      <c r="AX152" s="773"/>
      <c r="AY152" s="773">
        <v>214.03379999999999</v>
      </c>
      <c r="AZ152" s="773">
        <v>219.45354</v>
      </c>
      <c r="BA152" s="773"/>
    </row>
    <row r="153" spans="12:54">
      <c r="L153" s="769">
        <v>45348</v>
      </c>
      <c r="AP153" s="773">
        <v>214.4931</v>
      </c>
      <c r="AQ153" s="773"/>
      <c r="AR153" s="773">
        <v>211.82916</v>
      </c>
      <c r="AS153" s="773"/>
      <c r="AT153" s="773">
        <v>208.15475999999998</v>
      </c>
      <c r="AU153" s="773"/>
      <c r="AV153" s="773">
        <v>211.64544000000001</v>
      </c>
      <c r="AW153" s="773"/>
      <c r="AX153" s="773"/>
      <c r="AY153" s="773">
        <v>218.07563999999999</v>
      </c>
      <c r="AZ153" s="773">
        <v>223.40351999999999</v>
      </c>
      <c r="BA153" s="773">
        <v>225.79187999999999</v>
      </c>
    </row>
    <row r="154" spans="12:54">
      <c r="L154" s="769">
        <v>45355</v>
      </c>
      <c r="AP154" s="773">
        <v>221.3826</v>
      </c>
      <c r="AQ154" s="773"/>
      <c r="AR154" s="773">
        <v>213.20705999999998</v>
      </c>
      <c r="AS154" s="773"/>
      <c r="AT154" s="773">
        <v>208.33848</v>
      </c>
      <c r="AU154" s="773"/>
      <c r="AV154" s="773">
        <v>211.27799999999999</v>
      </c>
      <c r="AW154" s="773"/>
      <c r="AX154" s="773"/>
      <c r="AY154" s="773">
        <v>217.43261999999999</v>
      </c>
      <c r="AZ154" s="773">
        <v>222.76049999999998</v>
      </c>
      <c r="BA154" s="773">
        <v>225.42444</v>
      </c>
    </row>
    <row r="155" spans="12:54">
      <c r="L155" s="769">
        <v>45358</v>
      </c>
      <c r="AP155" s="773">
        <v>218.53494000000001</v>
      </c>
      <c r="AQ155" s="773"/>
      <c r="AR155" s="773">
        <v>211.18613999999999</v>
      </c>
      <c r="AS155" s="773"/>
      <c r="AT155" s="773">
        <v>206.13383999999999</v>
      </c>
      <c r="AU155" s="773"/>
      <c r="AV155" s="773">
        <v>208.61405999999999</v>
      </c>
      <c r="AW155" s="773"/>
      <c r="AX155" s="773"/>
      <c r="AY155" s="773">
        <v>214.67681999999999</v>
      </c>
      <c r="AZ155" s="773">
        <v>220.18841999999998</v>
      </c>
      <c r="BA155" s="773">
        <v>223.67910000000001</v>
      </c>
    </row>
    <row r="156" spans="12:54">
      <c r="L156" s="769">
        <v>45362</v>
      </c>
      <c r="AR156" s="773">
        <v>220.00469999999999</v>
      </c>
      <c r="AS156" s="773"/>
      <c r="AT156" s="773">
        <v>215.96286000000001</v>
      </c>
      <c r="AU156" s="773"/>
      <c r="AV156" s="773">
        <v>218.6268</v>
      </c>
      <c r="AW156" s="773"/>
      <c r="AX156" s="773"/>
      <c r="AY156" s="773">
        <v>224.50584000000001</v>
      </c>
      <c r="AZ156" s="773">
        <v>229.55813999999998</v>
      </c>
      <c r="BA156" s="773">
        <v>232.68137999999999</v>
      </c>
      <c r="BB156" s="773"/>
    </row>
    <row r="157" spans="12:54">
      <c r="L157" s="769">
        <v>45371</v>
      </c>
      <c r="AR157" s="773">
        <v>213.29891999999998</v>
      </c>
      <c r="AS157" s="773"/>
      <c r="AT157" s="773">
        <v>210.81870000000001</v>
      </c>
      <c r="AU157" s="773"/>
      <c r="AV157" s="773">
        <v>214.58496</v>
      </c>
      <c r="AW157" s="773"/>
      <c r="AX157" s="773"/>
      <c r="AY157" s="773">
        <v>221.10702000000001</v>
      </c>
      <c r="AZ157" s="773">
        <v>226.80233999999999</v>
      </c>
      <c r="BA157" s="773">
        <v>230.01743999999999</v>
      </c>
      <c r="BB157" s="773">
        <v>228.82326</v>
      </c>
    </row>
    <row r="158" spans="12:54">
      <c r="L158" s="769">
        <v>45383</v>
      </c>
      <c r="AR158" s="773">
        <v>211.46171999999999</v>
      </c>
      <c r="AS158" s="773"/>
      <c r="AT158" s="773">
        <v>209.80823999999998</v>
      </c>
      <c r="AU158" s="773"/>
      <c r="AV158" s="773">
        <v>214.40124</v>
      </c>
      <c r="AW158" s="773"/>
      <c r="AX158" s="773"/>
      <c r="AY158" s="773">
        <v>221.47445999999999</v>
      </c>
      <c r="AZ158" s="773">
        <v>227.53721999999999</v>
      </c>
      <c r="BA158" s="773">
        <v>230.84417999999999</v>
      </c>
      <c r="BB158" s="773">
        <v>230.01743999999999</v>
      </c>
    </row>
    <row r="159" spans="12:54">
      <c r="L159" s="769">
        <v>45390</v>
      </c>
      <c r="AR159" s="773">
        <v>215.04425999999998</v>
      </c>
      <c r="AS159" s="773"/>
      <c r="AT159" s="773">
        <v>214.76867999999999</v>
      </c>
      <c r="AU159" s="773"/>
      <c r="AV159" s="773">
        <v>219.26981999999998</v>
      </c>
      <c r="AW159" s="773"/>
      <c r="AX159" s="773"/>
      <c r="AY159" s="773">
        <v>226.71047999999999</v>
      </c>
      <c r="AZ159" s="773">
        <v>233.14068</v>
      </c>
      <c r="BA159" s="773">
        <v>236.44764000000001</v>
      </c>
      <c r="BB159" s="773">
        <v>234.97788</v>
      </c>
    </row>
    <row r="160" spans="12:54">
      <c r="L160" s="769">
        <v>45398</v>
      </c>
      <c r="AR160" s="773">
        <v>215.87099999999998</v>
      </c>
      <c r="AS160" s="773"/>
      <c r="AT160" s="773">
        <v>214.21752000000001</v>
      </c>
      <c r="AU160" s="773"/>
      <c r="AV160" s="773">
        <v>218.16749999999999</v>
      </c>
      <c r="AW160" s="773"/>
      <c r="AX160" s="773"/>
      <c r="AY160" s="773">
        <v>225.05699999999999</v>
      </c>
      <c r="AZ160" s="773">
        <v>230.75232</v>
      </c>
      <c r="BA160" s="773">
        <v>233.50811999999999</v>
      </c>
      <c r="BB160" s="773">
        <v>230.93603999999999</v>
      </c>
    </row>
    <row r="161" spans="12:55">
      <c r="L161" s="769">
        <v>45404</v>
      </c>
      <c r="AR161" s="773">
        <v>219.5454</v>
      </c>
      <c r="AS161" s="773"/>
      <c r="AT161" s="773">
        <v>221.3826</v>
      </c>
      <c r="AU161" s="773"/>
      <c r="AV161" s="773">
        <v>225.70001999999999</v>
      </c>
      <c r="AW161" s="773"/>
      <c r="AX161" s="773"/>
      <c r="AY161" s="773">
        <v>232.4058</v>
      </c>
      <c r="AZ161" s="773">
        <v>238.10111999999998</v>
      </c>
      <c r="BA161" s="773">
        <v>240.67319999999998</v>
      </c>
      <c r="BB161" s="773">
        <v>238.3767</v>
      </c>
    </row>
    <row r="162" spans="12:55">
      <c r="L162" s="769">
        <v>45407</v>
      </c>
      <c r="AR162" s="773">
        <v>232.22208000000001</v>
      </c>
      <c r="AS162" s="773"/>
      <c r="AT162" s="773">
        <v>235.34531999999999</v>
      </c>
      <c r="AU162" s="773"/>
      <c r="AV162" s="773">
        <v>239.75459999999998</v>
      </c>
      <c r="AW162" s="773"/>
      <c r="AX162" s="773"/>
      <c r="AY162" s="773">
        <v>246.46037999999999</v>
      </c>
      <c r="AZ162" s="773">
        <v>251.78825999999998</v>
      </c>
      <c r="BA162" s="773">
        <v>253.62546</v>
      </c>
      <c r="BB162" s="773">
        <v>248.38943999999998</v>
      </c>
    </row>
    <row r="163" spans="12:55">
      <c r="L163" s="769">
        <v>45411</v>
      </c>
      <c r="AT163" s="773">
        <v>239.01972000000001</v>
      </c>
      <c r="AU163" s="773"/>
      <c r="AV163" s="773">
        <v>243.61272</v>
      </c>
      <c r="AW163" s="773"/>
      <c r="AX163" s="773"/>
      <c r="AY163" s="773">
        <v>250.41036</v>
      </c>
      <c r="AZ163" s="773">
        <v>255.3708</v>
      </c>
      <c r="BA163" s="773">
        <v>257.11613999999997</v>
      </c>
      <c r="BB163" s="773">
        <v>252.70686000000001</v>
      </c>
      <c r="BC163" s="773"/>
    </row>
    <row r="164" spans="12:55">
      <c r="L164" s="769">
        <v>45418</v>
      </c>
      <c r="AT164" s="773">
        <v>248.11385999999999</v>
      </c>
      <c r="AU164" s="773"/>
      <c r="AV164" s="773">
        <v>252.1557</v>
      </c>
      <c r="AW164" s="773"/>
      <c r="AX164" s="773"/>
      <c r="AY164" s="773">
        <v>259.41264000000001</v>
      </c>
      <c r="AZ164" s="773">
        <v>265.01609999999999</v>
      </c>
      <c r="BA164" s="773">
        <v>266.66958</v>
      </c>
      <c r="BB164" s="773">
        <v>262.53588000000002</v>
      </c>
      <c r="BC164" s="773"/>
    </row>
    <row r="165" spans="12:55">
      <c r="L165" s="769">
        <v>45425</v>
      </c>
      <c r="AT165" s="773">
        <v>257.20799999999997</v>
      </c>
      <c r="AU165" s="773"/>
      <c r="AV165" s="773">
        <v>261.98471999999998</v>
      </c>
      <c r="AW165" s="773"/>
      <c r="AX165" s="773"/>
      <c r="AY165" s="773">
        <v>269.05793999999997</v>
      </c>
      <c r="AZ165" s="773">
        <v>274.75326000000001</v>
      </c>
      <c r="BA165" s="773">
        <v>276.13115999999997</v>
      </c>
      <c r="BB165" s="773">
        <v>270.80327999999997</v>
      </c>
      <c r="BC165" s="773"/>
    </row>
    <row r="166" spans="12:55">
      <c r="L166" s="769">
        <v>45436</v>
      </c>
      <c r="AT166" s="773">
        <v>265.01609999999999</v>
      </c>
      <c r="AU166" s="773"/>
      <c r="AV166" s="773">
        <v>270.34397999999999</v>
      </c>
      <c r="AW166" s="773"/>
      <c r="AX166" s="773"/>
      <c r="AY166" s="773">
        <v>276.77418</v>
      </c>
      <c r="AZ166" s="773">
        <v>281.64276000000001</v>
      </c>
      <c r="BA166" s="773">
        <v>282.0102</v>
      </c>
      <c r="BB166" s="773">
        <v>276.49860000000001</v>
      </c>
      <c r="BC166" s="773">
        <v>275.94743999999997</v>
      </c>
    </row>
    <row r="167" spans="12:55">
      <c r="L167" s="769">
        <v>45443</v>
      </c>
      <c r="AT167" s="773">
        <v>260.42309999999998</v>
      </c>
      <c r="AU167" s="773"/>
      <c r="AV167" s="773">
        <v>265.75097999999997</v>
      </c>
      <c r="AW167" s="773"/>
      <c r="AX167" s="773"/>
      <c r="AY167" s="773">
        <v>272.54861999999997</v>
      </c>
      <c r="AZ167" s="773">
        <v>277.32533999999998</v>
      </c>
      <c r="BA167" s="773">
        <v>278.33580000000001</v>
      </c>
      <c r="BB167" s="773">
        <v>274.01837999999998</v>
      </c>
      <c r="BC167" s="773">
        <v>273.92651999999998</v>
      </c>
    </row>
    <row r="168" spans="12:55">
      <c r="L168" s="769">
        <v>45450</v>
      </c>
      <c r="AT168" s="773">
        <v>244.62317999999999</v>
      </c>
      <c r="AU168" s="773"/>
      <c r="AV168" s="773">
        <v>249.49176</v>
      </c>
      <c r="AW168" s="773"/>
      <c r="AX168" s="773"/>
      <c r="AY168" s="773">
        <v>257.02427999999998</v>
      </c>
      <c r="AZ168" s="773">
        <v>262.26029999999997</v>
      </c>
      <c r="BA168" s="773">
        <v>263.91377999999997</v>
      </c>
      <c r="BB168" s="773">
        <v>258.95333999999997</v>
      </c>
      <c r="BC168" s="773">
        <v>259.13706000000002</v>
      </c>
    </row>
    <row r="169" spans="12:55">
      <c r="L169" s="769">
        <v>45457</v>
      </c>
      <c r="AT169" s="773">
        <v>230.5686</v>
      </c>
      <c r="AU169" s="773"/>
      <c r="AV169" s="773">
        <v>233.78369999999998</v>
      </c>
      <c r="AW169" s="773"/>
      <c r="AX169" s="773"/>
      <c r="AY169" s="773">
        <v>240.58133999999998</v>
      </c>
      <c r="AZ169" s="773">
        <v>245.35805999999999</v>
      </c>
      <c r="BA169" s="773">
        <v>247.28711999999999</v>
      </c>
      <c r="BB169" s="773">
        <v>243.79643999999999</v>
      </c>
      <c r="BC169" s="773">
        <v>244.80689999999998</v>
      </c>
    </row>
    <row r="170" spans="12:55">
      <c r="L170" s="769">
        <v>45463</v>
      </c>
      <c r="AT170" s="773">
        <v>217.52447999999998</v>
      </c>
      <c r="AU170" s="773"/>
      <c r="AV170" s="773">
        <v>219.82097999999999</v>
      </c>
      <c r="AW170" s="773"/>
      <c r="AX170" s="773"/>
      <c r="AY170" s="773">
        <v>225.97559999999999</v>
      </c>
      <c r="AZ170" s="773">
        <v>231.11975999999999</v>
      </c>
      <c r="BA170" s="773">
        <v>233.50811999999999</v>
      </c>
      <c r="BB170" s="773">
        <v>232.86509999999998</v>
      </c>
      <c r="BC170" s="773">
        <v>234.97788</v>
      </c>
    </row>
    <row r="171" spans="12:55">
      <c r="L171" s="769">
        <v>45467</v>
      </c>
      <c r="AT171" s="772">
        <v>213.66636</v>
      </c>
      <c r="AU171" s="772"/>
      <c r="AV171" s="772">
        <v>215.87099999999998</v>
      </c>
      <c r="AW171" s="772"/>
      <c r="AX171" s="772"/>
      <c r="AY171" s="772">
        <v>221.01515999999998</v>
      </c>
      <c r="AZ171" s="772">
        <v>225.70001999999999</v>
      </c>
      <c r="BA171" s="772">
        <v>228.08838</v>
      </c>
      <c r="BB171" s="772">
        <v>228.08838</v>
      </c>
      <c r="BC171" s="772">
        <v>230.38487999999998</v>
      </c>
    </row>
    <row r="172" spans="12:55">
      <c r="L172" s="769">
        <v>45474</v>
      </c>
      <c r="AT172" s="772">
        <v>221.47445999999999</v>
      </c>
      <c r="AU172" s="772"/>
      <c r="AV172" s="772">
        <v>220.28028</v>
      </c>
      <c r="AW172" s="772"/>
      <c r="AX172" s="772"/>
      <c r="AY172" s="772">
        <v>226.06745999999998</v>
      </c>
      <c r="AZ172" s="772">
        <v>230.75232</v>
      </c>
      <c r="BA172" s="772">
        <v>233.23254</v>
      </c>
      <c r="BB172" s="772">
        <v>233.23254</v>
      </c>
      <c r="BC172" s="772">
        <v>235.34531999999999</v>
      </c>
    </row>
    <row r="173" spans="12:55" ht="11.8">
      <c r="L173" s="769">
        <v>45481</v>
      </c>
      <c r="M173" s="765"/>
      <c r="AT173" s="772">
        <v>210.72683999999998</v>
      </c>
      <c r="AU173" s="772"/>
      <c r="AV173" s="772">
        <v>212.10473999999999</v>
      </c>
      <c r="AW173" s="772"/>
      <c r="AX173" s="772"/>
      <c r="AY173" s="772">
        <v>218.90237999999999</v>
      </c>
      <c r="AZ173" s="772">
        <v>224.13839999999999</v>
      </c>
      <c r="BA173" s="772">
        <v>226.80233999999999</v>
      </c>
      <c r="BB173" s="772">
        <v>227.26164</v>
      </c>
      <c r="BC173" s="772">
        <v>229.83372</v>
      </c>
    </row>
    <row r="174" spans="12:55">
      <c r="L174" s="769">
        <v>45488</v>
      </c>
      <c r="AT174" s="772"/>
      <c r="AU174" s="772"/>
      <c r="AV174" s="772">
        <v>204.11292</v>
      </c>
      <c r="AW174" s="772"/>
      <c r="AX174" s="772"/>
      <c r="AY174" s="772">
        <v>210.26754</v>
      </c>
      <c r="AZ174" s="772">
        <v>215.68727999999999</v>
      </c>
      <c r="BA174" s="772">
        <v>218.81052</v>
      </c>
      <c r="BB174" s="772">
        <v>219.36168000000001</v>
      </c>
      <c r="BC174" s="772">
        <v>222.66863999999998</v>
      </c>
    </row>
    <row r="175" spans="12:55">
      <c r="L175" s="769">
        <v>45495</v>
      </c>
      <c r="AT175" s="772"/>
      <c r="AU175" s="772"/>
      <c r="AV175" s="772">
        <v>210.08382</v>
      </c>
      <c r="AW175" s="772"/>
      <c r="AX175" s="772"/>
      <c r="AY175" s="772">
        <v>216.05472</v>
      </c>
      <c r="AZ175" s="772">
        <v>221.01515999999998</v>
      </c>
      <c r="BA175" s="772">
        <v>223.49537999999998</v>
      </c>
      <c r="BB175" s="772">
        <v>222.30119999999999</v>
      </c>
      <c r="BC175" s="772">
        <v>224.87327999999999</v>
      </c>
    </row>
    <row r="176" spans="12:55">
      <c r="L176" s="769">
        <v>45502</v>
      </c>
      <c r="AT176" s="772"/>
      <c r="AU176" s="772"/>
      <c r="AV176" s="772">
        <v>203.37804</v>
      </c>
      <c r="AW176" s="772"/>
      <c r="AX176" s="772"/>
      <c r="AY176" s="772">
        <v>209.16522000000001</v>
      </c>
      <c r="AZ176" s="772">
        <v>214.12565999999998</v>
      </c>
      <c r="BA176" s="772">
        <v>216.97332</v>
      </c>
      <c r="BB176" s="772">
        <v>216.33029999999999</v>
      </c>
      <c r="BC176" s="772">
        <v>218.99423999999999</v>
      </c>
    </row>
    <row r="177" spans="12:55">
      <c r="L177" s="765">
        <v>45509</v>
      </c>
      <c r="AT177" s="772"/>
      <c r="AU177" s="772"/>
      <c r="AV177" s="772">
        <v>205.85826</v>
      </c>
      <c r="AW177" s="772"/>
      <c r="AX177" s="772"/>
      <c r="AY177" s="772">
        <v>211.92102</v>
      </c>
      <c r="AZ177" s="772">
        <v>217.15703999999999</v>
      </c>
      <c r="BA177" s="772">
        <v>220.28028</v>
      </c>
      <c r="BB177" s="772">
        <v>220.37214</v>
      </c>
      <c r="BC177" s="772">
        <v>223.31165999999999</v>
      </c>
    </row>
    <row r="178" spans="12:55">
      <c r="L178" s="765">
        <v>45516</v>
      </c>
      <c r="AT178" s="772"/>
      <c r="AU178" s="772"/>
      <c r="AV178" s="772">
        <v>201.44898000000001</v>
      </c>
      <c r="AW178" s="772"/>
      <c r="AX178" s="772"/>
      <c r="AY178" s="772">
        <v>207.05243999999999</v>
      </c>
      <c r="AZ178" s="772">
        <v>211.82916</v>
      </c>
      <c r="BA178" s="772">
        <v>214.76867999999999</v>
      </c>
      <c r="BB178" s="772">
        <v>215.87099999999998</v>
      </c>
      <c r="BC178" s="772">
        <v>219.63726</v>
      </c>
    </row>
    <row r="179" spans="12:55">
      <c r="L179" s="765">
        <v>45523</v>
      </c>
      <c r="AT179" s="772"/>
      <c r="AU179" s="772"/>
      <c r="AV179" s="772">
        <v>198.69317999999998</v>
      </c>
      <c r="AW179" s="772"/>
      <c r="AX179" s="772"/>
      <c r="AY179" s="772">
        <v>204.48035999999999</v>
      </c>
      <c r="AZ179" s="772">
        <v>209.07335999999998</v>
      </c>
      <c r="BA179" s="772">
        <v>211.92102</v>
      </c>
      <c r="BB179" s="772">
        <v>213.39078000000001</v>
      </c>
      <c r="BC179" s="772">
        <v>217.34075999999999</v>
      </c>
    </row>
    <row r="180" spans="12:55">
      <c r="L180" s="765">
        <v>45530</v>
      </c>
      <c r="AT180" s="772"/>
      <c r="AU180" s="772"/>
      <c r="AV180" s="772">
        <v>192.90600000000001</v>
      </c>
      <c r="AW180" s="772"/>
      <c r="AX180" s="772"/>
      <c r="AY180" s="772">
        <v>197.40714</v>
      </c>
      <c r="AZ180" s="772">
        <v>201.90827999999999</v>
      </c>
      <c r="BA180" s="772">
        <v>204.38849999999999</v>
      </c>
      <c r="BB180" s="772">
        <v>205.95012</v>
      </c>
      <c r="BC180" s="772">
        <v>209.80823999999998</v>
      </c>
    </row>
  </sheetData>
  <pageMargins left="0.70866141732283472" right="0.70866141732283472" top="0.74803149606299213" bottom="0.74803149606299213" header="0.31496062992125984" footer="0.31496062992125984"/>
  <pageSetup paperSize="126" scale="9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46"/>
  <sheetViews>
    <sheetView topLeftCell="A15" zoomScale="90" zoomScaleNormal="90" workbookViewId="0">
      <selection activeCell="R32" sqref="R32"/>
    </sheetView>
  </sheetViews>
  <sheetFormatPr baseColWidth="10" defaultColWidth="5.83203125" defaultRowHeight="12.45"/>
  <cols>
    <col min="1" max="1" width="2.75" style="59" customWidth="1"/>
    <col min="2" max="2" width="6.08203125" style="59" customWidth="1"/>
    <col min="3" max="3" width="6.1640625" style="59" customWidth="1"/>
    <col min="4" max="4" width="6.25" style="59" customWidth="1"/>
    <col min="5" max="5" width="6.1640625" style="59" customWidth="1"/>
    <col min="6" max="13" width="5.4140625" style="59" customWidth="1"/>
    <col min="14" max="14" width="6.1640625" style="59" bestFit="1" customWidth="1"/>
    <col min="15" max="15" width="5.4140625" style="59" customWidth="1"/>
    <col min="16" max="16" width="6.75" style="59" customWidth="1"/>
    <col min="17" max="17" width="6.58203125" style="59" bestFit="1" customWidth="1"/>
    <col min="18" max="18" width="8.4140625" style="59" bestFit="1" customWidth="1"/>
    <col min="19" max="19" width="6.4140625" style="59" bestFit="1" customWidth="1"/>
    <col min="20" max="16384" width="5.83203125" style="59"/>
  </cols>
  <sheetData>
    <row r="1" spans="2:19" ht="12.8" customHeight="1">
      <c r="B1" s="791" t="s">
        <v>347</v>
      </c>
      <c r="C1" s="791"/>
      <c r="D1" s="791"/>
      <c r="E1" s="791"/>
      <c r="F1" s="791"/>
      <c r="G1" s="791"/>
      <c r="H1" s="791"/>
      <c r="I1" s="791"/>
      <c r="J1" s="791"/>
      <c r="K1" s="791"/>
      <c r="L1" s="791"/>
      <c r="M1" s="791"/>
      <c r="N1" s="791"/>
      <c r="O1" s="791"/>
      <c r="P1" s="466"/>
      <c r="Q1" s="309"/>
      <c r="R1" s="309"/>
      <c r="S1" s="309"/>
    </row>
    <row r="2" spans="2:19" ht="12.8" customHeight="1">
      <c r="B2" s="17"/>
      <c r="C2" s="17"/>
      <c r="D2" s="17"/>
      <c r="E2" s="17"/>
      <c r="F2" s="17"/>
      <c r="G2" s="17"/>
      <c r="H2" s="17"/>
      <c r="I2" s="17"/>
      <c r="J2" s="17"/>
      <c r="K2" s="17"/>
      <c r="L2" s="17"/>
      <c r="M2" s="17"/>
      <c r="N2" s="17"/>
      <c r="O2" s="17"/>
      <c r="P2" s="466"/>
      <c r="Q2" s="309"/>
      <c r="R2" s="309"/>
      <c r="S2" s="309"/>
    </row>
    <row r="3" spans="2:19" ht="16.55" customHeight="1">
      <c r="B3" s="791" t="s">
        <v>348</v>
      </c>
      <c r="C3" s="791"/>
      <c r="D3" s="791"/>
      <c r="E3" s="791"/>
      <c r="F3" s="791"/>
      <c r="G3" s="791"/>
      <c r="H3" s="791"/>
      <c r="I3" s="791"/>
      <c r="J3" s="791"/>
      <c r="K3" s="791"/>
      <c r="L3" s="791"/>
      <c r="M3" s="791"/>
      <c r="N3" s="791"/>
      <c r="O3" s="791"/>
      <c r="P3" s="87"/>
      <c r="Q3" s="309"/>
      <c r="R3" s="309"/>
      <c r="S3" s="309"/>
    </row>
    <row r="4" spans="2:19" ht="18" customHeight="1">
      <c r="B4" s="836" t="s">
        <v>192</v>
      </c>
      <c r="C4" s="836"/>
      <c r="D4" s="836"/>
      <c r="E4" s="836"/>
      <c r="F4" s="836"/>
      <c r="G4" s="836"/>
      <c r="H4" s="836"/>
      <c r="I4" s="836"/>
      <c r="J4" s="836"/>
      <c r="K4" s="836"/>
      <c r="L4" s="836"/>
      <c r="M4" s="836"/>
      <c r="N4" s="836"/>
      <c r="O4" s="836"/>
      <c r="P4" s="467"/>
      <c r="Q4" s="309"/>
      <c r="R4" s="309"/>
      <c r="S4" s="309"/>
    </row>
    <row r="5" spans="2:19" ht="29.15" customHeight="1">
      <c r="B5" s="933" t="s">
        <v>349</v>
      </c>
      <c r="C5" s="920" t="s">
        <v>208</v>
      </c>
      <c r="D5" s="920" t="s">
        <v>350</v>
      </c>
      <c r="E5" s="920"/>
      <c r="F5" s="920"/>
      <c r="G5" s="920"/>
      <c r="H5" s="920"/>
      <c r="I5" s="920"/>
      <c r="J5" s="920"/>
      <c r="K5" s="920" t="s">
        <v>351</v>
      </c>
      <c r="L5" s="920"/>
      <c r="M5" s="920"/>
      <c r="N5" s="920"/>
      <c r="O5" s="920"/>
      <c r="P5" s="469"/>
      <c r="Q5" s="309"/>
      <c r="R5" s="309"/>
      <c r="S5" s="309"/>
    </row>
    <row r="6" spans="2:19" ht="20.3" customHeight="1">
      <c r="B6" s="934"/>
      <c r="C6" s="920"/>
      <c r="D6" s="920" t="s">
        <v>208</v>
      </c>
      <c r="E6" s="921" t="s">
        <v>352</v>
      </c>
      <c r="F6" s="921"/>
      <c r="G6" s="921"/>
      <c r="H6" s="920" t="s">
        <v>353</v>
      </c>
      <c r="I6" s="920" t="s">
        <v>354</v>
      </c>
      <c r="J6" s="920" t="s">
        <v>355</v>
      </c>
      <c r="K6" s="920" t="s">
        <v>208</v>
      </c>
      <c r="L6" s="920" t="s">
        <v>356</v>
      </c>
      <c r="M6" s="920" t="s">
        <v>357</v>
      </c>
      <c r="N6" s="920" t="s">
        <v>358</v>
      </c>
      <c r="O6" s="920" t="s">
        <v>210</v>
      </c>
      <c r="P6" s="469"/>
      <c r="Q6" s="309"/>
      <c r="R6" s="309"/>
      <c r="S6" s="309"/>
    </row>
    <row r="7" spans="2:19" ht="12.8" customHeight="1">
      <c r="B7" s="935"/>
      <c r="C7" s="920"/>
      <c r="D7" s="920"/>
      <c r="E7" s="571" t="s">
        <v>359</v>
      </c>
      <c r="F7" s="571" t="s">
        <v>360</v>
      </c>
      <c r="G7" s="571" t="s">
        <v>361</v>
      </c>
      <c r="H7" s="920"/>
      <c r="I7" s="920"/>
      <c r="J7" s="920"/>
      <c r="K7" s="920"/>
      <c r="L7" s="920"/>
      <c r="M7" s="920"/>
      <c r="N7" s="920"/>
      <c r="O7" s="920"/>
      <c r="P7" s="466"/>
      <c r="Q7" s="309"/>
      <c r="R7" s="309"/>
      <c r="S7" s="309"/>
    </row>
    <row r="8" spans="2:19" ht="14.25" customHeight="1">
      <c r="B8" s="572">
        <v>2015</v>
      </c>
      <c r="C8" s="573">
        <v>1962342</v>
      </c>
      <c r="D8" s="574">
        <v>1528953</v>
      </c>
      <c r="E8" s="574">
        <v>1337677</v>
      </c>
      <c r="F8" s="574">
        <v>60624</v>
      </c>
      <c r="G8" s="574">
        <v>6483</v>
      </c>
      <c r="H8" s="574">
        <v>50404</v>
      </c>
      <c r="I8" s="574">
        <v>55472</v>
      </c>
      <c r="J8" s="574">
        <v>18293</v>
      </c>
      <c r="K8" s="574">
        <v>433389</v>
      </c>
      <c r="L8" s="574">
        <v>237936</v>
      </c>
      <c r="M8" s="574">
        <v>26712</v>
      </c>
      <c r="N8" s="574">
        <v>163871</v>
      </c>
      <c r="O8" s="574">
        <v>4870</v>
      </c>
      <c r="P8" s="309"/>
      <c r="Q8" s="309"/>
      <c r="R8" s="309"/>
      <c r="S8" s="642"/>
    </row>
    <row r="9" spans="2:19" ht="14.25" customHeight="1">
      <c r="B9" s="572">
        <v>2016</v>
      </c>
      <c r="C9" s="573">
        <v>2028168</v>
      </c>
      <c r="D9" s="574">
        <v>1586798</v>
      </c>
      <c r="E9" s="574">
        <v>1383515</v>
      </c>
      <c r="F9" s="574">
        <v>65857</v>
      </c>
      <c r="G9" s="574">
        <v>5868</v>
      </c>
      <c r="H9" s="574">
        <v>64334</v>
      </c>
      <c r="I9" s="574">
        <v>51609</v>
      </c>
      <c r="J9" s="574">
        <v>15615</v>
      </c>
      <c r="K9" s="574">
        <v>441370</v>
      </c>
      <c r="L9" s="574">
        <v>246225</v>
      </c>
      <c r="M9" s="574">
        <v>27606</v>
      </c>
      <c r="N9" s="574">
        <v>163502</v>
      </c>
      <c r="O9" s="574">
        <v>4037</v>
      </c>
      <c r="P9" s="309"/>
      <c r="Q9" s="309"/>
      <c r="R9" s="309"/>
      <c r="S9" s="642"/>
    </row>
    <row r="10" spans="2:19" ht="14.25" customHeight="1">
      <c r="B10" s="572">
        <v>2017</v>
      </c>
      <c r="C10" s="574">
        <v>2018526</v>
      </c>
      <c r="D10" s="574">
        <v>1583602</v>
      </c>
      <c r="E10" s="574">
        <v>1388441</v>
      </c>
      <c r="F10" s="574">
        <v>61151</v>
      </c>
      <c r="G10" s="574">
        <v>4852</v>
      </c>
      <c r="H10" s="574">
        <v>58877</v>
      </c>
      <c r="I10" s="574">
        <v>45803</v>
      </c>
      <c r="J10" s="574">
        <v>24478</v>
      </c>
      <c r="K10" s="574">
        <v>434924</v>
      </c>
      <c r="L10" s="574">
        <v>243649</v>
      </c>
      <c r="M10" s="574">
        <v>28787</v>
      </c>
      <c r="N10" s="574">
        <v>159351</v>
      </c>
      <c r="O10" s="574">
        <v>3137</v>
      </c>
      <c r="P10" s="309"/>
      <c r="Q10" s="309"/>
      <c r="R10" s="309"/>
      <c r="S10" s="642"/>
    </row>
    <row r="11" spans="2:19" ht="14.25" customHeight="1">
      <c r="B11" s="572">
        <v>2018</v>
      </c>
      <c r="C11" s="574">
        <v>2089336</v>
      </c>
      <c r="D11" s="574">
        <v>1634470</v>
      </c>
      <c r="E11" s="574">
        <v>1443182</v>
      </c>
      <c r="F11" s="574">
        <v>63118</v>
      </c>
      <c r="G11" s="574">
        <v>6393</v>
      </c>
      <c r="H11" s="574">
        <v>64660</v>
      </c>
      <c r="I11" s="574">
        <v>44404</v>
      </c>
      <c r="J11" s="574">
        <v>12713</v>
      </c>
      <c r="K11" s="574">
        <v>454866</v>
      </c>
      <c r="L11" s="574">
        <v>251336</v>
      </c>
      <c r="M11" s="574">
        <v>27950</v>
      </c>
      <c r="N11" s="574">
        <v>171870</v>
      </c>
      <c r="O11" s="574">
        <v>3710</v>
      </c>
      <c r="P11" s="309"/>
      <c r="Q11" s="309"/>
      <c r="R11" s="309"/>
      <c r="S11" s="642"/>
    </row>
    <row r="12" spans="2:19" ht="14.25" customHeight="1">
      <c r="B12" s="572">
        <v>2019</v>
      </c>
      <c r="C12" s="574">
        <v>2093498</v>
      </c>
      <c r="D12" s="574">
        <v>1622991</v>
      </c>
      <c r="E12" s="574">
        <v>1431921</v>
      </c>
      <c r="F12" s="574">
        <v>63046</v>
      </c>
      <c r="G12" s="574">
        <v>12346</v>
      </c>
      <c r="H12" s="574">
        <v>70842</v>
      </c>
      <c r="I12" s="574">
        <v>42128</v>
      </c>
      <c r="J12" s="574">
        <v>2708</v>
      </c>
      <c r="K12" s="574">
        <v>470507</v>
      </c>
      <c r="L12" s="574">
        <v>257705</v>
      </c>
      <c r="M12" s="574">
        <v>31063</v>
      </c>
      <c r="N12" s="574">
        <v>177642</v>
      </c>
      <c r="O12" s="574">
        <v>4097</v>
      </c>
      <c r="P12" s="309"/>
      <c r="Q12" s="309"/>
      <c r="R12" s="309"/>
      <c r="S12" s="642"/>
    </row>
    <row r="13" spans="2:19" ht="14.25" customHeight="1">
      <c r="B13" s="572">
        <v>2020</v>
      </c>
      <c r="C13" s="574">
        <v>2003727</v>
      </c>
      <c r="D13" s="574">
        <v>1558711</v>
      </c>
      <c r="E13" s="574">
        <v>1365357</v>
      </c>
      <c r="F13" s="574">
        <v>55230</v>
      </c>
      <c r="G13" s="574">
        <v>17318</v>
      </c>
      <c r="H13" s="574">
        <v>67599</v>
      </c>
      <c r="I13" s="574">
        <v>48921</v>
      </c>
      <c r="J13" s="574">
        <v>4286</v>
      </c>
      <c r="K13" s="574">
        <v>445016</v>
      </c>
      <c r="L13" s="574">
        <v>237918</v>
      </c>
      <c r="M13" s="574">
        <v>35211</v>
      </c>
      <c r="N13" s="574">
        <v>169038</v>
      </c>
      <c r="O13" s="574">
        <v>2849</v>
      </c>
      <c r="P13" s="309"/>
      <c r="Q13" s="309"/>
      <c r="R13" s="309"/>
      <c r="S13" s="642"/>
    </row>
    <row r="14" spans="2:19" ht="14.25" customHeight="1">
      <c r="B14" s="572">
        <v>2021</v>
      </c>
      <c r="C14" s="574">
        <v>1845158</v>
      </c>
      <c r="D14" s="574">
        <v>1439365</v>
      </c>
      <c r="E14" s="574">
        <v>1266480</v>
      </c>
      <c r="F14" s="574">
        <v>50793</v>
      </c>
      <c r="G14" s="574">
        <v>12584</v>
      </c>
      <c r="H14" s="574">
        <v>64338</v>
      </c>
      <c r="I14" s="574">
        <v>42772</v>
      </c>
      <c r="J14" s="574">
        <v>2398</v>
      </c>
      <c r="K14" s="574">
        <v>405793</v>
      </c>
      <c r="L14" s="574">
        <v>216129</v>
      </c>
      <c r="M14" s="574">
        <v>30355</v>
      </c>
      <c r="N14" s="574">
        <v>157631</v>
      </c>
      <c r="O14" s="574">
        <v>1678</v>
      </c>
      <c r="P14" s="309"/>
      <c r="Q14" s="473"/>
      <c r="R14" s="309"/>
      <c r="S14" s="642"/>
    </row>
    <row r="15" spans="2:19" ht="14.25" customHeight="1">
      <c r="B15" s="572">
        <v>2022</v>
      </c>
      <c r="C15" s="574">
        <v>1911361</v>
      </c>
      <c r="D15" s="574">
        <v>1491733</v>
      </c>
      <c r="E15" s="574">
        <v>1325210</v>
      </c>
      <c r="F15" s="574">
        <v>47934</v>
      </c>
      <c r="G15" s="574">
        <v>18887</v>
      </c>
      <c r="H15" s="574">
        <v>54232</v>
      </c>
      <c r="I15" s="574">
        <v>42145</v>
      </c>
      <c r="J15" s="574">
        <v>3325</v>
      </c>
      <c r="K15" s="574">
        <v>419628</v>
      </c>
      <c r="L15" s="574">
        <v>231400</v>
      </c>
      <c r="M15" s="574">
        <v>30331</v>
      </c>
      <c r="N15" s="574">
        <v>156629</v>
      </c>
      <c r="O15" s="574">
        <v>1268</v>
      </c>
      <c r="P15" s="309"/>
      <c r="Q15" s="473"/>
      <c r="R15" s="582"/>
      <c r="S15" s="642" t="s">
        <v>97</v>
      </c>
    </row>
    <row r="16" spans="2:19" ht="14.25" customHeight="1">
      <c r="B16" s="572">
        <v>2023</v>
      </c>
      <c r="C16" s="574">
        <v>1878234</v>
      </c>
      <c r="D16" s="574">
        <v>1470625</v>
      </c>
      <c r="E16" s="574">
        <v>1306366</v>
      </c>
      <c r="F16" s="574">
        <v>49446</v>
      </c>
      <c r="G16" s="574">
        <v>16989</v>
      </c>
      <c r="H16" s="574">
        <v>55379</v>
      </c>
      <c r="I16" s="574">
        <v>40342</v>
      </c>
      <c r="J16" s="574">
        <v>2103</v>
      </c>
      <c r="K16" s="574">
        <v>407609</v>
      </c>
      <c r="L16" s="574">
        <v>229104</v>
      </c>
      <c r="M16" s="574">
        <v>33267</v>
      </c>
      <c r="N16" s="574">
        <v>144137</v>
      </c>
      <c r="O16" s="574">
        <v>1101</v>
      </c>
      <c r="P16" s="309"/>
      <c r="Q16" s="473"/>
      <c r="R16" s="582"/>
      <c r="S16" s="642"/>
    </row>
    <row r="17" spans="1:19">
      <c r="B17" s="575"/>
      <c r="C17" s="576"/>
      <c r="D17" s="576"/>
      <c r="E17" s="576"/>
      <c r="F17" s="576"/>
      <c r="G17" s="576"/>
      <c r="H17" s="576"/>
      <c r="I17" s="576"/>
      <c r="J17" s="576"/>
      <c r="K17" s="576"/>
      <c r="L17" s="576"/>
      <c r="M17" s="576"/>
      <c r="N17" s="576"/>
      <c r="O17" s="576"/>
      <c r="P17" s="309"/>
      <c r="Q17" s="309"/>
      <c r="R17" s="309"/>
      <c r="S17" s="309"/>
    </row>
    <row r="18" spans="1:19" s="71" customFormat="1" ht="15.05" customHeight="1">
      <c r="A18" s="472"/>
      <c r="B18" s="926" t="s">
        <v>725</v>
      </c>
      <c r="C18" s="927"/>
      <c r="D18" s="927"/>
      <c r="E18" s="927"/>
      <c r="F18" s="927"/>
      <c r="G18" s="927"/>
      <c r="H18" s="927"/>
      <c r="I18" s="927"/>
      <c r="J18" s="927"/>
      <c r="K18" s="927"/>
      <c r="L18" s="927"/>
      <c r="M18" s="927"/>
      <c r="N18" s="927"/>
      <c r="O18" s="928"/>
      <c r="P18"/>
      <c r="Q18" s="472"/>
      <c r="R18" s="472"/>
      <c r="S18" s="472"/>
    </row>
    <row r="19" spans="1:19" s="71" customFormat="1" ht="15.05" customHeight="1">
      <c r="A19" s="472"/>
      <c r="B19" s="577" t="s">
        <v>212</v>
      </c>
      <c r="C19" s="573">
        <v>156066</v>
      </c>
      <c r="D19" s="573">
        <v>122483</v>
      </c>
      <c r="E19" s="573">
        <v>111792</v>
      </c>
      <c r="F19" s="573">
        <v>3272</v>
      </c>
      <c r="G19" s="573">
        <v>1432</v>
      </c>
      <c r="H19" s="573">
        <v>4838</v>
      </c>
      <c r="I19" s="573">
        <v>1149</v>
      </c>
      <c r="J19" s="573">
        <v>0</v>
      </c>
      <c r="K19" s="573">
        <v>33583</v>
      </c>
      <c r="L19" s="573">
        <v>18218</v>
      </c>
      <c r="M19" s="573">
        <v>1834</v>
      </c>
      <c r="N19" s="573">
        <v>13466</v>
      </c>
      <c r="O19" s="573">
        <v>65</v>
      </c>
      <c r="P19" s="472"/>
      <c r="Q19" s="472"/>
      <c r="R19" s="472"/>
      <c r="S19" s="642"/>
    </row>
    <row r="20" spans="1:19" s="71" customFormat="1" ht="15.05" customHeight="1">
      <c r="A20" s="472"/>
      <c r="B20" s="577" t="s">
        <v>213</v>
      </c>
      <c r="C20" s="573">
        <v>141437</v>
      </c>
      <c r="D20" s="573">
        <v>109897</v>
      </c>
      <c r="E20" s="573">
        <v>95601</v>
      </c>
      <c r="F20" s="573">
        <v>3234</v>
      </c>
      <c r="G20" s="573">
        <v>1714</v>
      </c>
      <c r="H20" s="573">
        <v>5350</v>
      </c>
      <c r="I20" s="573">
        <v>3998</v>
      </c>
      <c r="J20" s="573" t="s">
        <v>728</v>
      </c>
      <c r="K20" s="573">
        <v>31540</v>
      </c>
      <c r="L20" s="573">
        <v>16771</v>
      </c>
      <c r="M20" s="573">
        <v>2468</v>
      </c>
      <c r="N20" s="573">
        <v>12239</v>
      </c>
      <c r="O20" s="573">
        <v>62</v>
      </c>
      <c r="P20" s="472"/>
      <c r="Q20" s="472"/>
      <c r="R20" s="472"/>
      <c r="S20" s="642"/>
    </row>
    <row r="21" spans="1:19" s="71" customFormat="1" ht="15.05" customHeight="1">
      <c r="A21" s="472"/>
      <c r="B21" s="577" t="s">
        <v>214</v>
      </c>
      <c r="C21" s="573">
        <v>156973</v>
      </c>
      <c r="D21" s="573">
        <v>124720</v>
      </c>
      <c r="E21" s="573">
        <v>110597</v>
      </c>
      <c r="F21" s="573">
        <v>3151</v>
      </c>
      <c r="G21" s="573">
        <v>1586</v>
      </c>
      <c r="H21" s="573">
        <v>5603</v>
      </c>
      <c r="I21" s="573">
        <v>3783</v>
      </c>
      <c r="J21" s="573">
        <v>0</v>
      </c>
      <c r="K21" s="573">
        <v>32253</v>
      </c>
      <c r="L21" s="573">
        <v>18019</v>
      </c>
      <c r="M21" s="573">
        <v>2423</v>
      </c>
      <c r="N21" s="573">
        <v>11756</v>
      </c>
      <c r="O21" s="573">
        <v>55</v>
      </c>
      <c r="P21" s="472"/>
      <c r="Q21" s="472"/>
      <c r="R21" s="472"/>
      <c r="S21" s="642"/>
    </row>
    <row r="22" spans="1:19" s="71" customFormat="1" ht="15.05" customHeight="1">
      <c r="A22" s="472"/>
      <c r="B22" s="577" t="s">
        <v>215</v>
      </c>
      <c r="C22" s="573">
        <v>163458</v>
      </c>
      <c r="D22" s="573">
        <v>127733</v>
      </c>
      <c r="E22" s="573">
        <v>112277</v>
      </c>
      <c r="F22" s="573">
        <v>3700</v>
      </c>
      <c r="G22" s="573">
        <v>1813</v>
      </c>
      <c r="H22" s="573">
        <v>6428</v>
      </c>
      <c r="I22" s="573">
        <v>3515</v>
      </c>
      <c r="J22" s="573">
        <v>0</v>
      </c>
      <c r="K22" s="573">
        <v>35725</v>
      </c>
      <c r="L22" s="573">
        <v>17780</v>
      </c>
      <c r="M22" s="573">
        <v>2529</v>
      </c>
      <c r="N22" s="573">
        <v>15357</v>
      </c>
      <c r="O22" s="573">
        <v>59</v>
      </c>
      <c r="P22" s="472"/>
      <c r="Q22" s="472"/>
      <c r="R22" s="472"/>
      <c r="S22" s="642"/>
    </row>
    <row r="23" spans="1:19" s="71" customFormat="1" ht="15.05" customHeight="1">
      <c r="A23" s="472"/>
      <c r="B23" s="577" t="s">
        <v>216</v>
      </c>
      <c r="C23" s="573">
        <v>163704</v>
      </c>
      <c r="D23" s="573">
        <v>129210</v>
      </c>
      <c r="E23" s="573">
        <v>113938</v>
      </c>
      <c r="F23" s="573">
        <v>3361</v>
      </c>
      <c r="G23" s="573">
        <v>1145</v>
      </c>
      <c r="H23" s="573">
        <v>6256</v>
      </c>
      <c r="I23" s="573">
        <v>4231</v>
      </c>
      <c r="J23" s="573">
        <v>279</v>
      </c>
      <c r="K23" s="573">
        <v>34494</v>
      </c>
      <c r="L23" s="573">
        <v>17527</v>
      </c>
      <c r="M23" s="573">
        <v>4440</v>
      </c>
      <c r="N23" s="573">
        <v>12470</v>
      </c>
      <c r="O23" s="573">
        <v>57</v>
      </c>
      <c r="P23" s="472"/>
      <c r="Q23" s="472"/>
      <c r="R23" s="472"/>
      <c r="S23" s="642"/>
    </row>
    <row r="24" spans="1:19" s="71" customFormat="1" ht="15.05" customHeight="1">
      <c r="A24" s="472"/>
      <c r="B24" s="577" t="s">
        <v>217</v>
      </c>
      <c r="C24" s="573">
        <v>154612</v>
      </c>
      <c r="D24" s="573">
        <v>121702</v>
      </c>
      <c r="E24" s="573">
        <v>107341</v>
      </c>
      <c r="F24" s="573">
        <v>3251</v>
      </c>
      <c r="G24" s="573">
        <v>1389</v>
      </c>
      <c r="H24" s="573">
        <v>5594</v>
      </c>
      <c r="I24" s="573">
        <v>3950</v>
      </c>
      <c r="J24" s="573">
        <v>177</v>
      </c>
      <c r="K24" s="573">
        <v>32910</v>
      </c>
      <c r="L24" s="573">
        <v>16605</v>
      </c>
      <c r="M24" s="573">
        <v>2356</v>
      </c>
      <c r="N24" s="573">
        <v>13885</v>
      </c>
      <c r="O24" s="573">
        <v>64</v>
      </c>
      <c r="P24" s="472"/>
      <c r="Q24" s="472"/>
      <c r="R24" s="472"/>
      <c r="S24" s="642"/>
    </row>
    <row r="25" spans="1:19" s="71" customFormat="1" ht="15.05" customHeight="1">
      <c r="A25" s="472"/>
      <c r="B25" s="577" t="s">
        <v>218</v>
      </c>
      <c r="C25" s="573">
        <v>173513</v>
      </c>
      <c r="D25" s="573">
        <v>136559</v>
      </c>
      <c r="E25" s="573">
        <v>120005</v>
      </c>
      <c r="F25" s="573">
        <v>4295</v>
      </c>
      <c r="G25" s="573">
        <v>1610</v>
      </c>
      <c r="H25" s="573">
        <v>6241</v>
      </c>
      <c r="I25" s="573">
        <v>4207</v>
      </c>
      <c r="J25" s="573">
        <v>201</v>
      </c>
      <c r="K25" s="573">
        <v>36954</v>
      </c>
      <c r="L25" s="573">
        <v>18951</v>
      </c>
      <c r="M25" s="573">
        <v>2477</v>
      </c>
      <c r="N25" s="573">
        <v>15455</v>
      </c>
      <c r="O25" s="573">
        <v>71</v>
      </c>
      <c r="P25" s="472"/>
      <c r="Q25" s="472"/>
      <c r="R25" s="472"/>
      <c r="S25" s="642"/>
    </row>
    <row r="26" spans="1:19" s="71" customFormat="1" ht="15.05" customHeight="1">
      <c r="A26" s="472"/>
      <c r="B26" s="577" t="s">
        <v>219</v>
      </c>
      <c r="C26" s="573"/>
      <c r="D26" s="573"/>
      <c r="E26" s="573"/>
      <c r="F26" s="573"/>
      <c r="G26" s="573"/>
      <c r="H26" s="573"/>
      <c r="I26" s="573"/>
      <c r="J26" s="573"/>
      <c r="K26" s="573"/>
      <c r="L26" s="573"/>
      <c r="M26" s="573"/>
      <c r="N26" s="573"/>
      <c r="O26" s="573"/>
      <c r="P26" s="472"/>
      <c r="Q26" s="472"/>
      <c r="R26" s="472"/>
      <c r="S26" s="642"/>
    </row>
    <row r="27" spans="1:19" s="71" customFormat="1" ht="15.05" customHeight="1">
      <c r="A27" s="472"/>
      <c r="B27" s="577" t="s">
        <v>362</v>
      </c>
      <c r="C27" s="573"/>
      <c r="D27" s="573"/>
      <c r="E27" s="573"/>
      <c r="F27" s="573"/>
      <c r="G27" s="573"/>
      <c r="H27" s="573"/>
      <c r="I27" s="573"/>
      <c r="J27" s="573"/>
      <c r="K27" s="573"/>
      <c r="L27" s="573"/>
      <c r="M27" s="573"/>
      <c r="N27" s="573"/>
      <c r="O27" s="573"/>
      <c r="P27" s="472"/>
      <c r="Q27" s="472"/>
      <c r="R27" s="472"/>
      <c r="S27" s="642"/>
    </row>
    <row r="28" spans="1:19" s="71" customFormat="1" ht="15.05" customHeight="1">
      <c r="A28" s="472"/>
      <c r="B28" s="577" t="s">
        <v>221</v>
      </c>
      <c r="C28" s="573"/>
      <c r="D28" s="573"/>
      <c r="E28" s="573"/>
      <c r="F28" s="573"/>
      <c r="G28" s="573"/>
      <c r="H28" s="573"/>
      <c r="I28" s="573"/>
      <c r="J28" s="573"/>
      <c r="K28" s="573"/>
      <c r="L28" s="573"/>
      <c r="M28" s="573"/>
      <c r="N28" s="573"/>
      <c r="O28" s="573"/>
      <c r="P28" s="472"/>
      <c r="Q28" s="472"/>
      <c r="R28" s="472"/>
      <c r="S28" s="642"/>
    </row>
    <row r="29" spans="1:19" s="71" customFormat="1" ht="15.05" customHeight="1">
      <c r="A29" s="472"/>
      <c r="B29" s="577" t="s">
        <v>206</v>
      </c>
      <c r="C29" s="573"/>
      <c r="D29" s="573"/>
      <c r="E29" s="573"/>
      <c r="F29" s="573"/>
      <c r="G29" s="573"/>
      <c r="H29" s="573"/>
      <c r="I29" s="573"/>
      <c r="J29" s="573"/>
      <c r="K29" s="573"/>
      <c r="L29" s="573"/>
      <c r="M29" s="573"/>
      <c r="N29" s="573"/>
      <c r="O29" s="573"/>
      <c r="P29" s="472"/>
      <c r="Q29" s="472"/>
      <c r="R29" s="472"/>
      <c r="S29" s="642"/>
    </row>
    <row r="30" spans="1:19" s="71" customFormat="1" ht="15.05" customHeight="1">
      <c r="A30" s="472"/>
      <c r="B30" s="577" t="s">
        <v>207</v>
      </c>
      <c r="C30" s="573"/>
      <c r="D30" s="573"/>
      <c r="E30" s="573"/>
      <c r="F30" s="573"/>
      <c r="G30" s="573"/>
      <c r="H30" s="573"/>
      <c r="I30" s="573"/>
      <c r="J30" s="573"/>
      <c r="K30" s="573"/>
      <c r="L30" s="573"/>
      <c r="M30" s="573"/>
      <c r="N30" s="573"/>
      <c r="O30" s="573"/>
      <c r="P30" s="472"/>
      <c r="Q30" s="472"/>
      <c r="R30" s="472"/>
      <c r="S30" s="642"/>
    </row>
    <row r="31" spans="1:19" s="71" customFormat="1" ht="15.05" customHeight="1">
      <c r="A31" s="472"/>
      <c r="B31" s="577" t="s">
        <v>208</v>
      </c>
      <c r="C31" s="574">
        <f>SUM(C19:C30)</f>
        <v>1109763</v>
      </c>
      <c r="D31" s="574">
        <f>SUM(D19:D30)</f>
        <v>872304</v>
      </c>
      <c r="E31" s="574">
        <f t="shared" ref="E31:O31" si="0">SUM(E19:E30)</f>
        <v>771551</v>
      </c>
      <c r="F31" s="574">
        <f t="shared" si="0"/>
        <v>24264</v>
      </c>
      <c r="G31" s="574">
        <f t="shared" si="0"/>
        <v>10689</v>
      </c>
      <c r="H31" s="574">
        <f t="shared" si="0"/>
        <v>40310</v>
      </c>
      <c r="I31" s="574">
        <f t="shared" si="0"/>
        <v>24833</v>
      </c>
      <c r="J31" s="574">
        <f>SUM(J19:J30)</f>
        <v>657</v>
      </c>
      <c r="K31" s="574">
        <f t="shared" si="0"/>
        <v>237459</v>
      </c>
      <c r="L31" s="574">
        <f t="shared" si="0"/>
        <v>123871</v>
      </c>
      <c r="M31" s="574">
        <f t="shared" si="0"/>
        <v>18527</v>
      </c>
      <c r="N31" s="574">
        <f>SUM(N19:N30)</f>
        <v>94628</v>
      </c>
      <c r="O31" s="574">
        <f t="shared" si="0"/>
        <v>433</v>
      </c>
      <c r="P31" s="472"/>
      <c r="Q31" s="472"/>
      <c r="R31" s="472"/>
      <c r="S31" s="642"/>
    </row>
    <row r="32" spans="1:19" s="71" customFormat="1" ht="15.05" customHeight="1">
      <c r="A32" s="472"/>
      <c r="B32" s="705"/>
      <c r="C32" s="706"/>
      <c r="D32" s="706"/>
      <c r="E32" s="706"/>
      <c r="F32" s="706"/>
      <c r="G32" s="706"/>
      <c r="H32" s="706"/>
      <c r="I32" s="706"/>
      <c r="J32" s="706"/>
      <c r="K32" s="706"/>
      <c r="L32" s="706"/>
      <c r="M32" s="706"/>
      <c r="N32" s="706"/>
      <c r="O32" s="707"/>
      <c r="P32" s="472"/>
      <c r="Q32" s="472"/>
      <c r="R32" s="472"/>
      <c r="S32" s="642"/>
    </row>
    <row r="33" spans="1:20" ht="12.8" customHeight="1">
      <c r="A33" s="472"/>
      <c r="B33" s="929" t="s">
        <v>363</v>
      </c>
      <c r="C33" s="930"/>
      <c r="D33" s="930"/>
      <c r="E33" s="930"/>
      <c r="F33" s="930"/>
      <c r="G33" s="930"/>
      <c r="H33" s="930"/>
      <c r="I33" s="930"/>
      <c r="J33" s="930"/>
      <c r="K33" s="930"/>
      <c r="L33" s="930"/>
      <c r="M33" s="930"/>
      <c r="N33" s="930"/>
      <c r="O33" s="931"/>
      <c r="P33" s="472"/>
      <c r="Q33" s="309"/>
      <c r="R33" s="309"/>
      <c r="S33" s="309"/>
    </row>
    <row r="34" spans="1:20" ht="12.45" customHeight="1">
      <c r="A34" s="309"/>
      <c r="B34" s="932" t="s">
        <v>364</v>
      </c>
      <c r="C34" s="932"/>
      <c r="D34" s="932"/>
      <c r="E34" s="932"/>
      <c r="F34" s="932"/>
      <c r="G34" s="932"/>
      <c r="H34" s="932"/>
      <c r="I34" s="932"/>
      <c r="J34" s="932"/>
      <c r="K34" s="932"/>
      <c r="L34" s="932"/>
      <c r="M34" s="932"/>
      <c r="N34" s="932"/>
      <c r="O34" s="932"/>
      <c r="P34" s="309"/>
      <c r="Q34" s="309"/>
      <c r="R34" s="309"/>
      <c r="S34" s="309"/>
    </row>
    <row r="35" spans="1:20" ht="12.8" customHeight="1">
      <c r="A35" s="309"/>
      <c r="B35" s="922" t="s">
        <v>365</v>
      </c>
      <c r="C35" s="922"/>
      <c r="D35" s="922"/>
      <c r="E35" s="922"/>
      <c r="F35" s="922"/>
      <c r="G35" s="922"/>
      <c r="H35" s="922"/>
      <c r="I35" s="922"/>
      <c r="J35" s="922"/>
      <c r="K35" s="922"/>
      <c r="L35" s="922"/>
      <c r="M35" s="922"/>
      <c r="N35" s="922"/>
      <c r="O35" s="922"/>
      <c r="P35" s="309"/>
      <c r="Q35" s="309"/>
      <c r="R35" s="309"/>
      <c r="S35" s="309"/>
      <c r="T35" s="309"/>
    </row>
    <row r="36" spans="1:20" ht="12.8" customHeight="1">
      <c r="A36" s="309"/>
      <c r="B36" s="922" t="s">
        <v>366</v>
      </c>
      <c r="C36" s="922"/>
      <c r="D36" s="922"/>
      <c r="E36" s="922"/>
      <c r="F36" s="922"/>
      <c r="G36" s="922"/>
      <c r="H36" s="922"/>
      <c r="I36" s="922"/>
      <c r="J36" s="922"/>
      <c r="K36" s="922"/>
      <c r="L36" s="922"/>
      <c r="M36" s="922"/>
      <c r="N36" s="922"/>
      <c r="O36" s="922"/>
      <c r="P36" s="309"/>
      <c r="Q36" s="309"/>
      <c r="R36" s="309"/>
      <c r="S36" s="309"/>
      <c r="T36" s="309"/>
    </row>
    <row r="37" spans="1:20" ht="14.4" customHeight="1">
      <c r="A37" s="309"/>
      <c r="B37" s="922" t="s">
        <v>729</v>
      </c>
      <c r="C37" s="922"/>
      <c r="D37" s="922"/>
      <c r="E37" s="922"/>
      <c r="F37" s="922"/>
      <c r="G37" s="922"/>
      <c r="H37" s="922"/>
      <c r="I37" s="922"/>
      <c r="J37" s="922"/>
      <c r="K37" s="922"/>
      <c r="L37" s="922"/>
      <c r="M37" s="922"/>
      <c r="N37" s="922"/>
      <c r="O37" s="922"/>
      <c r="P37" s="309"/>
      <c r="Q37" s="309"/>
      <c r="R37" s="309"/>
      <c r="S37" s="309"/>
      <c r="T37" s="309"/>
    </row>
    <row r="38" spans="1:20" ht="7.55" customHeight="1">
      <c r="A38" s="309"/>
      <c r="B38" s="578"/>
      <c r="C38" s="578"/>
      <c r="D38" s="578"/>
      <c r="E38" s="578"/>
      <c r="F38" s="578"/>
      <c r="G38" s="578"/>
      <c r="H38" s="578"/>
      <c r="I38" s="578"/>
      <c r="J38" s="578"/>
      <c r="K38" s="578"/>
      <c r="L38" s="578"/>
      <c r="M38" s="578"/>
      <c r="N38" s="578"/>
      <c r="O38" s="578"/>
      <c r="P38" s="309"/>
      <c r="Q38" s="309"/>
      <c r="R38" s="309"/>
      <c r="S38" s="309"/>
      <c r="T38" s="309"/>
    </row>
    <row r="39" spans="1:20">
      <c r="A39" s="309"/>
      <c r="B39" s="924" t="s">
        <v>367</v>
      </c>
      <c r="C39" s="925"/>
      <c r="D39" s="574"/>
      <c r="E39" s="574"/>
      <c r="F39" s="574"/>
      <c r="G39" s="574"/>
      <c r="H39" s="574"/>
      <c r="I39" s="574"/>
      <c r="J39" s="574"/>
      <c r="K39" s="574"/>
      <c r="L39" s="574"/>
      <c r="M39" s="574"/>
      <c r="N39" s="574"/>
      <c r="O39" s="574"/>
      <c r="P39" s="309"/>
      <c r="Q39" s="309"/>
      <c r="R39" s="309"/>
      <c r="S39" s="309"/>
      <c r="T39" s="309" t="s">
        <v>97</v>
      </c>
    </row>
    <row r="40" spans="1:20">
      <c r="A40" s="309"/>
      <c r="B40" s="924" t="s">
        <v>368</v>
      </c>
      <c r="C40" s="925"/>
      <c r="D40" s="579">
        <v>12.207687630442001</v>
      </c>
      <c r="E40" s="579">
        <v>11.797915055757001</v>
      </c>
      <c r="F40" s="579">
        <v>32.113195939710998</v>
      </c>
      <c r="G40" s="579">
        <v>15.910727141829</v>
      </c>
      <c r="H40" s="579">
        <v>11.565963532355999</v>
      </c>
      <c r="I40" s="579">
        <v>6.506329113924</v>
      </c>
      <c r="J40" s="579">
        <v>13.559322033898001</v>
      </c>
      <c r="K40" s="579">
        <v>12.28805834093</v>
      </c>
      <c r="L40" s="579">
        <v>14.128274616079</v>
      </c>
      <c r="M40" s="579">
        <v>5.1358234295420004</v>
      </c>
      <c r="N40" s="579">
        <v>11.307166006481999</v>
      </c>
      <c r="O40" s="579">
        <v>10.9375</v>
      </c>
      <c r="P40" s="309"/>
      <c r="Q40" s="309"/>
      <c r="R40" s="309"/>
      <c r="S40" s="309"/>
      <c r="T40" s="309"/>
    </row>
    <row r="41" spans="1:20">
      <c r="A41" s="309"/>
      <c r="B41" s="924" t="s">
        <v>369</v>
      </c>
      <c r="C41" s="925"/>
      <c r="D41" s="579">
        <v>2.4694600354169998</v>
      </c>
      <c r="E41" s="579">
        <v>2.642067809367</v>
      </c>
      <c r="F41" s="579">
        <v>-7.7732445780550004</v>
      </c>
      <c r="G41" s="579">
        <v>14.103472714386999</v>
      </c>
      <c r="H41" s="579">
        <v>-0.79478620251200005</v>
      </c>
      <c r="I41" s="579">
        <v>10.797998419804999</v>
      </c>
      <c r="J41" s="579">
        <v>2.5510204081630001</v>
      </c>
      <c r="K41" s="579">
        <v>3.7276146634480001</v>
      </c>
      <c r="L41" s="579">
        <v>-6.1692330544139997</v>
      </c>
      <c r="M41" s="579">
        <v>-17.378252168111999</v>
      </c>
      <c r="N41" s="579">
        <v>25.121437823834</v>
      </c>
      <c r="O41" s="579">
        <v>-10.126582278480999</v>
      </c>
      <c r="P41" s="309"/>
      <c r="Q41" s="309"/>
      <c r="R41" s="309"/>
      <c r="S41" s="309"/>
      <c r="T41" s="309"/>
    </row>
    <row r="42" spans="1:20">
      <c r="A42" s="309"/>
      <c r="B42" s="923" t="s">
        <v>370</v>
      </c>
      <c r="C42" s="923"/>
      <c r="D42" s="579">
        <v>2.760611165432</v>
      </c>
      <c r="E42" s="579">
        <v>2.006681888433</v>
      </c>
      <c r="F42" s="579">
        <v>-15.223087942419999</v>
      </c>
      <c r="G42" s="579">
        <v>6.7725501947859996</v>
      </c>
      <c r="H42" s="579">
        <v>27.016637257372999</v>
      </c>
      <c r="I42" s="579">
        <v>20.918342503773999</v>
      </c>
      <c r="J42" s="579">
        <v>-58.731155778893999</v>
      </c>
      <c r="K42" s="579">
        <v>-1.4848281183880001</v>
      </c>
      <c r="L42" s="579">
        <v>-6.9177994694800002</v>
      </c>
      <c r="M42" s="579">
        <v>-13.562564150415</v>
      </c>
      <c r="N42" s="579">
        <v>10.323761556667</v>
      </c>
      <c r="O42" s="579">
        <v>-42.572944297082003</v>
      </c>
      <c r="P42" s="309"/>
      <c r="Q42" s="309"/>
      <c r="R42" s="309"/>
      <c r="S42" s="309"/>
      <c r="T42" s="309"/>
    </row>
    <row r="45" spans="1:20">
      <c r="A45" s="309"/>
      <c r="B45" s="309"/>
      <c r="C45" s="309"/>
      <c r="D45" s="309"/>
      <c r="E45" s="473"/>
      <c r="F45" s="309"/>
      <c r="G45" s="309"/>
      <c r="H45" s="309" t="s">
        <v>97</v>
      </c>
      <c r="I45" s="309" t="s">
        <v>97</v>
      </c>
      <c r="J45" s="309"/>
      <c r="K45" s="309"/>
      <c r="L45" s="309"/>
      <c r="M45" s="309"/>
      <c r="N45" s="309"/>
      <c r="O45" s="309"/>
      <c r="P45" s="309"/>
      <c r="Q45" s="309"/>
      <c r="R45" s="309"/>
      <c r="S45" s="309"/>
      <c r="T45" s="309"/>
    </row>
    <row r="46" spans="1:20" ht="17.7">
      <c r="A46" s="309"/>
      <c r="B46" s="309"/>
      <c r="C46" s="309"/>
      <c r="D46" s="309"/>
      <c r="E46" s="582"/>
      <c r="F46" s="309"/>
      <c r="G46" s="309"/>
      <c r="H46" s="309"/>
      <c r="I46" s="309"/>
      <c r="J46" s="309"/>
      <c r="K46" s="309"/>
      <c r="L46" s="309"/>
      <c r="M46" s="309"/>
      <c r="N46" s="309"/>
      <c r="O46" s="309"/>
      <c r="P46" s="309"/>
      <c r="Q46" s="309"/>
      <c r="R46" s="309"/>
      <c r="S46" s="309"/>
      <c r="T46" s="309"/>
    </row>
  </sheetData>
  <mergeCells count="27">
    <mergeCell ref="B35:O35"/>
    <mergeCell ref="B18:O18"/>
    <mergeCell ref="B33:O33"/>
    <mergeCell ref="B34:O34"/>
    <mergeCell ref="B5:B7"/>
    <mergeCell ref="B36:O36"/>
    <mergeCell ref="B37:O37"/>
    <mergeCell ref="B42:C42"/>
    <mergeCell ref="B41:C41"/>
    <mergeCell ref="B40:C40"/>
    <mergeCell ref="B39:C39"/>
    <mergeCell ref="B1:O1"/>
    <mergeCell ref="D5:J5"/>
    <mergeCell ref="B3:O3"/>
    <mergeCell ref="B4:O4"/>
    <mergeCell ref="K5:O5"/>
    <mergeCell ref="C5:C7"/>
    <mergeCell ref="L6:L7"/>
    <mergeCell ref="K6:K7"/>
    <mergeCell ref="D6:D7"/>
    <mergeCell ref="H6:H7"/>
    <mergeCell ref="O6:O7"/>
    <mergeCell ref="E6:G6"/>
    <mergeCell ref="I6:I7"/>
    <mergeCell ref="N6:N7"/>
    <mergeCell ref="J6:J7"/>
    <mergeCell ref="M6:M7"/>
  </mergeCells>
  <phoneticPr fontId="47" type="noConversion"/>
  <printOptions horizontalCentered="1"/>
  <pageMargins left="0.70866141732283472" right="0.70866141732283472" top="0.74803149606299213" bottom="0.74803149606299213" header="0.31496062992125984" footer="0.31496062992125984"/>
  <pageSetup paperSize="126" scale="78" firstPageNumber="20" orientation="landscape" useFirstPageNumber="1" r:id="rId1"/>
  <headerFooter>
    <oddFooter>&amp;C&amp;10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L42"/>
  <sheetViews>
    <sheetView topLeftCell="A5" zoomScale="90" zoomScaleNormal="90" workbookViewId="0">
      <selection activeCell="N33" sqref="N33"/>
    </sheetView>
  </sheetViews>
  <sheetFormatPr baseColWidth="10" defaultColWidth="5.83203125" defaultRowHeight="12.45"/>
  <cols>
    <col min="1" max="1" width="2.75" style="59" customWidth="1"/>
    <col min="2" max="2" width="7.33203125" style="59" bestFit="1" customWidth="1"/>
    <col min="3" max="3" width="6.4140625" style="59" customWidth="1"/>
    <col min="4" max="4" width="7.58203125" style="59" bestFit="1" customWidth="1"/>
    <col min="5" max="5" width="6.83203125" style="59" customWidth="1"/>
    <col min="6" max="6" width="5.33203125" style="59" customWidth="1"/>
    <col min="7" max="7" width="5.4140625" style="59" customWidth="1"/>
    <col min="8" max="8" width="8.08203125" style="59" bestFit="1" customWidth="1"/>
    <col min="9" max="9" width="8.6640625" style="59" bestFit="1" customWidth="1"/>
    <col min="10" max="10" width="6.4140625" style="59" customWidth="1"/>
    <col min="11" max="11" width="9.9140625" style="59" bestFit="1" customWidth="1"/>
    <col min="12" max="16384" width="5.83203125" style="59"/>
  </cols>
  <sheetData>
    <row r="1" spans="2:12" ht="12.8" customHeight="1">
      <c r="B1" s="791" t="s">
        <v>371</v>
      </c>
      <c r="C1" s="791"/>
      <c r="D1" s="791"/>
      <c r="E1" s="791"/>
      <c r="F1" s="791"/>
      <c r="G1" s="791"/>
      <c r="H1" s="791"/>
      <c r="I1" s="791"/>
      <c r="J1" s="791"/>
      <c r="K1" s="791"/>
      <c r="L1" s="309"/>
    </row>
    <row r="2" spans="2:12" ht="12.8" customHeight="1">
      <c r="B2" s="791" t="s">
        <v>59</v>
      </c>
      <c r="C2" s="791"/>
      <c r="D2" s="791"/>
      <c r="E2" s="791"/>
      <c r="F2" s="791"/>
      <c r="G2" s="791"/>
      <c r="H2" s="791"/>
      <c r="I2" s="791"/>
      <c r="J2" s="791"/>
      <c r="K2" s="791"/>
      <c r="L2" s="309"/>
    </row>
    <row r="3" spans="2:12" ht="16.55" customHeight="1">
      <c r="B3" s="944" t="s">
        <v>192</v>
      </c>
      <c r="C3" s="944"/>
      <c r="D3" s="944"/>
      <c r="E3" s="944"/>
      <c r="F3" s="944"/>
      <c r="G3" s="944"/>
      <c r="H3" s="944"/>
      <c r="I3" s="944"/>
      <c r="J3" s="944"/>
      <c r="K3" s="944"/>
      <c r="L3" s="309"/>
    </row>
    <row r="4" spans="2:12" ht="65.3" customHeight="1">
      <c r="B4" s="511" t="s">
        <v>193</v>
      </c>
      <c r="C4" s="468" t="s">
        <v>208</v>
      </c>
      <c r="D4" s="273" t="s">
        <v>154</v>
      </c>
      <c r="E4" s="273" t="s">
        <v>372</v>
      </c>
      <c r="F4" s="273" t="s">
        <v>373</v>
      </c>
      <c r="G4" s="273" t="s">
        <v>158</v>
      </c>
      <c r="H4" s="273" t="s">
        <v>160</v>
      </c>
      <c r="I4" s="273" t="s">
        <v>374</v>
      </c>
      <c r="J4" s="273" t="s">
        <v>375</v>
      </c>
      <c r="K4" s="273" t="s">
        <v>376</v>
      </c>
      <c r="L4" s="467"/>
    </row>
    <row r="5" spans="2:12" ht="12.8" customHeight="1">
      <c r="B5" s="279">
        <v>2013</v>
      </c>
      <c r="C5" s="471">
        <v>1922480</v>
      </c>
      <c r="D5" s="471">
        <v>137549</v>
      </c>
      <c r="E5" s="471">
        <v>178615</v>
      </c>
      <c r="F5" s="471">
        <v>235036</v>
      </c>
      <c r="G5" s="471"/>
      <c r="H5" s="471">
        <v>173520</v>
      </c>
      <c r="I5" s="471">
        <v>149153</v>
      </c>
      <c r="J5" s="471">
        <v>878174</v>
      </c>
      <c r="K5" s="471">
        <v>170433</v>
      </c>
      <c r="L5" s="467"/>
    </row>
    <row r="6" spans="2:12" ht="12.8" customHeight="1">
      <c r="B6" s="279">
        <v>2014</v>
      </c>
      <c r="C6" s="471">
        <v>1968268</v>
      </c>
      <c r="D6" s="471">
        <v>131770</v>
      </c>
      <c r="E6" s="471">
        <v>179811</v>
      </c>
      <c r="F6" s="471">
        <v>284729</v>
      </c>
      <c r="G6" s="471"/>
      <c r="H6" s="471">
        <v>161087</v>
      </c>
      <c r="I6" s="471">
        <v>152276</v>
      </c>
      <c r="J6" s="471">
        <v>894788</v>
      </c>
      <c r="K6" s="471">
        <v>163807</v>
      </c>
      <c r="L6" s="309"/>
    </row>
    <row r="7" spans="2:12">
      <c r="B7" s="279">
        <v>2015</v>
      </c>
      <c r="C7" s="471">
        <v>1962342</v>
      </c>
      <c r="D7" s="471">
        <v>127735</v>
      </c>
      <c r="E7" s="471">
        <v>181298</v>
      </c>
      <c r="F7" s="471">
        <v>251442</v>
      </c>
      <c r="G7" s="471"/>
      <c r="H7" s="471">
        <v>164014</v>
      </c>
      <c r="I7" s="471">
        <v>150320</v>
      </c>
      <c r="J7" s="471">
        <v>926978</v>
      </c>
      <c r="K7" s="471">
        <v>160555</v>
      </c>
      <c r="L7" s="473"/>
    </row>
    <row r="8" spans="2:12">
      <c r="B8" s="279">
        <v>2016</v>
      </c>
      <c r="C8" s="471">
        <v>2028168</v>
      </c>
      <c r="D8" s="471">
        <v>127138</v>
      </c>
      <c r="E8" s="471">
        <v>187899</v>
      </c>
      <c r="F8" s="471">
        <v>275229</v>
      </c>
      <c r="G8" s="471"/>
      <c r="H8" s="471">
        <v>159667</v>
      </c>
      <c r="I8" s="471">
        <v>140551</v>
      </c>
      <c r="J8" s="471">
        <v>964310</v>
      </c>
      <c r="K8" s="471">
        <v>173374</v>
      </c>
      <c r="L8" s="309"/>
    </row>
    <row r="9" spans="2:12">
      <c r="B9" s="279">
        <v>2017</v>
      </c>
      <c r="C9" s="471">
        <v>2018526</v>
      </c>
      <c r="D9" s="471">
        <v>128706</v>
      </c>
      <c r="E9" s="471">
        <v>192665</v>
      </c>
      <c r="F9" s="471">
        <v>231998</v>
      </c>
      <c r="G9" s="471">
        <v>29436</v>
      </c>
      <c r="H9" s="471">
        <v>157481</v>
      </c>
      <c r="I9" s="471">
        <v>146500</v>
      </c>
      <c r="J9" s="471">
        <v>956918</v>
      </c>
      <c r="K9" s="471">
        <v>174832</v>
      </c>
      <c r="L9" s="309"/>
    </row>
    <row r="10" spans="2:12">
      <c r="B10" s="279">
        <v>2018</v>
      </c>
      <c r="C10" s="471">
        <v>2089336</v>
      </c>
      <c r="D10" s="471">
        <v>136101</v>
      </c>
      <c r="E10" s="471">
        <v>179623</v>
      </c>
      <c r="F10" s="471">
        <v>159076</v>
      </c>
      <c r="G10" s="471">
        <v>122592</v>
      </c>
      <c r="H10" s="471">
        <v>156131</v>
      </c>
      <c r="I10" s="471">
        <v>162196</v>
      </c>
      <c r="J10" s="471">
        <v>1010545</v>
      </c>
      <c r="K10" s="471">
        <v>163072</v>
      </c>
      <c r="L10" s="309"/>
    </row>
    <row r="11" spans="2:12">
      <c r="B11" s="279">
        <v>2019</v>
      </c>
      <c r="C11" s="471">
        <v>2093498</v>
      </c>
      <c r="D11" s="471">
        <v>144552</v>
      </c>
      <c r="E11" s="471">
        <v>178721</v>
      </c>
      <c r="F11" s="471">
        <v>162772</v>
      </c>
      <c r="G11" s="471">
        <v>123547</v>
      </c>
      <c r="H11" s="471">
        <v>142410</v>
      </c>
      <c r="I11" s="471">
        <v>148835</v>
      </c>
      <c r="J11" s="471">
        <v>1038944</v>
      </c>
      <c r="K11" s="471">
        <v>153717</v>
      </c>
      <c r="L11" s="309"/>
    </row>
    <row r="12" spans="2:12">
      <c r="B12" s="279">
        <v>2020</v>
      </c>
      <c r="C12" s="471">
        <v>2003727</v>
      </c>
      <c r="D12" s="471">
        <v>140499</v>
      </c>
      <c r="E12" s="471">
        <v>148168</v>
      </c>
      <c r="F12" s="471">
        <v>142907</v>
      </c>
      <c r="G12" s="471">
        <v>124330</v>
      </c>
      <c r="H12" s="471">
        <v>131982</v>
      </c>
      <c r="I12" s="471">
        <v>145096</v>
      </c>
      <c r="J12" s="471">
        <v>1021541</v>
      </c>
      <c r="K12" s="471">
        <v>149204</v>
      </c>
      <c r="L12" s="309"/>
    </row>
    <row r="13" spans="2:12">
      <c r="B13" s="279">
        <v>2021</v>
      </c>
      <c r="C13" s="471">
        <v>1845158</v>
      </c>
      <c r="D13" s="471">
        <v>135183</v>
      </c>
      <c r="E13" s="471">
        <v>106093</v>
      </c>
      <c r="F13" s="471">
        <v>148830</v>
      </c>
      <c r="G13" s="471">
        <v>109828</v>
      </c>
      <c r="H13" s="471">
        <v>116413</v>
      </c>
      <c r="I13" s="471">
        <v>146612</v>
      </c>
      <c r="J13" s="471">
        <v>941514</v>
      </c>
      <c r="K13" s="471">
        <v>140685</v>
      </c>
      <c r="L13" s="309"/>
    </row>
    <row r="14" spans="2:12">
      <c r="B14" s="279">
        <v>2022</v>
      </c>
      <c r="C14" s="471">
        <v>1911361</v>
      </c>
      <c r="D14" s="471">
        <v>137876</v>
      </c>
      <c r="E14" s="471">
        <v>120495</v>
      </c>
      <c r="F14" s="471">
        <v>153385</v>
      </c>
      <c r="G14" s="471">
        <v>107439</v>
      </c>
      <c r="H14" s="471">
        <v>131490</v>
      </c>
      <c r="I14" s="471">
        <v>138568</v>
      </c>
      <c r="J14" s="471">
        <v>990611</v>
      </c>
      <c r="K14" s="471">
        <v>131497</v>
      </c>
      <c r="L14" s="309"/>
    </row>
    <row r="15" spans="2:12">
      <c r="B15" s="279">
        <v>2023</v>
      </c>
      <c r="C15" s="471">
        <v>1878234</v>
      </c>
      <c r="D15" s="471">
        <v>137966</v>
      </c>
      <c r="E15" s="471">
        <v>119375</v>
      </c>
      <c r="F15" s="471">
        <v>146751</v>
      </c>
      <c r="G15" s="471">
        <v>109623</v>
      </c>
      <c r="H15" s="471">
        <v>122859</v>
      </c>
      <c r="I15" s="471">
        <v>136233</v>
      </c>
      <c r="J15" s="471">
        <v>980854</v>
      </c>
      <c r="K15" s="471">
        <v>124573</v>
      </c>
      <c r="L15" s="309"/>
    </row>
    <row r="16" spans="2:12" ht="6.55" customHeight="1">
      <c r="B16" s="941"/>
      <c r="C16" s="942"/>
      <c r="D16" s="942"/>
      <c r="E16" s="942"/>
      <c r="F16" s="942"/>
      <c r="G16" s="942"/>
      <c r="H16" s="942"/>
      <c r="I16" s="942"/>
      <c r="J16" s="942"/>
      <c r="K16" s="943"/>
      <c r="L16" s="309"/>
    </row>
    <row r="17" spans="2:12" s="71" customFormat="1" ht="13.75" customHeight="1">
      <c r="B17" s="945">
        <v>2024</v>
      </c>
      <c r="C17" s="946"/>
      <c r="D17" s="946"/>
      <c r="E17" s="946"/>
      <c r="F17" s="946"/>
      <c r="G17" s="946"/>
      <c r="H17" s="946"/>
      <c r="I17" s="946"/>
      <c r="J17" s="946"/>
      <c r="K17" s="947"/>
      <c r="L17" s="472"/>
    </row>
    <row r="18" spans="2:12" s="71" customFormat="1" ht="13.75" customHeight="1">
      <c r="B18" s="269" t="s">
        <v>212</v>
      </c>
      <c r="C18" s="470">
        <v>156066</v>
      </c>
      <c r="D18" s="470">
        <v>11515</v>
      </c>
      <c r="E18" s="470">
        <v>9516</v>
      </c>
      <c r="F18" s="470">
        <v>14480</v>
      </c>
      <c r="G18" s="470">
        <v>8863</v>
      </c>
      <c r="H18" s="470">
        <v>8095</v>
      </c>
      <c r="I18" s="470">
        <v>11779</v>
      </c>
      <c r="J18" s="470">
        <v>81003</v>
      </c>
      <c r="K18" s="470">
        <v>10815</v>
      </c>
      <c r="L18" s="22"/>
    </row>
    <row r="19" spans="2:12" s="71" customFormat="1" ht="13.75" customHeight="1">
      <c r="B19" s="269" t="s">
        <v>213</v>
      </c>
      <c r="C19" s="470">
        <v>141437</v>
      </c>
      <c r="D19" s="470">
        <v>11255</v>
      </c>
      <c r="E19" s="470">
        <v>8200</v>
      </c>
      <c r="F19" s="470">
        <v>13617</v>
      </c>
      <c r="G19" s="470">
        <v>8303</v>
      </c>
      <c r="H19" s="470">
        <v>8045</v>
      </c>
      <c r="I19" s="470">
        <v>11567</v>
      </c>
      <c r="J19" s="470">
        <v>71236</v>
      </c>
      <c r="K19" s="470">
        <v>9214</v>
      </c>
      <c r="L19" s="22"/>
    </row>
    <row r="20" spans="2:12" s="71" customFormat="1" ht="13.75" customHeight="1">
      <c r="B20" s="269" t="s">
        <v>214</v>
      </c>
      <c r="C20" s="470">
        <v>156973</v>
      </c>
      <c r="D20" s="470">
        <v>10880</v>
      </c>
      <c r="E20" s="470">
        <v>10038</v>
      </c>
      <c r="F20" s="470">
        <v>13811</v>
      </c>
      <c r="G20" s="470">
        <v>8681</v>
      </c>
      <c r="H20" s="470">
        <v>9107</v>
      </c>
      <c r="I20" s="470">
        <v>12133</v>
      </c>
      <c r="J20" s="470">
        <v>82209</v>
      </c>
      <c r="K20" s="470">
        <v>10114</v>
      </c>
      <c r="L20" s="22"/>
    </row>
    <row r="21" spans="2:12" s="71" customFormat="1" ht="13.75" customHeight="1">
      <c r="B21" s="269" t="s">
        <v>215</v>
      </c>
      <c r="C21" s="470">
        <v>163458</v>
      </c>
      <c r="D21" s="470">
        <v>11791</v>
      </c>
      <c r="E21" s="470">
        <v>10566</v>
      </c>
      <c r="F21" s="470">
        <v>12980</v>
      </c>
      <c r="G21" s="470">
        <v>7811</v>
      </c>
      <c r="H21" s="470">
        <v>10240</v>
      </c>
      <c r="I21" s="470">
        <v>12930</v>
      </c>
      <c r="J21" s="470">
        <v>87902</v>
      </c>
      <c r="K21" s="470">
        <v>9238</v>
      </c>
      <c r="L21" s="22"/>
    </row>
    <row r="22" spans="2:12" s="71" customFormat="1" ht="13.75" customHeight="1">
      <c r="B22" s="269" t="s">
        <v>216</v>
      </c>
      <c r="C22" s="470">
        <v>163704</v>
      </c>
      <c r="D22" s="470">
        <v>11505</v>
      </c>
      <c r="E22" s="470">
        <v>10910</v>
      </c>
      <c r="F22" s="470">
        <v>14634</v>
      </c>
      <c r="G22" s="470">
        <v>9842</v>
      </c>
      <c r="H22" s="470">
        <v>9485</v>
      </c>
      <c r="I22" s="470">
        <v>12152</v>
      </c>
      <c r="J22" s="470">
        <v>87622</v>
      </c>
      <c r="K22" s="470">
        <v>7554</v>
      </c>
      <c r="L22" s="22"/>
    </row>
    <row r="23" spans="2:12" s="71" customFormat="1" ht="13.75" customHeight="1">
      <c r="B23" s="269" t="s">
        <v>217</v>
      </c>
      <c r="C23" s="470">
        <v>154612</v>
      </c>
      <c r="D23" s="470">
        <v>10645</v>
      </c>
      <c r="E23" s="470">
        <v>8697</v>
      </c>
      <c r="F23" s="470">
        <v>12556</v>
      </c>
      <c r="G23" s="470">
        <v>8619</v>
      </c>
      <c r="H23" s="470">
        <v>10314</v>
      </c>
      <c r="I23" s="470">
        <v>11614</v>
      </c>
      <c r="J23" s="470">
        <v>83495</v>
      </c>
      <c r="K23" s="470">
        <v>8672</v>
      </c>
      <c r="L23" s="22"/>
    </row>
    <row r="24" spans="2:12" s="71" customFormat="1" ht="13.75" customHeight="1">
      <c r="B24" s="269" t="s">
        <v>218</v>
      </c>
      <c r="C24" s="470">
        <v>173513</v>
      </c>
      <c r="D24" s="470">
        <v>11708</v>
      </c>
      <c r="E24" s="470">
        <v>9673</v>
      </c>
      <c r="F24" s="470">
        <v>14269</v>
      </c>
      <c r="G24" s="470">
        <v>9934</v>
      </c>
      <c r="H24" s="470">
        <v>11039</v>
      </c>
      <c r="I24" s="470">
        <v>12304</v>
      </c>
      <c r="J24" s="470">
        <v>94684</v>
      </c>
      <c r="K24" s="470">
        <v>9902</v>
      </c>
      <c r="L24" s="22"/>
    </row>
    <row r="25" spans="2:12" s="71" customFormat="1" ht="13.75" customHeight="1">
      <c r="B25" s="269" t="s">
        <v>219</v>
      </c>
      <c r="C25" s="470"/>
      <c r="D25" s="470"/>
      <c r="E25" s="470"/>
      <c r="F25" s="470"/>
      <c r="G25" s="470"/>
      <c r="H25" s="470"/>
      <c r="I25" s="470"/>
      <c r="J25" s="470"/>
      <c r="K25" s="470"/>
      <c r="L25" s="22"/>
    </row>
    <row r="26" spans="2:12" s="71" customFormat="1" ht="13.75" customHeight="1">
      <c r="B26" s="269" t="s">
        <v>220</v>
      </c>
      <c r="C26" s="470"/>
      <c r="D26" s="470"/>
      <c r="E26" s="470"/>
      <c r="F26" s="470"/>
      <c r="G26" s="470"/>
      <c r="H26" s="470"/>
      <c r="I26" s="470"/>
      <c r="J26" s="470"/>
      <c r="K26" s="470"/>
      <c r="L26" s="22"/>
    </row>
    <row r="27" spans="2:12" s="71" customFormat="1" ht="13.75" customHeight="1">
      <c r="B27" s="269" t="s">
        <v>221</v>
      </c>
      <c r="C27" s="470"/>
      <c r="D27" s="470"/>
      <c r="E27" s="470"/>
      <c r="F27" s="470"/>
      <c r="G27" s="470"/>
      <c r="H27" s="470"/>
      <c r="I27" s="470"/>
      <c r="J27" s="470"/>
      <c r="K27" s="470"/>
      <c r="L27" s="22"/>
    </row>
    <row r="28" spans="2:12" s="71" customFormat="1" ht="13.75" customHeight="1">
      <c r="B28" s="269" t="s">
        <v>206</v>
      </c>
      <c r="C28" s="470"/>
      <c r="D28" s="470"/>
      <c r="E28" s="470"/>
      <c r="F28" s="470"/>
      <c r="G28" s="470"/>
      <c r="H28" s="470"/>
      <c r="I28" s="470"/>
      <c r="J28" s="470"/>
      <c r="K28" s="470"/>
      <c r="L28" s="22"/>
    </row>
    <row r="29" spans="2:12" s="71" customFormat="1" ht="13.75" customHeight="1">
      <c r="B29" s="269" t="s">
        <v>207</v>
      </c>
      <c r="C29" s="587"/>
      <c r="D29" s="587"/>
      <c r="E29" s="587"/>
      <c r="F29" s="587"/>
      <c r="G29" s="587"/>
      <c r="H29" s="587"/>
      <c r="I29" s="587"/>
      <c r="J29" s="587"/>
      <c r="K29" s="587"/>
      <c r="L29" s="22"/>
    </row>
    <row r="30" spans="2:12" s="71" customFormat="1" ht="13.75" customHeight="1">
      <c r="B30" s="269" t="s">
        <v>208</v>
      </c>
      <c r="C30" s="474">
        <f t="shared" ref="C30:K30" si="0">SUM(C18:C29)</f>
        <v>1109763</v>
      </c>
      <c r="D30" s="474">
        <f t="shared" si="0"/>
        <v>79299</v>
      </c>
      <c r="E30" s="474">
        <f t="shared" si="0"/>
        <v>67600</v>
      </c>
      <c r="F30" s="474">
        <f t="shared" si="0"/>
        <v>96347</v>
      </c>
      <c r="G30" s="474">
        <f t="shared" si="0"/>
        <v>62053</v>
      </c>
      <c r="H30" s="474">
        <f t="shared" si="0"/>
        <v>66325</v>
      </c>
      <c r="I30" s="474">
        <f t="shared" si="0"/>
        <v>84479</v>
      </c>
      <c r="J30" s="474">
        <f t="shared" si="0"/>
        <v>588151</v>
      </c>
      <c r="K30" s="474">
        <f t="shared" si="0"/>
        <v>65509</v>
      </c>
      <c r="L30" s="22"/>
    </row>
    <row r="31" spans="2:12" ht="11.15" customHeight="1">
      <c r="B31" s="940" t="s">
        <v>363</v>
      </c>
      <c r="C31" s="940"/>
      <c r="D31" s="582"/>
      <c r="E31" s="582"/>
      <c r="F31" s="582"/>
      <c r="G31" s="582"/>
      <c r="H31" s="582"/>
      <c r="I31" s="582"/>
      <c r="J31" s="582"/>
      <c r="K31" s="582"/>
      <c r="L31" s="429"/>
    </row>
    <row r="32" spans="2:12" ht="12.8" customHeight="1">
      <c r="B32" s="940" t="s">
        <v>364</v>
      </c>
      <c r="C32" s="940"/>
      <c r="D32" s="940"/>
      <c r="E32" s="940"/>
      <c r="F32" s="940"/>
      <c r="G32" s="940"/>
      <c r="H32" s="940"/>
      <c r="I32" s="940"/>
      <c r="J32" s="940"/>
      <c r="K32" s="429"/>
      <c r="L32" s="429"/>
    </row>
    <row r="33" spans="2:12">
      <c r="B33" s="939" t="s">
        <v>377</v>
      </c>
      <c r="C33" s="939"/>
      <c r="D33" s="309"/>
      <c r="E33" s="309"/>
      <c r="F33" s="309"/>
      <c r="G33" s="309"/>
      <c r="H33" s="309"/>
      <c r="I33" s="309"/>
      <c r="J33" s="309"/>
      <c r="K33" s="309"/>
      <c r="L33" s="309"/>
    </row>
    <row r="34" spans="2:12">
      <c r="B34" s="937" t="s">
        <v>367</v>
      </c>
      <c r="C34" s="938"/>
      <c r="D34" s="471"/>
      <c r="E34" s="471"/>
      <c r="F34" s="471"/>
      <c r="G34" s="471"/>
      <c r="H34" s="471"/>
      <c r="I34" s="471"/>
      <c r="J34" s="471"/>
      <c r="K34" s="471"/>
      <c r="L34" s="309"/>
    </row>
    <row r="35" spans="2:12">
      <c r="B35" s="937" t="s">
        <v>368</v>
      </c>
      <c r="C35" s="938"/>
      <c r="D35" s="538">
        <v>9.9859088774070006</v>
      </c>
      <c r="E35" s="538">
        <v>11.222260549614999</v>
      </c>
      <c r="F35" s="538">
        <v>13.642879898057</v>
      </c>
      <c r="G35" s="538">
        <v>15.256990370113</v>
      </c>
      <c r="H35" s="538">
        <v>7.0292805894899999</v>
      </c>
      <c r="I35" s="538">
        <v>5.9411055622519999</v>
      </c>
      <c r="J35" s="538">
        <v>13.40080244326</v>
      </c>
      <c r="K35" s="538">
        <v>14.183579335793</v>
      </c>
      <c r="L35" s="73"/>
    </row>
    <row r="36" spans="2:12">
      <c r="B36" s="936" t="s">
        <v>369</v>
      </c>
      <c r="C36" s="936"/>
      <c r="D36" s="538">
        <v>-7.005559968229</v>
      </c>
      <c r="E36" s="538">
        <v>-3.8182360544890002</v>
      </c>
      <c r="F36" s="538">
        <v>56.888400219901001</v>
      </c>
      <c r="G36" s="538">
        <v>3.3069883527449999</v>
      </c>
      <c r="H36" s="538">
        <v>2.3930989704110002</v>
      </c>
      <c r="I36" s="538">
        <v>-6.1622940817570004</v>
      </c>
      <c r="J36" s="538">
        <v>2.6607394557089998</v>
      </c>
      <c r="K36" s="538">
        <v>-13.239288530623</v>
      </c>
      <c r="L36" s="73"/>
    </row>
    <row r="37" spans="2:12">
      <c r="B37" s="936" t="s">
        <v>370</v>
      </c>
      <c r="C37" s="936"/>
      <c r="D37" s="538">
        <v>-0.66640778644900001</v>
      </c>
      <c r="E37" s="538">
        <v>-0.98719864077099995</v>
      </c>
      <c r="F37" s="538">
        <v>18.079539187449999</v>
      </c>
      <c r="G37" s="538">
        <v>-4.0897077234579999</v>
      </c>
      <c r="H37" s="538">
        <v>-8.4275635449890007</v>
      </c>
      <c r="I37" s="538">
        <v>7.6357566954619998</v>
      </c>
      <c r="J37" s="538">
        <v>3.2153505700829998</v>
      </c>
      <c r="K37" s="538">
        <v>-12.380124389755</v>
      </c>
      <c r="L37" s="73"/>
    </row>
    <row r="40" spans="2:12" ht="17.7">
      <c r="B40" s="309"/>
      <c r="C40" s="582"/>
      <c r="D40" s="309"/>
      <c r="E40" s="309"/>
      <c r="F40" s="309"/>
      <c r="G40" s="309"/>
      <c r="H40" s="309"/>
      <c r="I40" s="309"/>
      <c r="J40" s="309"/>
      <c r="K40" s="309"/>
      <c r="L40" s="309"/>
    </row>
    <row r="41" spans="2:12" ht="17.7">
      <c r="B41" s="309"/>
      <c r="C41" s="582"/>
      <c r="D41" s="309"/>
      <c r="E41" s="309"/>
      <c r="F41" s="309"/>
      <c r="G41" s="309"/>
      <c r="H41" s="309"/>
      <c r="I41" s="309" t="s">
        <v>97</v>
      </c>
      <c r="J41" s="309"/>
      <c r="K41" s="309"/>
      <c r="L41" s="309"/>
    </row>
    <row r="42" spans="2:12" ht="17.7">
      <c r="B42" s="309"/>
      <c r="C42" s="582"/>
      <c r="D42" s="309"/>
      <c r="E42" s="309"/>
      <c r="F42" s="309"/>
      <c r="G42" s="309"/>
      <c r="H42" s="309"/>
      <c r="I42" s="309"/>
      <c r="J42" s="309"/>
      <c r="K42" s="309"/>
      <c r="L42" s="309"/>
    </row>
  </sheetData>
  <mergeCells count="12">
    <mergeCell ref="B32:J32"/>
    <mergeCell ref="B16:K16"/>
    <mergeCell ref="B1:K1"/>
    <mergeCell ref="B2:K2"/>
    <mergeCell ref="B3:K3"/>
    <mergeCell ref="B31:C31"/>
    <mergeCell ref="B17:K17"/>
    <mergeCell ref="B37:C37"/>
    <mergeCell ref="B36:C36"/>
    <mergeCell ref="B35:C35"/>
    <mergeCell ref="B34:C34"/>
    <mergeCell ref="B33:C33"/>
  </mergeCells>
  <phoneticPr fontId="47" type="noConversion"/>
  <pageMargins left="0.70866141732283472" right="0.70866141732283472" top="0.74803149606299213" bottom="0.74803149606299213" header="0.31496062992125984" footer="0.31496062992125984"/>
  <pageSetup paperSize="126" scale="98" orientation="landscape" r:id="rId1"/>
  <headerFooter>
    <oddFooter>&amp;C&amp;"Arial,Normal"&amp;11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8070-71E7-4392-AE48-3923709A9F76}">
  <sheetPr>
    <pageSetUpPr fitToPage="1"/>
  </sheetPr>
  <dimension ref="B1:W39"/>
  <sheetViews>
    <sheetView zoomScaleNormal="100" workbookViewId="0">
      <selection activeCell="O43" sqref="O43"/>
    </sheetView>
  </sheetViews>
  <sheetFormatPr baseColWidth="10" defaultColWidth="10.9140625" defaultRowHeight="12.45"/>
  <cols>
    <col min="1" max="1" width="2.6640625" style="310" customWidth="1"/>
    <col min="2" max="2" width="7.33203125" style="310" customWidth="1"/>
    <col min="3" max="3" width="7.25" style="310" customWidth="1"/>
    <col min="4" max="4" width="7.25" style="310" hidden="1" customWidth="1"/>
    <col min="5" max="5" width="11.25" style="310" customWidth="1"/>
    <col min="6" max="6" width="7.25" style="310" hidden="1" customWidth="1"/>
    <col min="7" max="7" width="7.6640625" style="310" customWidth="1"/>
    <col min="8" max="8" width="7.25" style="310" hidden="1" customWidth="1"/>
    <col min="9" max="9" width="7.6640625" style="310" customWidth="1"/>
    <col min="10" max="10" width="7.25" style="310" hidden="1" customWidth="1"/>
    <col min="11" max="11" width="7.6640625" style="310" customWidth="1"/>
    <col min="12" max="12" width="7.25" style="310" hidden="1" customWidth="1"/>
    <col min="13" max="13" width="7.6640625" style="310" customWidth="1"/>
    <col min="14" max="14" width="7.25" style="310" hidden="1" customWidth="1"/>
    <col min="15" max="15" width="7.6640625" style="310" customWidth="1"/>
    <col min="16" max="16" width="7.25" style="310" hidden="1" customWidth="1"/>
    <col min="17" max="17" width="7.6640625" style="310" customWidth="1"/>
    <col min="18" max="18" width="7.25" style="310" hidden="1" customWidth="1"/>
    <col min="19" max="19" width="8.6640625" style="310" customWidth="1"/>
    <col min="20" max="20" width="4.9140625" style="310" bestFit="1" customWidth="1"/>
    <col min="21" max="16384" width="10.9140625" style="310"/>
  </cols>
  <sheetData>
    <row r="1" spans="2:23" s="309" customFormat="1" ht="12.8" customHeight="1">
      <c r="B1" s="791" t="s">
        <v>378</v>
      </c>
      <c r="C1" s="791"/>
      <c r="D1" s="791"/>
      <c r="E1" s="791"/>
      <c r="F1" s="791"/>
      <c r="G1" s="791"/>
      <c r="H1" s="791"/>
      <c r="I1" s="791"/>
      <c r="J1" s="791"/>
      <c r="K1" s="791"/>
      <c r="L1" s="791"/>
      <c r="M1" s="791"/>
      <c r="N1" s="791"/>
      <c r="O1" s="791"/>
      <c r="P1" s="791"/>
      <c r="Q1" s="791"/>
      <c r="R1" s="791"/>
      <c r="S1" s="791"/>
    </row>
    <row r="2" spans="2:23" s="309" customFormat="1" ht="14.25" customHeight="1">
      <c r="B2" s="791" t="s">
        <v>61</v>
      </c>
      <c r="C2" s="791"/>
      <c r="D2" s="791"/>
      <c r="E2" s="791"/>
      <c r="F2" s="791"/>
      <c r="G2" s="791"/>
      <c r="H2" s="791"/>
      <c r="I2" s="791"/>
      <c r="J2" s="791"/>
      <c r="K2" s="791"/>
      <c r="L2" s="791"/>
      <c r="M2" s="791"/>
      <c r="N2" s="791"/>
      <c r="O2" s="791"/>
      <c r="P2" s="791"/>
      <c r="Q2" s="791"/>
      <c r="R2" s="791"/>
      <c r="S2" s="791"/>
    </row>
    <row r="3" spans="2:23" ht="14.25" customHeight="1">
      <c r="B3" s="791" t="s">
        <v>192</v>
      </c>
      <c r="C3" s="791"/>
      <c r="D3" s="791"/>
      <c r="E3" s="791"/>
      <c r="F3" s="791"/>
      <c r="G3" s="791"/>
      <c r="H3" s="791"/>
      <c r="I3" s="791"/>
      <c r="J3" s="791"/>
      <c r="K3" s="791"/>
      <c r="L3" s="791"/>
      <c r="M3" s="791"/>
      <c r="N3" s="791"/>
      <c r="O3" s="791"/>
      <c r="P3" s="791"/>
      <c r="Q3" s="791"/>
      <c r="R3" s="791"/>
      <c r="S3" s="791"/>
    </row>
    <row r="4" spans="2:23" ht="13.1">
      <c r="B4" s="954" t="s">
        <v>193</v>
      </c>
      <c r="C4" s="954" t="s">
        <v>211</v>
      </c>
      <c r="D4" s="955" t="s">
        <v>379</v>
      </c>
      <c r="E4" s="956"/>
      <c r="F4" s="956"/>
      <c r="G4" s="956"/>
      <c r="H4" s="956"/>
      <c r="I4" s="956"/>
      <c r="J4" s="956"/>
      <c r="K4" s="956"/>
      <c r="L4" s="956"/>
      <c r="M4" s="956"/>
      <c r="N4" s="956"/>
      <c r="O4" s="956"/>
      <c r="P4" s="956"/>
      <c r="Q4" s="956"/>
      <c r="R4" s="956"/>
      <c r="S4" s="957"/>
    </row>
    <row r="5" spans="2:23" ht="26.85" customHeight="1">
      <c r="B5" s="954"/>
      <c r="C5" s="954"/>
      <c r="D5" s="958" t="s">
        <v>380</v>
      </c>
      <c r="E5" s="959"/>
      <c r="F5" s="955" t="s">
        <v>154</v>
      </c>
      <c r="G5" s="957"/>
      <c r="H5" s="955" t="s">
        <v>156</v>
      </c>
      <c r="I5" s="957"/>
      <c r="J5" s="955" t="s">
        <v>381</v>
      </c>
      <c r="K5" s="957"/>
      <c r="L5" s="955" t="s">
        <v>158</v>
      </c>
      <c r="M5" s="957"/>
      <c r="N5" s="955" t="s">
        <v>382</v>
      </c>
      <c r="O5" s="957"/>
      <c r="P5" s="958" t="s">
        <v>383</v>
      </c>
      <c r="Q5" s="959"/>
      <c r="R5" s="955" t="s">
        <v>155</v>
      </c>
      <c r="S5" s="957"/>
    </row>
    <row r="6" spans="2:23" ht="13.1">
      <c r="B6" s="954"/>
      <c r="C6" s="954"/>
      <c r="D6" s="311" t="s">
        <v>384</v>
      </c>
      <c r="E6" s="375" t="s">
        <v>385</v>
      </c>
      <c r="F6" s="375" t="s">
        <v>384</v>
      </c>
      <c r="G6" s="375" t="s">
        <v>385</v>
      </c>
      <c r="H6" s="375" t="s">
        <v>384</v>
      </c>
      <c r="I6" s="375" t="s">
        <v>385</v>
      </c>
      <c r="J6" s="375" t="s">
        <v>384</v>
      </c>
      <c r="K6" s="375" t="s">
        <v>385</v>
      </c>
      <c r="L6" s="375" t="s">
        <v>384</v>
      </c>
      <c r="M6" s="375" t="s">
        <v>385</v>
      </c>
      <c r="N6" s="375" t="s">
        <v>384</v>
      </c>
      <c r="O6" s="375" t="s">
        <v>385</v>
      </c>
      <c r="P6" s="375" t="s">
        <v>384</v>
      </c>
      <c r="Q6" s="375" t="s">
        <v>385</v>
      </c>
      <c r="R6" s="375" t="s">
        <v>384</v>
      </c>
      <c r="S6" s="375" t="s">
        <v>385</v>
      </c>
    </row>
    <row r="7" spans="2:23" ht="14.4" customHeight="1">
      <c r="B7" s="948">
        <v>2022</v>
      </c>
      <c r="C7" s="418" t="s">
        <v>212</v>
      </c>
      <c r="D7" s="419">
        <v>4940</v>
      </c>
      <c r="E7" s="420">
        <v>6052</v>
      </c>
      <c r="F7" s="420">
        <v>2905</v>
      </c>
      <c r="G7" s="420">
        <v>3375</v>
      </c>
      <c r="H7" s="420">
        <v>4714</v>
      </c>
      <c r="I7" s="420">
        <v>5316</v>
      </c>
      <c r="J7" s="420">
        <v>1470</v>
      </c>
      <c r="K7" s="420">
        <v>1935</v>
      </c>
      <c r="L7" s="420">
        <v>2373</v>
      </c>
      <c r="M7" s="420">
        <v>2611</v>
      </c>
      <c r="N7" s="420">
        <v>1879</v>
      </c>
      <c r="O7" s="420">
        <v>1945</v>
      </c>
      <c r="P7" s="420">
        <v>7233</v>
      </c>
      <c r="Q7" s="420">
        <v>7465</v>
      </c>
      <c r="R7" s="420">
        <v>18562</v>
      </c>
      <c r="S7" s="420">
        <v>23801</v>
      </c>
      <c r="W7" s="310" t="s">
        <v>97</v>
      </c>
    </row>
    <row r="8" spans="2:23" ht="13.75" customHeight="1">
      <c r="B8" s="949"/>
      <c r="C8" s="418" t="s">
        <v>213</v>
      </c>
      <c r="D8" s="419">
        <v>6052</v>
      </c>
      <c r="E8" s="420">
        <v>5427</v>
      </c>
      <c r="F8" s="420">
        <v>3375</v>
      </c>
      <c r="G8" s="420">
        <v>3579</v>
      </c>
      <c r="H8" s="420">
        <v>5316</v>
      </c>
      <c r="I8" s="420">
        <v>3322</v>
      </c>
      <c r="J8" s="420">
        <v>1935</v>
      </c>
      <c r="K8" s="420">
        <v>1658</v>
      </c>
      <c r="L8" s="420">
        <v>2611</v>
      </c>
      <c r="M8" s="420">
        <v>2910</v>
      </c>
      <c r="N8" s="420">
        <v>1945</v>
      </c>
      <c r="O8" s="420">
        <v>1910</v>
      </c>
      <c r="P8" s="420">
        <v>7465</v>
      </c>
      <c r="Q8" s="420">
        <v>7688</v>
      </c>
      <c r="R8" s="420">
        <v>23801</v>
      </c>
      <c r="S8" s="420">
        <v>28226</v>
      </c>
    </row>
    <row r="9" spans="2:23">
      <c r="B9" s="949"/>
      <c r="C9" s="418" t="s">
        <v>214</v>
      </c>
      <c r="D9" s="419">
        <v>5427</v>
      </c>
      <c r="E9" s="420">
        <v>4497</v>
      </c>
      <c r="F9" s="420">
        <v>3579</v>
      </c>
      <c r="G9" s="420">
        <v>3282</v>
      </c>
      <c r="H9" s="420">
        <v>3322</v>
      </c>
      <c r="I9" s="420">
        <v>2761</v>
      </c>
      <c r="J9" s="420">
        <v>1658</v>
      </c>
      <c r="K9" s="420">
        <v>1587</v>
      </c>
      <c r="L9" s="420">
        <v>2910</v>
      </c>
      <c r="M9" s="420">
        <v>2351</v>
      </c>
      <c r="N9" s="420">
        <v>1910</v>
      </c>
      <c r="O9" s="420">
        <v>1745</v>
      </c>
      <c r="P9" s="420">
        <v>7688</v>
      </c>
      <c r="Q9" s="420">
        <v>7632</v>
      </c>
      <c r="R9" s="420">
        <v>28226</v>
      </c>
      <c r="S9" s="420">
        <v>28338</v>
      </c>
    </row>
    <row r="10" spans="2:23" ht="15.05" customHeight="1">
      <c r="B10" s="949"/>
      <c r="C10" s="418" t="s">
        <v>215</v>
      </c>
      <c r="D10" s="419">
        <v>4497</v>
      </c>
      <c r="E10" s="420">
        <v>4892</v>
      </c>
      <c r="F10" s="420">
        <v>3282</v>
      </c>
      <c r="G10" s="420">
        <v>2858</v>
      </c>
      <c r="H10" s="420">
        <v>2761</v>
      </c>
      <c r="I10" s="420">
        <v>3177</v>
      </c>
      <c r="J10" s="420">
        <v>1587</v>
      </c>
      <c r="K10" s="420">
        <v>1665</v>
      </c>
      <c r="L10" s="420">
        <v>2351</v>
      </c>
      <c r="M10" s="420">
        <v>2636</v>
      </c>
      <c r="N10" s="420">
        <v>1745</v>
      </c>
      <c r="O10" s="420">
        <v>1712</v>
      </c>
      <c r="P10" s="420">
        <v>7632</v>
      </c>
      <c r="Q10" s="420">
        <v>7789</v>
      </c>
      <c r="R10" s="420">
        <v>28338</v>
      </c>
      <c r="S10" s="420">
        <v>25880</v>
      </c>
      <c r="U10" s="225"/>
      <c r="V10" s="225"/>
    </row>
    <row r="11" spans="2:23" ht="12.45" customHeight="1">
      <c r="B11" s="949"/>
      <c r="C11" s="418" t="s">
        <v>216</v>
      </c>
      <c r="D11" s="419">
        <v>4892</v>
      </c>
      <c r="E11" s="420">
        <v>4797</v>
      </c>
      <c r="F11" s="420">
        <v>2858</v>
      </c>
      <c r="G11" s="420">
        <v>3405</v>
      </c>
      <c r="H11" s="420">
        <v>3177</v>
      </c>
      <c r="I11" s="420">
        <v>2736</v>
      </c>
      <c r="J11" s="420">
        <v>1665</v>
      </c>
      <c r="K11" s="420">
        <v>1343</v>
      </c>
      <c r="L11" s="420">
        <v>2636</v>
      </c>
      <c r="M11" s="420">
        <v>2638</v>
      </c>
      <c r="N11" s="420">
        <v>1712</v>
      </c>
      <c r="O11" s="420">
        <v>1914</v>
      </c>
      <c r="P11" s="420">
        <v>7789</v>
      </c>
      <c r="Q11" s="420">
        <v>8373</v>
      </c>
      <c r="R11" s="420">
        <v>25880</v>
      </c>
      <c r="S11" s="420">
        <v>26384</v>
      </c>
      <c r="U11" s="225"/>
    </row>
    <row r="12" spans="2:23">
      <c r="B12" s="949"/>
      <c r="C12" s="418" t="s">
        <v>217</v>
      </c>
      <c r="D12" s="419">
        <v>4797</v>
      </c>
      <c r="E12" s="420">
        <v>4481</v>
      </c>
      <c r="F12" s="420">
        <v>3405</v>
      </c>
      <c r="G12" s="420">
        <v>3207</v>
      </c>
      <c r="H12" s="420">
        <v>2736</v>
      </c>
      <c r="I12" s="420">
        <v>3344</v>
      </c>
      <c r="J12" s="420">
        <v>1343</v>
      </c>
      <c r="K12" s="420">
        <v>1445</v>
      </c>
      <c r="L12" s="420">
        <v>2638</v>
      </c>
      <c r="M12" s="420">
        <v>2214</v>
      </c>
      <c r="N12" s="420">
        <v>1914</v>
      </c>
      <c r="O12" s="420">
        <v>1962</v>
      </c>
      <c r="P12" s="420">
        <v>8373</v>
      </c>
      <c r="Q12" s="420">
        <v>6926</v>
      </c>
      <c r="R12" s="420">
        <v>26384</v>
      </c>
      <c r="S12" s="420">
        <v>27976</v>
      </c>
    </row>
    <row r="13" spans="2:23">
      <c r="B13" s="949"/>
      <c r="C13" s="418" t="s">
        <v>218</v>
      </c>
      <c r="D13" s="419">
        <v>4481</v>
      </c>
      <c r="E13" s="420">
        <v>5338</v>
      </c>
      <c r="F13" s="420">
        <v>3207</v>
      </c>
      <c r="G13" s="420">
        <v>3593</v>
      </c>
      <c r="H13" s="420">
        <v>3344</v>
      </c>
      <c r="I13" s="420">
        <v>3313</v>
      </c>
      <c r="J13" s="420">
        <v>1445</v>
      </c>
      <c r="K13" s="420">
        <v>1825</v>
      </c>
      <c r="L13" s="420">
        <v>2214</v>
      </c>
      <c r="M13" s="420">
        <v>1786</v>
      </c>
      <c r="N13" s="420">
        <v>1962</v>
      </c>
      <c r="O13" s="420">
        <v>2163</v>
      </c>
      <c r="P13" s="420">
        <v>6926</v>
      </c>
      <c r="Q13" s="420">
        <v>8049</v>
      </c>
      <c r="R13" s="420">
        <v>27976</v>
      </c>
      <c r="S13" s="420">
        <v>28039</v>
      </c>
    </row>
    <row r="14" spans="2:23">
      <c r="B14" s="949"/>
      <c r="C14" s="418" t="s">
        <v>219</v>
      </c>
      <c r="D14" s="419">
        <v>5338</v>
      </c>
      <c r="E14" s="420">
        <v>4885</v>
      </c>
      <c r="F14" s="420">
        <v>3593</v>
      </c>
      <c r="G14" s="420">
        <v>3894</v>
      </c>
      <c r="H14" s="420">
        <v>3313</v>
      </c>
      <c r="I14" s="420">
        <v>3602</v>
      </c>
      <c r="J14" s="420">
        <v>1825</v>
      </c>
      <c r="K14" s="420">
        <v>1486</v>
      </c>
      <c r="L14" s="420">
        <v>1786</v>
      </c>
      <c r="M14" s="420">
        <v>2195</v>
      </c>
      <c r="N14" s="420">
        <v>2163</v>
      </c>
      <c r="O14" s="420">
        <v>1981</v>
      </c>
      <c r="P14" s="420">
        <v>8049</v>
      </c>
      <c r="Q14" s="420">
        <v>7983</v>
      </c>
      <c r="R14" s="420">
        <v>28039</v>
      </c>
      <c r="S14" s="420">
        <v>18570</v>
      </c>
    </row>
    <row r="15" spans="2:23">
      <c r="B15" s="949"/>
      <c r="C15" s="418" t="s">
        <v>220</v>
      </c>
      <c r="D15" s="419">
        <v>4885</v>
      </c>
      <c r="E15" s="420">
        <v>4983</v>
      </c>
      <c r="F15" s="420">
        <v>3894</v>
      </c>
      <c r="G15" s="420">
        <v>3423</v>
      </c>
      <c r="H15" s="420">
        <v>3602</v>
      </c>
      <c r="I15" s="420">
        <v>3049</v>
      </c>
      <c r="J15" s="420">
        <v>1486</v>
      </c>
      <c r="K15" s="420">
        <v>1641</v>
      </c>
      <c r="L15" s="420">
        <v>2195</v>
      </c>
      <c r="M15" s="420">
        <v>1909</v>
      </c>
      <c r="N15" s="420">
        <v>1981</v>
      </c>
      <c r="O15" s="420">
        <v>1774</v>
      </c>
      <c r="P15" s="420">
        <v>7983</v>
      </c>
      <c r="Q15" s="420">
        <v>8500</v>
      </c>
      <c r="R15" s="420">
        <v>18570</v>
      </c>
      <c r="S15" s="420">
        <v>18488</v>
      </c>
    </row>
    <row r="16" spans="2:23" ht="15.05" customHeight="1">
      <c r="B16" s="949"/>
      <c r="C16" s="418" t="s">
        <v>221</v>
      </c>
      <c r="D16" s="419">
        <v>4983</v>
      </c>
      <c r="E16" s="420">
        <v>6159</v>
      </c>
      <c r="F16" s="420">
        <v>3423</v>
      </c>
      <c r="G16" s="420">
        <v>4039</v>
      </c>
      <c r="H16" s="420">
        <v>3049</v>
      </c>
      <c r="I16" s="420">
        <v>5721</v>
      </c>
      <c r="J16" s="420">
        <v>1641</v>
      </c>
      <c r="K16" s="420">
        <v>2064</v>
      </c>
      <c r="L16" s="420">
        <v>1909</v>
      </c>
      <c r="M16" s="420">
        <v>2318</v>
      </c>
      <c r="N16" s="420">
        <v>1774</v>
      </c>
      <c r="O16" s="420">
        <v>2610</v>
      </c>
      <c r="P16" s="420">
        <v>8500</v>
      </c>
      <c r="Q16" s="420">
        <v>7656</v>
      </c>
      <c r="R16" s="420">
        <v>18488</v>
      </c>
      <c r="S16" s="420">
        <v>19785</v>
      </c>
    </row>
    <row r="17" spans="2:21">
      <c r="B17" s="949"/>
      <c r="C17" s="418" t="s">
        <v>206</v>
      </c>
      <c r="D17" s="419">
        <v>6159</v>
      </c>
      <c r="E17" s="420">
        <v>5308</v>
      </c>
      <c r="F17" s="420">
        <v>4039</v>
      </c>
      <c r="G17" s="420">
        <v>4178</v>
      </c>
      <c r="H17" s="420">
        <v>5721</v>
      </c>
      <c r="I17" s="420">
        <v>4760</v>
      </c>
      <c r="J17" s="420">
        <v>2064</v>
      </c>
      <c r="K17" s="420">
        <v>1748</v>
      </c>
      <c r="L17" s="420">
        <v>2318</v>
      </c>
      <c r="M17" s="420">
        <v>2179</v>
      </c>
      <c r="N17" s="420">
        <v>2610</v>
      </c>
      <c r="O17" s="420">
        <v>1981</v>
      </c>
      <c r="P17" s="420">
        <v>7656</v>
      </c>
      <c r="Q17" s="420">
        <v>8486</v>
      </c>
      <c r="R17" s="420">
        <v>19785</v>
      </c>
      <c r="S17" s="420">
        <v>19660</v>
      </c>
    </row>
    <row r="18" spans="2:21">
      <c r="B18" s="950"/>
      <c r="C18" s="418" t="s">
        <v>207</v>
      </c>
      <c r="D18" s="419">
        <v>5308</v>
      </c>
      <c r="E18" s="420">
        <v>4675</v>
      </c>
      <c r="F18" s="420">
        <v>4178</v>
      </c>
      <c r="G18" s="420">
        <v>4953</v>
      </c>
      <c r="H18" s="420">
        <v>4760</v>
      </c>
      <c r="I18" s="420">
        <v>4765</v>
      </c>
      <c r="J18" s="420">
        <v>1748</v>
      </c>
      <c r="K18" s="420">
        <v>1611</v>
      </c>
      <c r="L18" s="420">
        <v>2179</v>
      </c>
      <c r="M18" s="420">
        <v>2263</v>
      </c>
      <c r="N18" s="420">
        <v>1981</v>
      </c>
      <c r="O18" s="420">
        <v>2054</v>
      </c>
      <c r="P18" s="420">
        <v>8486</v>
      </c>
      <c r="Q18" s="420">
        <v>10723</v>
      </c>
      <c r="R18" s="420">
        <v>19660</v>
      </c>
      <c r="S18" s="420">
        <v>19983</v>
      </c>
    </row>
    <row r="19" spans="2:21">
      <c r="B19" s="951">
        <v>2023</v>
      </c>
      <c r="C19" s="418" t="s">
        <v>212</v>
      </c>
      <c r="D19" s="419">
        <v>4675</v>
      </c>
      <c r="E19" s="420">
        <v>4942</v>
      </c>
      <c r="F19" s="420">
        <v>4953</v>
      </c>
      <c r="G19" s="420">
        <v>5608</v>
      </c>
      <c r="H19" s="420">
        <v>4765</v>
      </c>
      <c r="I19" s="420">
        <v>5496</v>
      </c>
      <c r="J19" s="420">
        <v>1611</v>
      </c>
      <c r="K19" s="420">
        <v>1315</v>
      </c>
      <c r="L19" s="420">
        <v>2263</v>
      </c>
      <c r="M19" s="420">
        <v>2754</v>
      </c>
      <c r="N19" s="420">
        <v>2054</v>
      </c>
      <c r="O19" s="420">
        <v>1676</v>
      </c>
      <c r="P19" s="420">
        <v>10723</v>
      </c>
      <c r="Q19" s="420">
        <v>10952</v>
      </c>
      <c r="R19" s="420">
        <v>19983</v>
      </c>
      <c r="S19" s="420">
        <v>24444</v>
      </c>
    </row>
    <row r="20" spans="2:21">
      <c r="B20" s="952"/>
      <c r="C20" s="418" t="s">
        <v>213</v>
      </c>
      <c r="D20" s="419">
        <v>4942</v>
      </c>
      <c r="E20" s="420">
        <v>5628</v>
      </c>
      <c r="F20" s="420">
        <v>5608</v>
      </c>
      <c r="G20" s="420">
        <v>4826</v>
      </c>
      <c r="H20" s="420">
        <v>5496</v>
      </c>
      <c r="I20" s="420">
        <v>5706</v>
      </c>
      <c r="J20" s="420">
        <v>1315</v>
      </c>
      <c r="K20" s="420">
        <v>1427</v>
      </c>
      <c r="L20" s="420">
        <v>2754</v>
      </c>
      <c r="M20" s="420">
        <v>2710</v>
      </c>
      <c r="N20" s="420">
        <v>1676</v>
      </c>
      <c r="O20" s="420">
        <v>2128</v>
      </c>
      <c r="P20" s="420">
        <v>10952</v>
      </c>
      <c r="Q20" s="420">
        <v>10345</v>
      </c>
      <c r="R20" s="420">
        <v>24444</v>
      </c>
      <c r="S20" s="420">
        <v>22446</v>
      </c>
    </row>
    <row r="21" spans="2:21">
      <c r="B21" s="952"/>
      <c r="C21" s="418" t="s">
        <v>214</v>
      </c>
      <c r="D21" s="419">
        <v>5628</v>
      </c>
      <c r="E21" s="420">
        <v>5963</v>
      </c>
      <c r="F21" s="420">
        <v>4826</v>
      </c>
      <c r="G21" s="420">
        <v>5310</v>
      </c>
      <c r="H21" s="420">
        <v>5706</v>
      </c>
      <c r="I21" s="420">
        <v>5771</v>
      </c>
      <c r="J21" s="420">
        <v>1427</v>
      </c>
      <c r="K21" s="420">
        <v>4341</v>
      </c>
      <c r="L21" s="420">
        <v>2710</v>
      </c>
      <c r="M21" s="420">
        <v>3730</v>
      </c>
      <c r="N21" s="420">
        <v>2128</v>
      </c>
      <c r="O21" s="420">
        <v>2254</v>
      </c>
      <c r="P21" s="420">
        <v>10345</v>
      </c>
      <c r="Q21" s="420">
        <v>11198</v>
      </c>
      <c r="R21" s="420">
        <v>22446</v>
      </c>
      <c r="S21" s="420">
        <v>18755</v>
      </c>
    </row>
    <row r="22" spans="2:21">
      <c r="B22" s="952"/>
      <c r="C22" s="418" t="s">
        <v>215</v>
      </c>
      <c r="D22" s="419">
        <v>5963</v>
      </c>
      <c r="E22" s="420">
        <v>4887</v>
      </c>
      <c r="F22" s="420">
        <v>5310</v>
      </c>
      <c r="G22" s="420">
        <v>4962</v>
      </c>
      <c r="H22" s="420">
        <v>5771</v>
      </c>
      <c r="I22" s="420">
        <v>5688</v>
      </c>
      <c r="J22" s="420">
        <v>4341</v>
      </c>
      <c r="K22" s="420">
        <v>4779</v>
      </c>
      <c r="L22" s="420">
        <v>3730</v>
      </c>
      <c r="M22" s="420">
        <v>3479</v>
      </c>
      <c r="N22" s="420">
        <v>2254</v>
      </c>
      <c r="O22" s="420">
        <v>2573</v>
      </c>
      <c r="P22" s="420">
        <v>11198</v>
      </c>
      <c r="Q22" s="420">
        <v>10846</v>
      </c>
      <c r="R22" s="420">
        <v>18755</v>
      </c>
      <c r="S22" s="420">
        <v>16667</v>
      </c>
    </row>
    <row r="23" spans="2:21">
      <c r="B23" s="952"/>
      <c r="C23" s="418" t="s">
        <v>216</v>
      </c>
      <c r="D23" s="419">
        <v>4887</v>
      </c>
      <c r="E23" s="420">
        <v>4886</v>
      </c>
      <c r="F23" s="420">
        <v>4962</v>
      </c>
      <c r="G23" s="420">
        <v>5021</v>
      </c>
      <c r="H23" s="420">
        <v>5688</v>
      </c>
      <c r="I23" s="420">
        <v>6183</v>
      </c>
      <c r="J23" s="420">
        <v>4779</v>
      </c>
      <c r="K23" s="420">
        <v>5364</v>
      </c>
      <c r="L23" s="420">
        <v>3479</v>
      </c>
      <c r="M23" s="420">
        <v>3968</v>
      </c>
      <c r="N23" s="420">
        <v>2573</v>
      </c>
      <c r="O23" s="420">
        <v>2471</v>
      </c>
      <c r="P23" s="420">
        <v>10846</v>
      </c>
      <c r="Q23" s="420">
        <v>11080</v>
      </c>
      <c r="R23" s="420">
        <v>16667</v>
      </c>
      <c r="S23" s="420">
        <v>18299</v>
      </c>
    </row>
    <row r="24" spans="2:21">
      <c r="B24" s="952"/>
      <c r="C24" s="418" t="s">
        <v>217</v>
      </c>
      <c r="D24" s="419">
        <v>4886</v>
      </c>
      <c r="E24" s="420">
        <v>4781</v>
      </c>
      <c r="F24" s="420">
        <v>5021</v>
      </c>
      <c r="G24" s="420">
        <v>4534</v>
      </c>
      <c r="H24" s="420">
        <v>6183</v>
      </c>
      <c r="I24" s="420">
        <v>6436</v>
      </c>
      <c r="J24" s="420">
        <v>5364</v>
      </c>
      <c r="K24" s="420">
        <v>5803</v>
      </c>
      <c r="L24" s="420">
        <v>3968</v>
      </c>
      <c r="M24" s="420">
        <v>3220</v>
      </c>
      <c r="N24" s="420">
        <v>2471</v>
      </c>
      <c r="O24" s="420">
        <v>1532</v>
      </c>
      <c r="P24" s="420">
        <v>11080</v>
      </c>
      <c r="Q24" s="420">
        <v>9963</v>
      </c>
      <c r="R24" s="420">
        <v>18299</v>
      </c>
      <c r="S24" s="420">
        <v>16697</v>
      </c>
    </row>
    <row r="25" spans="2:21">
      <c r="B25" s="952"/>
      <c r="C25" s="418" t="s">
        <v>218</v>
      </c>
      <c r="D25" s="419">
        <v>4781</v>
      </c>
      <c r="E25" s="420">
        <v>5494</v>
      </c>
      <c r="F25" s="420">
        <v>4534</v>
      </c>
      <c r="G25" s="420">
        <v>4762</v>
      </c>
      <c r="H25" s="420">
        <v>6436</v>
      </c>
      <c r="I25" s="420">
        <v>6100</v>
      </c>
      <c r="J25" s="420">
        <v>5803</v>
      </c>
      <c r="K25" s="420">
        <v>4738</v>
      </c>
      <c r="L25" s="420">
        <v>3220</v>
      </c>
      <c r="M25" s="420">
        <v>3437</v>
      </c>
      <c r="N25" s="420">
        <v>1532</v>
      </c>
      <c r="O25" s="420">
        <v>1532</v>
      </c>
      <c r="P25" s="420">
        <v>9963</v>
      </c>
      <c r="Q25" s="420">
        <v>10499</v>
      </c>
      <c r="R25" s="420">
        <v>16697</v>
      </c>
      <c r="S25" s="420">
        <v>17775</v>
      </c>
    </row>
    <row r="26" spans="2:21">
      <c r="B26" s="952"/>
      <c r="C26" s="418" t="s">
        <v>219</v>
      </c>
      <c r="D26" s="419">
        <v>5494</v>
      </c>
      <c r="E26" s="420">
        <v>5525</v>
      </c>
      <c r="F26" s="420">
        <v>4762</v>
      </c>
      <c r="G26" s="420">
        <v>4792</v>
      </c>
      <c r="H26" s="420">
        <v>6100</v>
      </c>
      <c r="I26" s="420">
        <v>6121</v>
      </c>
      <c r="J26" s="420">
        <v>4783</v>
      </c>
      <c r="K26" s="420">
        <v>4462</v>
      </c>
      <c r="L26" s="420">
        <v>3437</v>
      </c>
      <c r="M26" s="420">
        <v>3448</v>
      </c>
      <c r="N26" s="420">
        <v>1532</v>
      </c>
      <c r="O26" s="420">
        <v>1500</v>
      </c>
      <c r="P26" s="420">
        <v>10499</v>
      </c>
      <c r="Q26" s="420">
        <v>10964</v>
      </c>
      <c r="R26" s="420">
        <v>17775</v>
      </c>
      <c r="S26" s="420">
        <v>16632</v>
      </c>
    </row>
    <row r="27" spans="2:21">
      <c r="B27" s="952"/>
      <c r="C27" s="418" t="s">
        <v>220</v>
      </c>
      <c r="D27" s="419">
        <v>5525</v>
      </c>
      <c r="E27" s="420">
        <v>4475</v>
      </c>
      <c r="F27" s="420">
        <v>4792</v>
      </c>
      <c r="G27" s="420">
        <v>4641</v>
      </c>
      <c r="H27" s="420">
        <v>6121</v>
      </c>
      <c r="I27" s="420">
        <v>5825</v>
      </c>
      <c r="J27" s="420">
        <v>4462</v>
      </c>
      <c r="K27" s="420">
        <v>4921</v>
      </c>
      <c r="L27" s="420">
        <v>3448</v>
      </c>
      <c r="M27" s="420">
        <v>3281</v>
      </c>
      <c r="N27" s="420">
        <v>1500</v>
      </c>
      <c r="O27" s="420">
        <v>1522</v>
      </c>
      <c r="P27" s="420">
        <v>10964</v>
      </c>
      <c r="Q27" s="420">
        <v>10284</v>
      </c>
      <c r="R27" s="420">
        <v>16632</v>
      </c>
      <c r="S27" s="420">
        <v>9199</v>
      </c>
    </row>
    <row r="28" spans="2:21">
      <c r="B28" s="952"/>
      <c r="C28" s="418" t="s">
        <v>221</v>
      </c>
      <c r="D28" s="419">
        <v>4475</v>
      </c>
      <c r="E28" s="420">
        <v>4255</v>
      </c>
      <c r="F28" s="420">
        <v>4641</v>
      </c>
      <c r="G28" s="420">
        <v>5073</v>
      </c>
      <c r="H28" s="420">
        <v>5825</v>
      </c>
      <c r="I28" s="420">
        <v>5802</v>
      </c>
      <c r="J28" s="420">
        <v>4921</v>
      </c>
      <c r="K28" s="420">
        <v>4731</v>
      </c>
      <c r="L28" s="420">
        <v>3281</v>
      </c>
      <c r="M28" s="420">
        <v>3371</v>
      </c>
      <c r="N28" s="420">
        <v>1522</v>
      </c>
      <c r="O28" s="420">
        <v>1621</v>
      </c>
      <c r="P28" s="420">
        <v>10284</v>
      </c>
      <c r="Q28" s="420">
        <v>10640</v>
      </c>
      <c r="R28" s="420">
        <v>9199</v>
      </c>
      <c r="S28" s="420">
        <v>9634</v>
      </c>
    </row>
    <row r="29" spans="2:21">
      <c r="B29" s="952"/>
      <c r="C29" s="418" t="s">
        <v>206</v>
      </c>
      <c r="D29" s="419">
        <v>4255</v>
      </c>
      <c r="E29" s="420">
        <v>5226</v>
      </c>
      <c r="F29" s="420">
        <v>5073</v>
      </c>
      <c r="G29" s="420">
        <v>5423</v>
      </c>
      <c r="H29" s="420">
        <v>5802</v>
      </c>
      <c r="I29" s="420">
        <v>5707</v>
      </c>
      <c r="J29" s="420">
        <v>4731</v>
      </c>
      <c r="K29" s="420">
        <v>4613</v>
      </c>
      <c r="L29" s="420">
        <v>3371</v>
      </c>
      <c r="M29" s="420">
        <v>3269</v>
      </c>
      <c r="N29" s="420">
        <v>1621</v>
      </c>
      <c r="O29" s="420">
        <v>1634</v>
      </c>
      <c r="P29" s="420">
        <v>10640</v>
      </c>
      <c r="Q29" s="420">
        <v>10420</v>
      </c>
      <c r="R29" s="420">
        <v>9634</v>
      </c>
      <c r="S29" s="420">
        <v>12083</v>
      </c>
    </row>
    <row r="30" spans="2:21">
      <c r="B30" s="953"/>
      <c r="C30" s="418" t="s">
        <v>207</v>
      </c>
      <c r="D30" s="419">
        <v>5226</v>
      </c>
      <c r="E30" s="420">
        <v>2440</v>
      </c>
      <c r="F30" s="420">
        <v>5423</v>
      </c>
      <c r="G30" s="420">
        <v>5480</v>
      </c>
      <c r="H30" s="420">
        <v>5707</v>
      </c>
      <c r="I30" s="420">
        <v>5982</v>
      </c>
      <c r="J30" s="420">
        <v>4613</v>
      </c>
      <c r="K30" s="420">
        <v>3734</v>
      </c>
      <c r="L30" s="420">
        <v>3269</v>
      </c>
      <c r="M30" s="420">
        <v>3459</v>
      </c>
      <c r="N30" s="420">
        <v>1634</v>
      </c>
      <c r="O30" s="420">
        <v>1543</v>
      </c>
      <c r="P30" s="420">
        <v>10420</v>
      </c>
      <c r="Q30" s="420">
        <v>10448</v>
      </c>
      <c r="R30" s="420">
        <v>12083</v>
      </c>
      <c r="S30" s="420">
        <v>12799</v>
      </c>
    </row>
    <row r="31" spans="2:21">
      <c r="B31" s="951">
        <v>2024</v>
      </c>
      <c r="C31" s="418" t="s">
        <v>212</v>
      </c>
      <c r="D31" s="419">
        <v>2440</v>
      </c>
      <c r="E31" s="420">
        <v>4007</v>
      </c>
      <c r="F31" s="420">
        <v>5480</v>
      </c>
      <c r="G31" s="420">
        <v>5684</v>
      </c>
      <c r="H31" s="420">
        <v>5982</v>
      </c>
      <c r="I31" s="420">
        <v>6489</v>
      </c>
      <c r="J31" s="420">
        <v>3734</v>
      </c>
      <c r="K31" s="420">
        <v>4296</v>
      </c>
      <c r="L31" s="420">
        <v>3459</v>
      </c>
      <c r="M31" s="420">
        <v>3761</v>
      </c>
      <c r="N31" s="420">
        <v>1543</v>
      </c>
      <c r="O31" s="420">
        <v>1669</v>
      </c>
      <c r="P31" s="420">
        <v>10448</v>
      </c>
      <c r="Q31" s="420">
        <v>10811</v>
      </c>
      <c r="R31" s="420">
        <v>12799</v>
      </c>
      <c r="S31" s="420">
        <v>14858</v>
      </c>
    </row>
    <row r="32" spans="2:21">
      <c r="B32" s="952"/>
      <c r="C32" s="418" t="s">
        <v>213</v>
      </c>
      <c r="D32" s="419">
        <v>4007</v>
      </c>
      <c r="E32" s="420">
        <v>4498</v>
      </c>
      <c r="F32" s="420">
        <v>5684</v>
      </c>
      <c r="G32" s="420">
        <v>6104</v>
      </c>
      <c r="H32" s="420">
        <v>6489</v>
      </c>
      <c r="I32" s="420">
        <v>5251</v>
      </c>
      <c r="J32" s="420">
        <v>4296</v>
      </c>
      <c r="K32" s="420">
        <v>3992</v>
      </c>
      <c r="L32" s="420">
        <v>3761</v>
      </c>
      <c r="M32" s="420">
        <v>3879</v>
      </c>
      <c r="N32" s="420">
        <v>1669</v>
      </c>
      <c r="O32" s="420">
        <v>1619</v>
      </c>
      <c r="P32" s="420">
        <v>10811</v>
      </c>
      <c r="Q32" s="420">
        <v>10933</v>
      </c>
      <c r="R32" s="420">
        <v>14858</v>
      </c>
      <c r="S32" s="420">
        <v>12426</v>
      </c>
      <c r="U32" s="310" t="s">
        <v>97</v>
      </c>
    </row>
    <row r="33" spans="2:19">
      <c r="B33" s="952"/>
      <c r="C33" s="418" t="s">
        <v>214</v>
      </c>
      <c r="D33" s="419">
        <v>4498</v>
      </c>
      <c r="E33" s="420">
        <v>5124</v>
      </c>
      <c r="F33" s="420">
        <v>6104</v>
      </c>
      <c r="G33" s="420">
        <v>5953</v>
      </c>
      <c r="H33" s="420">
        <v>5251</v>
      </c>
      <c r="I33" s="420">
        <v>5612</v>
      </c>
      <c r="J33" s="420">
        <v>3992</v>
      </c>
      <c r="K33" s="420">
        <v>3793</v>
      </c>
      <c r="L33" s="420">
        <v>3879</v>
      </c>
      <c r="M33" s="420">
        <v>4468</v>
      </c>
      <c r="N33" s="420">
        <v>1619</v>
      </c>
      <c r="O33" s="420">
        <v>1660</v>
      </c>
      <c r="P33" s="420">
        <v>10933</v>
      </c>
      <c r="Q33" s="420">
        <v>11195</v>
      </c>
      <c r="R33" s="420">
        <v>12426</v>
      </c>
      <c r="S33" s="420">
        <v>15931</v>
      </c>
    </row>
    <row r="34" spans="2:19">
      <c r="B34" s="952"/>
      <c r="C34" s="418" t="s">
        <v>215</v>
      </c>
      <c r="D34" s="419">
        <v>5124</v>
      </c>
      <c r="E34" s="420">
        <v>4448</v>
      </c>
      <c r="F34" s="420">
        <v>5953</v>
      </c>
      <c r="G34" s="420">
        <v>6206</v>
      </c>
      <c r="H34" s="420">
        <v>5612</v>
      </c>
      <c r="I34" s="420">
        <v>5416</v>
      </c>
      <c r="J34" s="420">
        <v>3793</v>
      </c>
      <c r="K34" s="420">
        <v>3872</v>
      </c>
      <c r="L34" s="420">
        <v>4468</v>
      </c>
      <c r="M34" s="420">
        <v>3443</v>
      </c>
      <c r="N34" s="420">
        <v>1660</v>
      </c>
      <c r="O34" s="420">
        <v>1632</v>
      </c>
      <c r="P34" s="420">
        <v>11195</v>
      </c>
      <c r="Q34" s="420">
        <v>10556</v>
      </c>
      <c r="R34" s="420">
        <v>15931</v>
      </c>
      <c r="S34" s="420">
        <v>16040</v>
      </c>
    </row>
    <row r="35" spans="2:19">
      <c r="B35" s="952"/>
      <c r="C35" s="418" t="s">
        <v>216</v>
      </c>
      <c r="D35" s="419">
        <v>4448</v>
      </c>
      <c r="E35" s="420">
        <v>2806</v>
      </c>
      <c r="F35" s="420">
        <v>6206</v>
      </c>
      <c r="G35" s="420">
        <v>6693</v>
      </c>
      <c r="H35" s="420">
        <v>5416</v>
      </c>
      <c r="I35" s="420">
        <v>5645</v>
      </c>
      <c r="J35" s="420">
        <v>3872</v>
      </c>
      <c r="K35" s="420">
        <v>4276</v>
      </c>
      <c r="L35" s="420">
        <v>3443</v>
      </c>
      <c r="M35" s="420">
        <v>3034</v>
      </c>
      <c r="N35" s="420">
        <v>1632</v>
      </c>
      <c r="O35" s="420">
        <v>1471</v>
      </c>
      <c r="P35" s="420">
        <v>10556</v>
      </c>
      <c r="Q35" s="420">
        <v>10020</v>
      </c>
      <c r="R35" s="420">
        <v>16040</v>
      </c>
      <c r="S35" s="420">
        <v>14475</v>
      </c>
    </row>
    <row r="36" spans="2:19">
      <c r="B36" s="952"/>
      <c r="C36" s="418" t="s">
        <v>217</v>
      </c>
      <c r="D36" s="419">
        <v>2806</v>
      </c>
      <c r="E36" s="420">
        <v>2637</v>
      </c>
      <c r="F36" s="420">
        <v>6693</v>
      </c>
      <c r="G36" s="420">
        <v>6503</v>
      </c>
      <c r="H36" s="420">
        <v>5645</v>
      </c>
      <c r="I36" s="420">
        <v>5615</v>
      </c>
      <c r="J36" s="420">
        <v>4276</v>
      </c>
      <c r="K36" s="420">
        <v>4262</v>
      </c>
      <c r="L36" s="420">
        <v>3034</v>
      </c>
      <c r="M36" s="420">
        <v>3141</v>
      </c>
      <c r="N36" s="420">
        <v>1471</v>
      </c>
      <c r="O36" s="420">
        <v>1599</v>
      </c>
      <c r="P36" s="420">
        <v>10020</v>
      </c>
      <c r="Q36" s="420">
        <v>10670</v>
      </c>
      <c r="R36" s="420">
        <v>14475</v>
      </c>
      <c r="S36" s="420">
        <v>15065</v>
      </c>
    </row>
    <row r="37" spans="2:19">
      <c r="B37" s="953"/>
      <c r="C37" s="418" t="s">
        <v>218</v>
      </c>
      <c r="D37" s="419">
        <v>2637</v>
      </c>
      <c r="E37" s="420">
        <v>2492</v>
      </c>
      <c r="F37" s="420">
        <v>6503</v>
      </c>
      <c r="G37" s="420">
        <v>6387</v>
      </c>
      <c r="H37" s="420">
        <v>5615</v>
      </c>
      <c r="I37" s="420">
        <v>5819</v>
      </c>
      <c r="J37" s="420">
        <v>4262</v>
      </c>
      <c r="K37" s="420">
        <v>5205</v>
      </c>
      <c r="L37" s="420">
        <v>2724</v>
      </c>
      <c r="M37" s="420">
        <v>3066</v>
      </c>
      <c r="N37" s="420">
        <v>1599</v>
      </c>
      <c r="O37" s="420">
        <v>1450</v>
      </c>
      <c r="P37" s="420">
        <v>10670</v>
      </c>
      <c r="Q37" s="420">
        <v>9892</v>
      </c>
      <c r="R37" s="420">
        <v>15065</v>
      </c>
      <c r="S37" s="420">
        <v>16625</v>
      </c>
    </row>
    <row r="38" spans="2:19" ht="17.7">
      <c r="B38" s="310" t="s">
        <v>386</v>
      </c>
      <c r="E38" s="11"/>
      <c r="F38" s="11"/>
      <c r="G38" s="11"/>
      <c r="H38" s="11"/>
      <c r="I38" s="11"/>
      <c r="J38" s="11"/>
      <c r="K38" s="11"/>
      <c r="L38" s="11"/>
      <c r="M38" s="11"/>
      <c r="N38" s="11"/>
      <c r="O38" s="11"/>
      <c r="P38" s="11"/>
      <c r="Q38" s="11"/>
      <c r="R38" s="11"/>
      <c r="S38" s="11"/>
    </row>
    <row r="39" spans="2:19">
      <c r="I39" s="310" t="s">
        <v>97</v>
      </c>
    </row>
  </sheetData>
  <mergeCells count="17">
    <mergeCell ref="R5:S5"/>
    <mergeCell ref="B31:B37"/>
    <mergeCell ref="B7:B18"/>
    <mergeCell ref="B19:B30"/>
    <mergeCell ref="B1:S1"/>
    <mergeCell ref="B2:S2"/>
    <mergeCell ref="B4:B6"/>
    <mergeCell ref="C4:C6"/>
    <mergeCell ref="D4:S4"/>
    <mergeCell ref="D5:E5"/>
    <mergeCell ref="F5:G5"/>
    <mergeCell ref="H5:I5"/>
    <mergeCell ref="J5:K5"/>
    <mergeCell ref="L5:M5"/>
    <mergeCell ref="N5:O5"/>
    <mergeCell ref="B3:S3"/>
    <mergeCell ref="P5:Q5"/>
  </mergeCells>
  <phoneticPr fontId="47" type="noConversion"/>
  <printOptions horizontalCentered="1"/>
  <pageMargins left="0.70866141732283472" right="0.70866141732283472" top="0.74803149606299213" bottom="0.74803149606299213" header="0.31496062992125984" footer="0.31496062992125984"/>
  <pageSetup paperSize="12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B6D-E5BB-410C-AB8B-E346BD4C2F63}">
  <sheetPr>
    <pageSetUpPr fitToPage="1"/>
  </sheetPr>
  <dimension ref="B1:V40"/>
  <sheetViews>
    <sheetView topLeftCell="A11" zoomScale="90" zoomScaleNormal="90" workbookViewId="0">
      <selection activeCell="V15" sqref="V15"/>
    </sheetView>
  </sheetViews>
  <sheetFormatPr baseColWidth="10" defaultColWidth="10.9140625" defaultRowHeight="12.45"/>
  <cols>
    <col min="1" max="1" width="1.25" style="310" customWidth="1"/>
    <col min="2" max="2" width="5.58203125" style="310" customWidth="1"/>
    <col min="3" max="3" width="7.75" style="310" customWidth="1"/>
    <col min="4" max="4" width="8.1640625" style="310" hidden="1" customWidth="1"/>
    <col min="5" max="5" width="11.25" style="310" customWidth="1"/>
    <col min="6" max="6" width="8.4140625" style="310" hidden="1" customWidth="1"/>
    <col min="7" max="7" width="8.4140625" style="310" customWidth="1"/>
    <col min="8" max="8" width="8.4140625" style="310" hidden="1" customWidth="1"/>
    <col min="9" max="9" width="8.4140625" style="310" customWidth="1"/>
    <col min="10" max="10" width="8.4140625" style="310" hidden="1" customWidth="1"/>
    <col min="11" max="11" width="7.9140625" style="310" customWidth="1"/>
    <col min="12" max="12" width="8.4140625" style="310" hidden="1" customWidth="1"/>
    <col min="13" max="13" width="8.08203125" style="310" customWidth="1"/>
    <col min="14" max="14" width="8.4140625" style="310" hidden="1" customWidth="1"/>
    <col min="15" max="15" width="7.83203125" style="310" customWidth="1"/>
    <col min="16" max="16" width="8.4140625" style="310" hidden="1" customWidth="1"/>
    <col min="17" max="17" width="8.1640625" style="310" customWidth="1"/>
    <col min="18" max="18" width="8.4140625" style="310" hidden="1" customWidth="1"/>
    <col min="19" max="19" width="9.75" style="310" customWidth="1"/>
    <col min="20" max="20" width="2.4140625" style="310" customWidth="1"/>
    <col min="21" max="16384" width="10.9140625" style="310"/>
  </cols>
  <sheetData>
    <row r="1" spans="2:21" s="309" customFormat="1" ht="12.8" customHeight="1">
      <c r="B1" s="791" t="s">
        <v>388</v>
      </c>
      <c r="C1" s="791"/>
      <c r="D1" s="791"/>
      <c r="E1" s="791"/>
      <c r="F1" s="791"/>
      <c r="G1" s="791"/>
      <c r="H1" s="791"/>
      <c r="I1" s="791"/>
      <c r="J1" s="791"/>
      <c r="K1" s="791"/>
      <c r="L1" s="791"/>
      <c r="M1" s="791"/>
      <c r="N1" s="791"/>
      <c r="O1" s="791"/>
      <c r="P1" s="791"/>
      <c r="Q1" s="791"/>
      <c r="R1" s="791"/>
      <c r="S1" s="791"/>
      <c r="T1" s="15"/>
    </row>
    <row r="2" spans="2:21" s="309" customFormat="1" ht="12.8" customHeight="1">
      <c r="B2" s="791" t="s">
        <v>777</v>
      </c>
      <c r="C2" s="791"/>
      <c r="D2" s="791"/>
      <c r="E2" s="791"/>
      <c r="F2" s="791"/>
      <c r="G2" s="791"/>
      <c r="H2" s="791"/>
      <c r="I2" s="791"/>
      <c r="J2" s="791"/>
      <c r="K2" s="791"/>
      <c r="L2" s="791"/>
      <c r="M2" s="791"/>
      <c r="N2" s="791"/>
      <c r="O2" s="791"/>
      <c r="P2" s="791"/>
      <c r="Q2" s="791"/>
      <c r="R2" s="791"/>
      <c r="S2" s="791"/>
      <c r="T2" s="15"/>
    </row>
    <row r="3" spans="2:21" ht="13.1">
      <c r="B3" s="951" t="s">
        <v>193</v>
      </c>
      <c r="C3" s="951" t="s">
        <v>211</v>
      </c>
      <c r="D3" s="955" t="s">
        <v>379</v>
      </c>
      <c r="E3" s="956"/>
      <c r="F3" s="956"/>
      <c r="G3" s="956"/>
      <c r="H3" s="956"/>
      <c r="I3" s="956"/>
      <c r="J3" s="956"/>
      <c r="K3" s="956"/>
      <c r="L3" s="956"/>
      <c r="M3" s="956"/>
      <c r="N3" s="956"/>
      <c r="O3" s="956"/>
      <c r="P3" s="956"/>
      <c r="Q3" s="956"/>
      <c r="R3" s="956"/>
      <c r="S3" s="957"/>
    </row>
    <row r="4" spans="2:21" ht="39.299999999999997" customHeight="1">
      <c r="B4" s="952"/>
      <c r="C4" s="952"/>
      <c r="D4" s="958" t="s">
        <v>380</v>
      </c>
      <c r="E4" s="959"/>
      <c r="F4" s="955" t="s">
        <v>154</v>
      </c>
      <c r="G4" s="957"/>
      <c r="H4" s="955" t="s">
        <v>156</v>
      </c>
      <c r="I4" s="957"/>
      <c r="J4" s="955" t="s">
        <v>381</v>
      </c>
      <c r="K4" s="957"/>
      <c r="L4" s="955" t="s">
        <v>158</v>
      </c>
      <c r="M4" s="957"/>
      <c r="N4" s="955" t="s">
        <v>382</v>
      </c>
      <c r="O4" s="957"/>
      <c r="P4" s="958" t="s">
        <v>383</v>
      </c>
      <c r="Q4" s="959"/>
      <c r="R4" s="960" t="s">
        <v>155</v>
      </c>
      <c r="S4" s="960"/>
    </row>
    <row r="5" spans="2:21" ht="13.1">
      <c r="B5" s="953"/>
      <c r="C5" s="953"/>
      <c r="D5" s="312" t="s">
        <v>384</v>
      </c>
      <c r="E5" s="312" t="s">
        <v>385</v>
      </c>
      <c r="F5" s="312" t="s">
        <v>384</v>
      </c>
      <c r="G5" s="312" t="s">
        <v>385</v>
      </c>
      <c r="H5" s="312" t="s">
        <v>384</v>
      </c>
      <c r="I5" s="312" t="s">
        <v>385</v>
      </c>
      <c r="J5" s="312" t="s">
        <v>384</v>
      </c>
      <c r="K5" s="312" t="s">
        <v>385</v>
      </c>
      <c r="L5" s="312" t="s">
        <v>384</v>
      </c>
      <c r="M5" s="312" t="s">
        <v>385</v>
      </c>
      <c r="N5" s="312" t="s">
        <v>384</v>
      </c>
      <c r="O5" s="312" t="s">
        <v>385</v>
      </c>
      <c r="P5" s="312" t="s">
        <v>384</v>
      </c>
      <c r="Q5" s="312" t="s">
        <v>385</v>
      </c>
      <c r="R5" s="312" t="s">
        <v>384</v>
      </c>
      <c r="S5" s="312" t="s">
        <v>385</v>
      </c>
    </row>
    <row r="6" spans="2:21">
      <c r="B6" s="948">
        <v>2022</v>
      </c>
      <c r="C6" s="418" t="s">
        <v>212</v>
      </c>
      <c r="D6" s="419">
        <v>23089</v>
      </c>
      <c r="E6" s="420">
        <v>51878</v>
      </c>
      <c r="F6" s="420">
        <v>21452</v>
      </c>
      <c r="G6" s="420">
        <v>31981</v>
      </c>
      <c r="H6" s="420">
        <v>29233</v>
      </c>
      <c r="I6" s="420">
        <v>32849</v>
      </c>
      <c r="J6" s="420">
        <v>11386</v>
      </c>
      <c r="K6" s="420">
        <v>27691</v>
      </c>
      <c r="L6" s="420">
        <v>6086</v>
      </c>
      <c r="M6" s="420">
        <v>38437</v>
      </c>
      <c r="N6" s="420">
        <v>124165</v>
      </c>
      <c r="O6" s="420">
        <v>129577</v>
      </c>
      <c r="P6" s="420">
        <v>71608</v>
      </c>
      <c r="Q6" s="420">
        <v>68852</v>
      </c>
      <c r="R6" s="420">
        <v>231251</v>
      </c>
      <c r="S6" s="420">
        <v>306068</v>
      </c>
    </row>
    <row r="7" spans="2:21">
      <c r="B7" s="949"/>
      <c r="C7" s="418" t="s">
        <v>213</v>
      </c>
      <c r="D7" s="419">
        <v>51878</v>
      </c>
      <c r="E7" s="420">
        <v>48629</v>
      </c>
      <c r="F7" s="420">
        <v>31981</v>
      </c>
      <c r="G7" s="420">
        <v>32412</v>
      </c>
      <c r="H7" s="420">
        <v>32849</v>
      </c>
      <c r="I7" s="420">
        <v>26365</v>
      </c>
      <c r="J7" s="420">
        <v>27691</v>
      </c>
      <c r="K7" s="420">
        <v>48510</v>
      </c>
      <c r="L7" s="420">
        <v>38437</v>
      </c>
      <c r="M7" s="420">
        <v>42463</v>
      </c>
      <c r="N7" s="420">
        <v>129577</v>
      </c>
      <c r="O7" s="420">
        <v>170230</v>
      </c>
      <c r="P7" s="420">
        <v>68852</v>
      </c>
      <c r="Q7" s="420">
        <v>126367</v>
      </c>
      <c r="R7" s="420">
        <v>306068</v>
      </c>
      <c r="S7" s="420">
        <v>313775</v>
      </c>
    </row>
    <row r="8" spans="2:21">
      <c r="B8" s="949"/>
      <c r="C8" s="418" t="s">
        <v>214</v>
      </c>
      <c r="D8" s="419">
        <v>48629</v>
      </c>
      <c r="E8" s="420">
        <v>54025</v>
      </c>
      <c r="F8" s="420">
        <v>32412</v>
      </c>
      <c r="G8" s="420">
        <v>34832</v>
      </c>
      <c r="H8" s="420">
        <v>26365</v>
      </c>
      <c r="I8" s="420">
        <v>27867</v>
      </c>
      <c r="J8" s="420">
        <v>48510</v>
      </c>
      <c r="K8" s="420">
        <v>46859</v>
      </c>
      <c r="L8" s="420">
        <v>42463</v>
      </c>
      <c r="M8" s="420">
        <v>37813</v>
      </c>
      <c r="N8" s="420">
        <v>170230</v>
      </c>
      <c r="O8" s="420">
        <v>173213</v>
      </c>
      <c r="P8" s="420">
        <v>126367</v>
      </c>
      <c r="Q8" s="420">
        <v>141311</v>
      </c>
      <c r="R8" s="420">
        <v>313775</v>
      </c>
      <c r="S8" s="420">
        <v>298493</v>
      </c>
    </row>
    <row r="9" spans="2:21">
      <c r="B9" s="949"/>
      <c r="C9" s="418" t="s">
        <v>215</v>
      </c>
      <c r="D9" s="419">
        <v>54025</v>
      </c>
      <c r="E9" s="420">
        <v>47699</v>
      </c>
      <c r="F9" s="420">
        <v>34832</v>
      </c>
      <c r="G9" s="420">
        <v>31726</v>
      </c>
      <c r="H9" s="420">
        <v>27867</v>
      </c>
      <c r="I9" s="420">
        <v>26168</v>
      </c>
      <c r="J9" s="420">
        <v>46859</v>
      </c>
      <c r="K9" s="420">
        <v>40232</v>
      </c>
      <c r="L9" s="420">
        <v>37813</v>
      </c>
      <c r="M9" s="420">
        <v>31813</v>
      </c>
      <c r="N9" s="420">
        <v>173213</v>
      </c>
      <c r="O9" s="420">
        <v>170690</v>
      </c>
      <c r="P9" s="420">
        <v>141311</v>
      </c>
      <c r="Q9" s="420">
        <v>158660</v>
      </c>
      <c r="R9" s="420">
        <v>298493</v>
      </c>
      <c r="S9" s="420">
        <v>333944</v>
      </c>
    </row>
    <row r="10" spans="2:21" ht="13.75" customHeight="1">
      <c r="B10" s="949"/>
      <c r="C10" s="418" t="s">
        <v>216</v>
      </c>
      <c r="D10" s="419">
        <v>47699</v>
      </c>
      <c r="E10" s="420">
        <v>38242</v>
      </c>
      <c r="F10" s="420">
        <v>31726</v>
      </c>
      <c r="G10" s="420">
        <v>35604</v>
      </c>
      <c r="H10" s="420">
        <v>26168</v>
      </c>
      <c r="I10" s="420">
        <v>20249</v>
      </c>
      <c r="J10" s="420">
        <v>40232</v>
      </c>
      <c r="K10" s="420">
        <v>40065</v>
      </c>
      <c r="L10" s="420">
        <v>31813</v>
      </c>
      <c r="M10" s="420">
        <v>26172</v>
      </c>
      <c r="N10" s="420">
        <v>170690</v>
      </c>
      <c r="O10" s="420">
        <v>169759</v>
      </c>
      <c r="P10" s="420">
        <v>158660</v>
      </c>
      <c r="Q10" s="420">
        <v>152362</v>
      </c>
      <c r="R10" s="420">
        <v>333944</v>
      </c>
      <c r="S10" s="420">
        <v>301991</v>
      </c>
    </row>
    <row r="11" spans="2:21">
      <c r="B11" s="949"/>
      <c r="C11" s="418" t="s">
        <v>217</v>
      </c>
      <c r="D11" s="419">
        <v>38242</v>
      </c>
      <c r="E11" s="420">
        <v>36258</v>
      </c>
      <c r="F11" s="420">
        <v>35604</v>
      </c>
      <c r="G11" s="420">
        <v>33524</v>
      </c>
      <c r="H11" s="420">
        <v>20249</v>
      </c>
      <c r="I11" s="420">
        <v>22736</v>
      </c>
      <c r="J11" s="420">
        <v>40065</v>
      </c>
      <c r="K11" s="420">
        <v>33274</v>
      </c>
      <c r="L11" s="420">
        <v>26172</v>
      </c>
      <c r="M11" s="420">
        <v>25466</v>
      </c>
      <c r="N11" s="420">
        <v>169759</v>
      </c>
      <c r="O11" s="420">
        <v>168175</v>
      </c>
      <c r="P11" s="420">
        <v>152362</v>
      </c>
      <c r="Q11" s="420">
        <v>150032</v>
      </c>
      <c r="R11" s="420">
        <v>301991</v>
      </c>
      <c r="S11" s="420">
        <v>262791</v>
      </c>
    </row>
    <row r="12" spans="2:21">
      <c r="B12" s="949"/>
      <c r="C12" s="418" t="s">
        <v>218</v>
      </c>
      <c r="D12" s="419">
        <v>36258</v>
      </c>
      <c r="E12" s="420">
        <v>28561</v>
      </c>
      <c r="F12" s="420">
        <v>33524</v>
      </c>
      <c r="G12" s="420">
        <v>28257</v>
      </c>
      <c r="H12" s="420">
        <v>22736</v>
      </c>
      <c r="I12" s="420">
        <v>19553</v>
      </c>
      <c r="J12" s="420">
        <v>33274</v>
      </c>
      <c r="K12" s="420">
        <v>25477</v>
      </c>
      <c r="L12" s="420">
        <v>25466</v>
      </c>
      <c r="M12" s="420">
        <v>24194</v>
      </c>
      <c r="N12" s="420">
        <v>168175</v>
      </c>
      <c r="O12" s="420">
        <v>165063</v>
      </c>
      <c r="P12" s="420">
        <v>150032</v>
      </c>
      <c r="Q12" s="420">
        <v>141779</v>
      </c>
      <c r="R12" s="420">
        <v>262791</v>
      </c>
      <c r="S12" s="420">
        <v>281705</v>
      </c>
    </row>
    <row r="13" spans="2:21">
      <c r="B13" s="949"/>
      <c r="C13" s="418" t="s">
        <v>219</v>
      </c>
      <c r="D13" s="419">
        <v>28561</v>
      </c>
      <c r="E13" s="420">
        <v>35951</v>
      </c>
      <c r="F13" s="420">
        <v>28257</v>
      </c>
      <c r="G13" s="420">
        <v>23450</v>
      </c>
      <c r="H13" s="420">
        <v>19553</v>
      </c>
      <c r="I13" s="420">
        <v>20960</v>
      </c>
      <c r="J13" s="420">
        <v>25477</v>
      </c>
      <c r="K13" s="420">
        <v>28204</v>
      </c>
      <c r="L13" s="420">
        <v>24194</v>
      </c>
      <c r="M13" s="420">
        <v>19185</v>
      </c>
      <c r="N13" s="420">
        <v>165063</v>
      </c>
      <c r="O13" s="420">
        <v>162389</v>
      </c>
      <c r="P13" s="420">
        <v>141779</v>
      </c>
      <c r="Q13" s="420">
        <v>131068</v>
      </c>
      <c r="R13" s="420">
        <v>281705</v>
      </c>
      <c r="S13" s="420">
        <v>246862</v>
      </c>
    </row>
    <row r="14" spans="2:21">
      <c r="B14" s="949"/>
      <c r="C14" s="418" t="s">
        <v>220</v>
      </c>
      <c r="D14" s="419">
        <v>35951</v>
      </c>
      <c r="E14" s="420">
        <v>35136</v>
      </c>
      <c r="F14" s="420">
        <v>23450</v>
      </c>
      <c r="G14" s="420">
        <v>22489</v>
      </c>
      <c r="H14" s="420">
        <v>20960</v>
      </c>
      <c r="I14" s="420">
        <v>20428</v>
      </c>
      <c r="J14" s="420">
        <v>28204</v>
      </c>
      <c r="K14" s="420">
        <v>18944</v>
      </c>
      <c r="L14" s="420">
        <v>19185</v>
      </c>
      <c r="M14" s="420">
        <v>14668</v>
      </c>
      <c r="N14" s="420">
        <v>162389</v>
      </c>
      <c r="O14" s="420">
        <v>159084</v>
      </c>
      <c r="P14" s="420">
        <v>131068</v>
      </c>
      <c r="Q14" s="420">
        <v>122103</v>
      </c>
      <c r="R14" s="420">
        <v>246862</v>
      </c>
      <c r="S14" s="420">
        <v>251379</v>
      </c>
    </row>
    <row r="15" spans="2:21" ht="14.4">
      <c r="B15" s="949"/>
      <c r="C15" s="418" t="s">
        <v>221</v>
      </c>
      <c r="D15" s="419">
        <v>35136</v>
      </c>
      <c r="E15" s="420">
        <v>27714</v>
      </c>
      <c r="F15" s="420">
        <v>22489</v>
      </c>
      <c r="G15" s="420">
        <v>25547</v>
      </c>
      <c r="H15" s="420">
        <v>20428</v>
      </c>
      <c r="I15" s="420">
        <v>26324</v>
      </c>
      <c r="J15" s="420">
        <v>18944</v>
      </c>
      <c r="K15" s="420">
        <v>18725</v>
      </c>
      <c r="L15" s="420">
        <v>14668</v>
      </c>
      <c r="M15" s="420">
        <v>12636</v>
      </c>
      <c r="N15" s="420">
        <v>159084</v>
      </c>
      <c r="O15" s="420">
        <v>151267</v>
      </c>
      <c r="P15" s="420">
        <v>122103</v>
      </c>
      <c r="Q15" s="420">
        <v>116066</v>
      </c>
      <c r="R15" s="420">
        <v>251379</v>
      </c>
      <c r="S15" s="420">
        <v>250467</v>
      </c>
      <c r="T15" s="393"/>
    </row>
    <row r="16" spans="2:21" ht="14.4">
      <c r="B16" s="949"/>
      <c r="C16" s="418" t="s">
        <v>206</v>
      </c>
      <c r="D16" s="419">
        <v>27714</v>
      </c>
      <c r="E16" s="420">
        <v>22089</v>
      </c>
      <c r="F16" s="420">
        <v>25547</v>
      </c>
      <c r="G16" s="420">
        <v>23558</v>
      </c>
      <c r="H16" s="420">
        <v>26324</v>
      </c>
      <c r="I16" s="420">
        <v>23362</v>
      </c>
      <c r="J16" s="420">
        <v>18725</v>
      </c>
      <c r="K16" s="420">
        <v>16021</v>
      </c>
      <c r="L16" s="420">
        <v>12636</v>
      </c>
      <c r="M16" s="420">
        <v>10352</v>
      </c>
      <c r="N16" s="420">
        <v>151267</v>
      </c>
      <c r="O16" s="586">
        <v>147895</v>
      </c>
      <c r="P16" s="420">
        <v>116066</v>
      </c>
      <c r="Q16" s="420">
        <v>105653</v>
      </c>
      <c r="R16" s="420">
        <v>250467</v>
      </c>
      <c r="S16" s="420">
        <v>227608</v>
      </c>
      <c r="T16" s="396"/>
      <c r="U16" s="25"/>
    </row>
    <row r="17" spans="2:22">
      <c r="B17" s="950"/>
      <c r="C17" s="418" t="s">
        <v>207</v>
      </c>
      <c r="D17" s="419">
        <v>22089</v>
      </c>
      <c r="E17" s="420">
        <v>44997</v>
      </c>
      <c r="F17" s="420">
        <v>23558</v>
      </c>
      <c r="G17" s="420">
        <v>22500</v>
      </c>
      <c r="H17" s="420">
        <v>23362</v>
      </c>
      <c r="I17" s="420">
        <v>28354</v>
      </c>
      <c r="J17" s="420">
        <v>16021</v>
      </c>
      <c r="K17" s="420">
        <v>19053</v>
      </c>
      <c r="L17" s="420">
        <v>10352</v>
      </c>
      <c r="M17" s="420">
        <v>12291</v>
      </c>
      <c r="N17" s="420">
        <v>147895</v>
      </c>
      <c r="O17" s="420">
        <v>139847</v>
      </c>
      <c r="P17" s="420">
        <v>105653</v>
      </c>
      <c r="Q17" s="420">
        <v>98967</v>
      </c>
      <c r="R17" s="420">
        <v>227608</v>
      </c>
      <c r="S17" s="420">
        <v>267657</v>
      </c>
      <c r="U17" s="25"/>
    </row>
    <row r="18" spans="2:22">
      <c r="B18" s="948">
        <v>2023</v>
      </c>
      <c r="C18" s="647" t="s">
        <v>212</v>
      </c>
      <c r="D18" s="419">
        <v>44997</v>
      </c>
      <c r="E18" s="420">
        <v>60154</v>
      </c>
      <c r="F18" s="420">
        <v>22500</v>
      </c>
      <c r="G18" s="420">
        <v>37812</v>
      </c>
      <c r="H18" s="420">
        <v>28354</v>
      </c>
      <c r="I18" s="420">
        <v>31264</v>
      </c>
      <c r="J18" s="420">
        <v>19053</v>
      </c>
      <c r="K18" s="420">
        <v>42825</v>
      </c>
      <c r="L18" s="420">
        <v>12291</v>
      </c>
      <c r="M18" s="420">
        <v>41908</v>
      </c>
      <c r="N18" s="420">
        <v>139847</v>
      </c>
      <c r="O18" s="420">
        <v>152771</v>
      </c>
      <c r="P18" s="420">
        <v>98967</v>
      </c>
      <c r="Q18" s="420">
        <v>101997</v>
      </c>
      <c r="R18" s="420">
        <v>267657</v>
      </c>
      <c r="S18" s="420">
        <v>343738</v>
      </c>
    </row>
    <row r="19" spans="2:22">
      <c r="B19" s="949"/>
      <c r="C19" s="647" t="s">
        <v>213</v>
      </c>
      <c r="D19" s="419">
        <v>60154</v>
      </c>
      <c r="E19" s="420">
        <v>62935</v>
      </c>
      <c r="F19" s="420">
        <v>37812</v>
      </c>
      <c r="G19" s="420">
        <v>37083</v>
      </c>
      <c r="H19" s="420">
        <v>31264</v>
      </c>
      <c r="I19" s="420">
        <v>27651</v>
      </c>
      <c r="J19" s="420">
        <v>42825</v>
      </c>
      <c r="K19" s="420">
        <v>51916</v>
      </c>
      <c r="L19" s="420">
        <v>41908</v>
      </c>
      <c r="M19" s="420">
        <v>43796</v>
      </c>
      <c r="N19" s="420">
        <v>152771</v>
      </c>
      <c r="O19" s="420">
        <v>191351</v>
      </c>
      <c r="P19" s="420">
        <v>101997</v>
      </c>
      <c r="Q19" s="420">
        <v>139561</v>
      </c>
      <c r="R19" s="420">
        <v>343738</v>
      </c>
      <c r="S19" s="420">
        <v>338200</v>
      </c>
    </row>
    <row r="20" spans="2:22">
      <c r="B20" s="949"/>
      <c r="C20" s="647" t="s">
        <v>214</v>
      </c>
      <c r="D20" s="419">
        <v>62935</v>
      </c>
      <c r="E20" s="420">
        <v>56674</v>
      </c>
      <c r="F20" s="420">
        <v>37083</v>
      </c>
      <c r="G20" s="420">
        <v>36556</v>
      </c>
      <c r="H20" s="420">
        <v>27651</v>
      </c>
      <c r="I20" s="420">
        <v>25203</v>
      </c>
      <c r="J20" s="420">
        <v>51916</v>
      </c>
      <c r="K20" s="420">
        <v>43946</v>
      </c>
      <c r="L20" s="420">
        <v>43796</v>
      </c>
      <c r="M20" s="420">
        <v>36430</v>
      </c>
      <c r="N20" s="420">
        <v>191351</v>
      </c>
      <c r="O20" s="420">
        <v>196678</v>
      </c>
      <c r="P20" s="420">
        <v>139561</v>
      </c>
      <c r="Q20" s="420">
        <v>154985</v>
      </c>
      <c r="R20" s="420">
        <v>338200</v>
      </c>
      <c r="S20" s="420">
        <v>337933</v>
      </c>
    </row>
    <row r="21" spans="2:22">
      <c r="B21" s="949"/>
      <c r="C21" s="647" t="s">
        <v>215</v>
      </c>
      <c r="D21" s="419">
        <v>56674</v>
      </c>
      <c r="E21" s="420">
        <v>52858</v>
      </c>
      <c r="F21" s="420">
        <v>36556</v>
      </c>
      <c r="G21" s="420">
        <v>35352</v>
      </c>
      <c r="H21" s="420">
        <v>25203</v>
      </c>
      <c r="I21" s="420">
        <v>20613</v>
      </c>
      <c r="J21" s="420">
        <v>43946</v>
      </c>
      <c r="K21" s="420">
        <v>38978</v>
      </c>
      <c r="L21" s="420">
        <v>36430</v>
      </c>
      <c r="M21" s="420">
        <v>35863</v>
      </c>
      <c r="N21" s="420">
        <v>196678</v>
      </c>
      <c r="O21" s="420">
        <v>194323</v>
      </c>
      <c r="P21" s="420">
        <v>154985</v>
      </c>
      <c r="Q21" s="420">
        <v>163676</v>
      </c>
      <c r="R21" s="420">
        <v>337933</v>
      </c>
      <c r="S21" s="420">
        <v>347290</v>
      </c>
    </row>
    <row r="22" spans="2:22">
      <c r="B22" s="949"/>
      <c r="C22" s="647" t="s">
        <v>216</v>
      </c>
      <c r="D22" s="419">
        <v>52858</v>
      </c>
      <c r="E22" s="420">
        <v>47901</v>
      </c>
      <c r="F22" s="420">
        <v>35352</v>
      </c>
      <c r="G22" s="420">
        <v>32008</v>
      </c>
      <c r="H22" s="420">
        <v>20613</v>
      </c>
      <c r="I22" s="420">
        <v>18892</v>
      </c>
      <c r="J22" s="420">
        <v>38978</v>
      </c>
      <c r="K22" s="420">
        <v>39266</v>
      </c>
      <c r="L22" s="420">
        <v>35863</v>
      </c>
      <c r="M22" s="420">
        <v>31577</v>
      </c>
      <c r="N22" s="420">
        <v>194232</v>
      </c>
      <c r="O22" s="420">
        <v>190983</v>
      </c>
      <c r="P22" s="420">
        <v>163676</v>
      </c>
      <c r="Q22" s="420">
        <v>163778</v>
      </c>
      <c r="R22" s="420">
        <v>347290</v>
      </c>
      <c r="S22" s="420">
        <v>336253</v>
      </c>
    </row>
    <row r="23" spans="2:22">
      <c r="B23" s="949"/>
      <c r="C23" s="647" t="s">
        <v>217</v>
      </c>
      <c r="D23" s="419">
        <v>47901</v>
      </c>
      <c r="E23" s="420">
        <v>50400</v>
      </c>
      <c r="F23" s="420">
        <v>32008</v>
      </c>
      <c r="G23" s="420">
        <v>28877</v>
      </c>
      <c r="H23" s="420">
        <v>18892</v>
      </c>
      <c r="I23" s="420">
        <v>15780</v>
      </c>
      <c r="J23" s="420">
        <v>39266</v>
      </c>
      <c r="K23" s="420">
        <v>31858</v>
      </c>
      <c r="L23" s="420">
        <v>31577</v>
      </c>
      <c r="M23" s="420">
        <v>28733</v>
      </c>
      <c r="N23" s="420">
        <v>190983</v>
      </c>
      <c r="O23" s="420">
        <v>185718</v>
      </c>
      <c r="P23" s="420">
        <v>163778</v>
      </c>
      <c r="Q23" s="420">
        <v>159915</v>
      </c>
      <c r="R23" s="420">
        <v>336253</v>
      </c>
      <c r="S23" s="420">
        <v>300366</v>
      </c>
    </row>
    <row r="24" spans="2:22">
      <c r="B24" s="949"/>
      <c r="C24" s="647" t="s">
        <v>218</v>
      </c>
      <c r="D24" s="419">
        <v>50400</v>
      </c>
      <c r="E24" s="420">
        <v>42703</v>
      </c>
      <c r="F24" s="420">
        <v>28877</v>
      </c>
      <c r="G24" s="420">
        <v>28159</v>
      </c>
      <c r="H24" s="420">
        <v>15780</v>
      </c>
      <c r="I24" s="420">
        <v>15570</v>
      </c>
      <c r="J24" s="420">
        <v>31858</v>
      </c>
      <c r="K24" s="420">
        <v>37762</v>
      </c>
      <c r="L24" s="420">
        <v>28733</v>
      </c>
      <c r="M24" s="420">
        <v>26764</v>
      </c>
      <c r="N24" s="420">
        <v>185718</v>
      </c>
      <c r="O24" s="420">
        <v>183426</v>
      </c>
      <c r="P24" s="420">
        <v>159915</v>
      </c>
      <c r="Q24" s="420">
        <v>149080</v>
      </c>
      <c r="R24" s="420">
        <v>300366</v>
      </c>
      <c r="S24" s="420">
        <v>298312</v>
      </c>
    </row>
    <row r="25" spans="2:22">
      <c r="B25" s="949"/>
      <c r="C25" s="647" t="s">
        <v>219</v>
      </c>
      <c r="D25" s="419">
        <v>42703</v>
      </c>
      <c r="E25" s="420">
        <v>36596</v>
      </c>
      <c r="F25" s="420">
        <v>28159</v>
      </c>
      <c r="G25" s="420">
        <v>25517</v>
      </c>
      <c r="H25" s="420">
        <v>15570</v>
      </c>
      <c r="I25" s="420">
        <v>14458</v>
      </c>
      <c r="J25" s="420">
        <v>37762</v>
      </c>
      <c r="K25" s="420">
        <v>28032</v>
      </c>
      <c r="L25" s="420">
        <v>26764</v>
      </c>
      <c r="M25" s="420">
        <v>26754</v>
      </c>
      <c r="N25" s="420">
        <v>183426</v>
      </c>
      <c r="O25" s="420">
        <v>179274</v>
      </c>
      <c r="P25" s="420">
        <v>149080</v>
      </c>
      <c r="Q25" s="420">
        <v>138445</v>
      </c>
      <c r="R25" s="420">
        <v>298312</v>
      </c>
      <c r="S25" s="420">
        <v>277717</v>
      </c>
    </row>
    <row r="26" spans="2:22">
      <c r="B26" s="949"/>
      <c r="C26" s="647" t="s">
        <v>220</v>
      </c>
      <c r="D26" s="419">
        <v>36596</v>
      </c>
      <c r="E26" s="420">
        <v>39295</v>
      </c>
      <c r="F26" s="420">
        <v>25517</v>
      </c>
      <c r="G26" s="420">
        <v>24589</v>
      </c>
      <c r="H26" s="420">
        <v>14458</v>
      </c>
      <c r="I26" s="420">
        <v>17511</v>
      </c>
      <c r="J26" s="420">
        <v>28032</v>
      </c>
      <c r="K26" s="420">
        <v>33241</v>
      </c>
      <c r="L26" s="420">
        <v>26754</v>
      </c>
      <c r="M26" s="420">
        <v>27110</v>
      </c>
      <c r="N26" s="420">
        <v>179274</v>
      </c>
      <c r="O26" s="420">
        <v>177408</v>
      </c>
      <c r="P26" s="420">
        <v>138445</v>
      </c>
      <c r="Q26" s="420">
        <v>130830</v>
      </c>
      <c r="R26" s="420">
        <v>277717</v>
      </c>
      <c r="S26" s="420">
        <v>264994</v>
      </c>
    </row>
    <row r="27" spans="2:22">
      <c r="B27" s="949"/>
      <c r="C27" s="647" t="s">
        <v>221</v>
      </c>
      <c r="D27" s="419">
        <v>39295</v>
      </c>
      <c r="E27" s="420">
        <v>42409</v>
      </c>
      <c r="F27" s="420">
        <v>24589</v>
      </c>
      <c r="G27" s="420">
        <v>25147</v>
      </c>
      <c r="H27" s="420">
        <v>17511</v>
      </c>
      <c r="I27" s="420">
        <v>10448</v>
      </c>
      <c r="J27" s="420">
        <v>33241</v>
      </c>
      <c r="K27" s="420">
        <v>29102</v>
      </c>
      <c r="L27" s="420">
        <v>27110</v>
      </c>
      <c r="M27" s="420">
        <v>30638</v>
      </c>
      <c r="N27" s="420">
        <v>177408</v>
      </c>
      <c r="O27" s="420">
        <v>169311</v>
      </c>
      <c r="P27" s="420">
        <v>130830</v>
      </c>
      <c r="Q27" s="420">
        <v>120387</v>
      </c>
      <c r="R27" s="420">
        <v>264994</v>
      </c>
      <c r="S27" s="420">
        <v>278489</v>
      </c>
    </row>
    <row r="28" spans="2:22">
      <c r="B28" s="949"/>
      <c r="C28" s="647" t="s">
        <v>206</v>
      </c>
      <c r="D28" s="419">
        <v>42409</v>
      </c>
      <c r="E28" s="420">
        <v>32790</v>
      </c>
      <c r="F28" s="420">
        <v>25147</v>
      </c>
      <c r="G28" s="420">
        <v>22809</v>
      </c>
      <c r="H28" s="420">
        <v>10448</v>
      </c>
      <c r="I28" s="420">
        <v>11569</v>
      </c>
      <c r="J28" s="420">
        <v>29102</v>
      </c>
      <c r="K28" s="420">
        <v>18120</v>
      </c>
      <c r="L28" s="420">
        <v>30638</v>
      </c>
      <c r="M28" s="420">
        <v>30815</v>
      </c>
      <c r="N28" s="420">
        <v>169311</v>
      </c>
      <c r="O28" s="420">
        <v>160572</v>
      </c>
      <c r="P28" s="420">
        <v>120387</v>
      </c>
      <c r="Q28" s="420">
        <v>109293</v>
      </c>
      <c r="R28" s="420">
        <v>278489</v>
      </c>
      <c r="S28" s="420">
        <v>265081</v>
      </c>
      <c r="U28" s="25"/>
    </row>
    <row r="29" spans="2:22" ht="15.05" customHeight="1">
      <c r="B29" s="950"/>
      <c r="C29" s="647" t="s">
        <v>207</v>
      </c>
      <c r="D29" s="419">
        <v>32790</v>
      </c>
      <c r="E29" s="420">
        <v>39455</v>
      </c>
      <c r="F29" s="420">
        <v>22809</v>
      </c>
      <c r="G29" s="420">
        <v>19575</v>
      </c>
      <c r="H29" s="420">
        <v>11569</v>
      </c>
      <c r="I29" s="420">
        <v>10382</v>
      </c>
      <c r="J29" s="420">
        <v>18120</v>
      </c>
      <c r="K29" s="420">
        <v>14081</v>
      </c>
      <c r="L29" s="420">
        <v>30815</v>
      </c>
      <c r="M29" s="420">
        <v>28468</v>
      </c>
      <c r="N29" s="420">
        <v>160572</v>
      </c>
      <c r="O29" s="420">
        <v>151858</v>
      </c>
      <c r="P29" s="420">
        <v>109293</v>
      </c>
      <c r="Q29" s="420">
        <v>99298</v>
      </c>
      <c r="R29" s="420">
        <v>265081</v>
      </c>
      <c r="S29" s="420">
        <v>248321</v>
      </c>
      <c r="U29" s="25"/>
      <c r="V29" s="225"/>
    </row>
    <row r="30" spans="2:22">
      <c r="B30" s="1080">
        <v>2024</v>
      </c>
      <c r="C30" s="647" t="s">
        <v>212</v>
      </c>
      <c r="D30" s="419">
        <v>39455</v>
      </c>
      <c r="E30" s="420">
        <v>60132</v>
      </c>
      <c r="F30" s="420">
        <v>10575</v>
      </c>
      <c r="G30" s="420">
        <v>30318</v>
      </c>
      <c r="H30" s="420">
        <v>10382</v>
      </c>
      <c r="I30" s="420">
        <v>18388</v>
      </c>
      <c r="J30" s="420">
        <v>14081</v>
      </c>
      <c r="K30" s="420">
        <v>33686</v>
      </c>
      <c r="L30" s="420">
        <v>28468</v>
      </c>
      <c r="M30" s="420">
        <v>40141</v>
      </c>
      <c r="N30" s="420">
        <v>151858</v>
      </c>
      <c r="O30" s="420">
        <v>163892</v>
      </c>
      <c r="P30" s="420">
        <v>99298</v>
      </c>
      <c r="Q30" s="420">
        <v>94544</v>
      </c>
      <c r="R30" s="420">
        <v>248321</v>
      </c>
      <c r="S30" s="420">
        <v>316735</v>
      </c>
    </row>
    <row r="31" spans="2:22">
      <c r="B31" s="1080"/>
      <c r="C31" s="647" t="s">
        <v>213</v>
      </c>
      <c r="D31" s="419">
        <v>60132</v>
      </c>
      <c r="E31" s="420">
        <v>57964</v>
      </c>
      <c r="F31" s="420">
        <v>30818</v>
      </c>
      <c r="G31" s="420">
        <v>32439</v>
      </c>
      <c r="H31" s="420">
        <v>18388</v>
      </c>
      <c r="I31" s="420">
        <v>19971</v>
      </c>
      <c r="J31" s="420">
        <v>33686</v>
      </c>
      <c r="K31" s="420">
        <v>54685</v>
      </c>
      <c r="L31" s="420">
        <v>40141</v>
      </c>
      <c r="M31" s="420">
        <v>44621</v>
      </c>
      <c r="N31" s="420">
        <v>163892</v>
      </c>
      <c r="O31" s="420">
        <v>197031</v>
      </c>
      <c r="P31" s="420">
        <v>94544</v>
      </c>
      <c r="Q31" s="420">
        <v>119910</v>
      </c>
      <c r="R31" s="420">
        <v>316735</v>
      </c>
      <c r="S31" s="420">
        <v>330653</v>
      </c>
    </row>
    <row r="32" spans="2:22">
      <c r="B32" s="1080"/>
      <c r="C32" s="647" t="s">
        <v>214</v>
      </c>
      <c r="D32" s="419">
        <v>57964</v>
      </c>
      <c r="E32" s="420">
        <v>51846</v>
      </c>
      <c r="F32" s="420">
        <v>32439</v>
      </c>
      <c r="G32" s="420">
        <v>33009</v>
      </c>
      <c r="H32" s="420">
        <v>19971</v>
      </c>
      <c r="I32" s="420">
        <v>22836</v>
      </c>
      <c r="J32" s="420">
        <v>54685</v>
      </c>
      <c r="K32" s="420">
        <v>58773</v>
      </c>
      <c r="L32" s="420">
        <v>44621</v>
      </c>
      <c r="M32" s="420">
        <v>41501</v>
      </c>
      <c r="N32" s="420">
        <v>197031</v>
      </c>
      <c r="O32" s="420">
        <v>213451</v>
      </c>
      <c r="P32" s="420">
        <v>119910</v>
      </c>
      <c r="Q32" s="420">
        <v>133446</v>
      </c>
      <c r="R32" s="420">
        <v>330653</v>
      </c>
      <c r="S32" s="420">
        <v>346434</v>
      </c>
    </row>
    <row r="33" spans="2:20">
      <c r="B33" s="1080"/>
      <c r="C33" s="647" t="s">
        <v>215</v>
      </c>
      <c r="D33" s="419">
        <v>51846</v>
      </c>
      <c r="E33" s="420">
        <v>55311</v>
      </c>
      <c r="F33" s="420">
        <v>33009</v>
      </c>
      <c r="G33" s="420">
        <v>30978</v>
      </c>
      <c r="H33" s="420">
        <v>22836</v>
      </c>
      <c r="I33" s="420">
        <v>13654</v>
      </c>
      <c r="J33" s="420">
        <v>58773</v>
      </c>
      <c r="K33" s="420">
        <v>54840</v>
      </c>
      <c r="L33" s="420">
        <v>41501</v>
      </c>
      <c r="M33" s="420">
        <v>36564</v>
      </c>
      <c r="N33" s="420">
        <v>213451</v>
      </c>
      <c r="O33" s="420">
        <v>208213</v>
      </c>
      <c r="P33" s="420">
        <v>133446</v>
      </c>
      <c r="Q33" s="420">
        <v>128507</v>
      </c>
      <c r="R33" s="420">
        <v>346434</v>
      </c>
      <c r="S33" s="420">
        <v>329636</v>
      </c>
    </row>
    <row r="34" spans="2:20">
      <c r="B34" s="1080"/>
      <c r="C34" s="647" t="s">
        <v>216</v>
      </c>
      <c r="D34" s="419">
        <v>55311</v>
      </c>
      <c r="E34" s="420">
        <v>49860</v>
      </c>
      <c r="F34" s="420">
        <v>30978</v>
      </c>
      <c r="G34" s="420">
        <v>28887</v>
      </c>
      <c r="H34" s="420">
        <v>13654</v>
      </c>
      <c r="I34" s="420">
        <v>12596</v>
      </c>
      <c r="J34" s="420">
        <v>54840</v>
      </c>
      <c r="K34" s="420">
        <v>46543</v>
      </c>
      <c r="L34" s="420">
        <v>36564</v>
      </c>
      <c r="M34" s="420">
        <v>29613</v>
      </c>
      <c r="N34" s="420">
        <v>208213</v>
      </c>
      <c r="O34" s="420">
        <v>206548</v>
      </c>
      <c r="P34" s="420">
        <v>128507</v>
      </c>
      <c r="Q34" s="420">
        <v>123743</v>
      </c>
      <c r="R34" s="420">
        <v>329636</v>
      </c>
      <c r="S34" s="420">
        <v>305696</v>
      </c>
    </row>
    <row r="35" spans="2:20">
      <c r="B35" s="1080"/>
      <c r="C35" s="418" t="s">
        <v>217</v>
      </c>
      <c r="D35" s="419">
        <v>49860</v>
      </c>
      <c r="E35" s="420">
        <v>44945</v>
      </c>
      <c r="F35" s="420">
        <v>28887</v>
      </c>
      <c r="G35" s="420">
        <v>30174</v>
      </c>
      <c r="H35" s="420">
        <v>12596</v>
      </c>
      <c r="I35" s="420">
        <v>11032</v>
      </c>
      <c r="J35" s="420">
        <v>46543</v>
      </c>
      <c r="K35" s="420">
        <v>38842</v>
      </c>
      <c r="L35" s="420">
        <v>29613</v>
      </c>
      <c r="M35" s="420">
        <v>25375</v>
      </c>
      <c r="N35" s="420">
        <v>206548</v>
      </c>
      <c r="O35" s="420">
        <v>202231</v>
      </c>
      <c r="P35" s="420">
        <v>123743</v>
      </c>
      <c r="Q35" s="420">
        <v>123419</v>
      </c>
      <c r="R35" s="420">
        <v>305696</v>
      </c>
      <c r="S35" s="420">
        <v>313175</v>
      </c>
    </row>
    <row r="36" spans="2:20">
      <c r="B36" s="1080"/>
      <c r="C36" s="418" t="s">
        <v>218</v>
      </c>
      <c r="D36" s="419">
        <v>44945</v>
      </c>
      <c r="E36" s="420">
        <v>38139</v>
      </c>
      <c r="F36" s="420">
        <v>30174</v>
      </c>
      <c r="G36" s="420">
        <v>27202</v>
      </c>
      <c r="H36" s="420">
        <v>11032</v>
      </c>
      <c r="I36" s="420">
        <v>8798</v>
      </c>
      <c r="J36" s="420">
        <v>38842</v>
      </c>
      <c r="K36" s="420">
        <v>32380</v>
      </c>
      <c r="L36" s="420">
        <v>25375</v>
      </c>
      <c r="M36" s="420">
        <v>22666</v>
      </c>
      <c r="N36" s="420">
        <v>202231</v>
      </c>
      <c r="O36" s="420">
        <v>194750</v>
      </c>
      <c r="P36" s="420">
        <v>123419</v>
      </c>
      <c r="Q36" s="420">
        <v>117613</v>
      </c>
      <c r="R36" s="420">
        <v>313175</v>
      </c>
      <c r="S36" s="420">
        <v>314020</v>
      </c>
    </row>
    <row r="37" spans="2:20" ht="17.2" customHeight="1">
      <c r="B37" s="310" t="s">
        <v>386</v>
      </c>
    </row>
    <row r="39" spans="2:20" ht="17.7">
      <c r="E39" s="427"/>
      <c r="F39" s="427"/>
      <c r="G39" s="427"/>
      <c r="H39" s="427"/>
      <c r="I39" s="427"/>
      <c r="J39" s="427"/>
      <c r="K39" s="427"/>
      <c r="L39" s="427"/>
      <c r="M39" s="427"/>
      <c r="N39" s="427"/>
      <c r="O39" s="427"/>
      <c r="P39" s="427"/>
      <c r="Q39" s="427"/>
      <c r="R39" s="427"/>
      <c r="S39" s="427"/>
      <c r="T39" s="427"/>
    </row>
    <row r="40" spans="2:20">
      <c r="E40" s="310" t="s">
        <v>97</v>
      </c>
      <c r="F40" s="310" t="s">
        <v>97</v>
      </c>
    </row>
  </sheetData>
  <mergeCells count="16">
    <mergeCell ref="C3:C5"/>
    <mergeCell ref="B30:B36"/>
    <mergeCell ref="D3:S3"/>
    <mergeCell ref="B6:B17"/>
    <mergeCell ref="B18:B29"/>
    <mergeCell ref="B1:S1"/>
    <mergeCell ref="B2:S2"/>
    <mergeCell ref="J4:K4"/>
    <mergeCell ref="H4:I4"/>
    <mergeCell ref="F4:G4"/>
    <mergeCell ref="D4:E4"/>
    <mergeCell ref="R4:S4"/>
    <mergeCell ref="P4:Q4"/>
    <mergeCell ref="N4:O4"/>
    <mergeCell ref="L4:M4"/>
    <mergeCell ref="B3:B5"/>
  </mergeCells>
  <phoneticPr fontId="47" type="noConversion"/>
  <printOptions horizontalCentered="1"/>
  <pageMargins left="0.70866141732283472" right="0.70866141732283472" top="0.74803149606299213" bottom="0.74803149606299213" header="0.31496062992125984" footer="0.31496062992125984"/>
  <pageSetup paperSize="12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CF1A-0D49-4052-8A39-A2E64A1FEBC4}">
  <sheetPr>
    <pageSetUpPr fitToPage="1"/>
  </sheetPr>
  <dimension ref="B1:N36"/>
  <sheetViews>
    <sheetView topLeftCell="B1" zoomScale="90" zoomScaleNormal="90" workbookViewId="0">
      <selection activeCell="P15" sqref="P15"/>
    </sheetView>
  </sheetViews>
  <sheetFormatPr baseColWidth="10" defaultColWidth="10.9140625" defaultRowHeight="14.4"/>
  <cols>
    <col min="1" max="1" width="1.4140625" style="272" customWidth="1"/>
    <col min="2" max="2" width="6.08203125" style="272" customWidth="1"/>
    <col min="3" max="3" width="7.25" style="272" customWidth="1"/>
    <col min="4" max="4" width="12.75" style="272" customWidth="1"/>
    <col min="5" max="5" width="8.58203125" style="272" customWidth="1"/>
    <col min="6" max="6" width="8.5" style="272" customWidth="1"/>
    <col min="7" max="7" width="7.75" style="272" customWidth="1"/>
    <col min="8" max="8" width="8.25" style="272" customWidth="1"/>
    <col min="9" max="9" width="7" style="272" customWidth="1"/>
    <col min="10" max="10" width="8.9140625" style="272" customWidth="1"/>
    <col min="11" max="11" width="9.6640625" style="272" customWidth="1"/>
    <col min="12" max="12" width="2.08203125" style="272" customWidth="1"/>
    <col min="13" max="16384" width="10.9140625" style="272"/>
  </cols>
  <sheetData>
    <row r="1" spans="2:14">
      <c r="B1" s="791" t="s">
        <v>389</v>
      </c>
      <c r="C1" s="791"/>
      <c r="D1" s="791"/>
      <c r="E1" s="791"/>
      <c r="F1" s="791"/>
      <c r="G1" s="791"/>
      <c r="H1" s="791"/>
      <c r="I1" s="791"/>
      <c r="J1" s="791"/>
      <c r="K1" s="791"/>
      <c r="L1" s="313"/>
    </row>
    <row r="2" spans="2:14">
      <c r="B2" s="791" t="s">
        <v>778</v>
      </c>
      <c r="C2" s="791"/>
      <c r="D2" s="791"/>
      <c r="E2" s="791"/>
      <c r="F2" s="791"/>
      <c r="G2" s="791"/>
      <c r="H2" s="791"/>
      <c r="I2" s="791"/>
      <c r="J2" s="791"/>
      <c r="K2" s="791"/>
      <c r="L2" s="313"/>
    </row>
    <row r="3" spans="2:14">
      <c r="B3" s="961" t="s">
        <v>193</v>
      </c>
      <c r="C3" s="961" t="s">
        <v>211</v>
      </c>
      <c r="D3" s="955" t="s">
        <v>379</v>
      </c>
      <c r="E3" s="956"/>
      <c r="F3" s="956"/>
      <c r="G3" s="956"/>
      <c r="H3" s="956"/>
      <c r="I3" s="956"/>
      <c r="J3" s="956"/>
      <c r="K3" s="957"/>
    </row>
    <row r="4" spans="2:14" ht="28.15" customHeight="1">
      <c r="B4" s="961"/>
      <c r="C4" s="961"/>
      <c r="D4" s="321" t="s">
        <v>380</v>
      </c>
      <c r="E4" s="315" t="s">
        <v>154</v>
      </c>
      <c r="F4" s="315" t="s">
        <v>156</v>
      </c>
      <c r="G4" s="315" t="s">
        <v>373</v>
      </c>
      <c r="H4" s="315" t="s">
        <v>382</v>
      </c>
      <c r="I4" s="315" t="s">
        <v>158</v>
      </c>
      <c r="J4" s="321" t="s">
        <v>383</v>
      </c>
      <c r="K4" s="312" t="s">
        <v>155</v>
      </c>
      <c r="L4" s="314"/>
    </row>
    <row r="5" spans="2:14">
      <c r="B5" s="948">
        <v>2022</v>
      </c>
      <c r="C5" s="418" t="s">
        <v>212</v>
      </c>
      <c r="D5" s="420">
        <v>33633</v>
      </c>
      <c r="E5" s="420">
        <v>13317</v>
      </c>
      <c r="F5" s="420">
        <v>6795</v>
      </c>
      <c r="G5" s="420">
        <v>29747</v>
      </c>
      <c r="H5" s="420">
        <v>15369</v>
      </c>
      <c r="I5" s="420">
        <v>41453</v>
      </c>
      <c r="J5" s="420">
        <v>7857</v>
      </c>
      <c r="K5" s="420">
        <v>70937</v>
      </c>
      <c r="L5" s="25"/>
      <c r="N5" s="272" t="s">
        <v>97</v>
      </c>
    </row>
    <row r="6" spans="2:14">
      <c r="B6" s="949"/>
      <c r="C6" s="418" t="s">
        <v>213</v>
      </c>
      <c r="D6" s="420">
        <v>6523</v>
      </c>
      <c r="E6" s="420">
        <v>6966</v>
      </c>
      <c r="F6" s="420">
        <v>1355</v>
      </c>
      <c r="G6" s="420">
        <v>19625</v>
      </c>
      <c r="H6" s="420">
        <v>51344</v>
      </c>
      <c r="I6" s="420">
        <v>12074</v>
      </c>
      <c r="J6" s="420">
        <v>68766</v>
      </c>
      <c r="K6" s="420">
        <v>33688</v>
      </c>
      <c r="L6" s="25"/>
    </row>
    <row r="7" spans="2:14">
      <c r="B7" s="949"/>
      <c r="C7" s="418" t="s">
        <v>214</v>
      </c>
      <c r="D7" s="420">
        <v>2958</v>
      </c>
      <c r="E7" s="420">
        <v>1340</v>
      </c>
      <c r="F7" s="420">
        <v>1096</v>
      </c>
      <c r="G7" s="420">
        <v>5459</v>
      </c>
      <c r="H7" s="420">
        <v>17485</v>
      </c>
      <c r="I7" s="420">
        <v>4154</v>
      </c>
      <c r="J7" s="420">
        <v>30143</v>
      </c>
      <c r="K7" s="420">
        <v>26559</v>
      </c>
      <c r="L7" s="25"/>
    </row>
    <row r="8" spans="2:14">
      <c r="B8" s="949"/>
      <c r="C8" s="418" t="s">
        <v>215</v>
      </c>
      <c r="D8" s="420">
        <v>4665</v>
      </c>
      <c r="E8" s="420">
        <v>788</v>
      </c>
      <c r="F8" s="420">
        <v>167</v>
      </c>
      <c r="G8" s="420">
        <v>2558</v>
      </c>
      <c r="H8" s="420">
        <v>8201</v>
      </c>
      <c r="I8" s="420">
        <v>2653</v>
      </c>
      <c r="J8" s="420">
        <v>27894</v>
      </c>
      <c r="K8" s="420">
        <v>22455</v>
      </c>
      <c r="L8" s="25"/>
    </row>
    <row r="9" spans="2:14">
      <c r="B9" s="949"/>
      <c r="C9" s="418" t="s">
        <v>216</v>
      </c>
      <c r="D9" s="420">
        <v>1662</v>
      </c>
      <c r="E9" s="420">
        <v>827</v>
      </c>
      <c r="F9" s="420">
        <v>669</v>
      </c>
      <c r="G9" s="420">
        <v>3672</v>
      </c>
      <c r="H9" s="420">
        <v>9213</v>
      </c>
      <c r="I9" s="420">
        <v>3072</v>
      </c>
      <c r="J9" s="420">
        <v>2882</v>
      </c>
      <c r="K9" s="420">
        <v>18179</v>
      </c>
      <c r="L9" s="25"/>
    </row>
    <row r="10" spans="2:14">
      <c r="B10" s="949"/>
      <c r="C10" s="418" t="s">
        <v>217</v>
      </c>
      <c r="D10" s="420">
        <v>5728</v>
      </c>
      <c r="E10" s="420">
        <v>838</v>
      </c>
      <c r="F10" s="420">
        <v>1306</v>
      </c>
      <c r="G10" s="420">
        <v>3994</v>
      </c>
      <c r="H10" s="420">
        <v>5078</v>
      </c>
      <c r="I10" s="420">
        <v>3612</v>
      </c>
      <c r="J10" s="420">
        <v>7079</v>
      </c>
      <c r="K10" s="420">
        <v>18202</v>
      </c>
      <c r="L10" s="25"/>
    </row>
    <row r="11" spans="2:14">
      <c r="B11" s="949"/>
      <c r="C11" s="418" t="s">
        <v>218</v>
      </c>
      <c r="D11" s="420">
        <v>3930</v>
      </c>
      <c r="E11" s="420">
        <v>1752</v>
      </c>
      <c r="F11" s="420">
        <v>2046</v>
      </c>
      <c r="G11" s="420">
        <v>2878</v>
      </c>
      <c r="H11" s="420">
        <v>6837</v>
      </c>
      <c r="I11" s="420">
        <v>4600</v>
      </c>
      <c r="J11" s="420">
        <v>3245</v>
      </c>
      <c r="K11" s="420">
        <v>23224</v>
      </c>
      <c r="L11" s="25"/>
    </row>
    <row r="12" spans="2:14">
      <c r="B12" s="949"/>
      <c r="C12" s="418" t="s">
        <v>219</v>
      </c>
      <c r="D12" s="420">
        <v>1119</v>
      </c>
      <c r="E12" s="420">
        <v>447</v>
      </c>
      <c r="F12" s="420">
        <v>2177</v>
      </c>
      <c r="G12" s="420">
        <v>2992</v>
      </c>
      <c r="H12" s="420">
        <v>5167</v>
      </c>
      <c r="I12" s="420">
        <v>4216</v>
      </c>
      <c r="J12" s="420">
        <v>1622</v>
      </c>
      <c r="K12" s="420">
        <v>16257</v>
      </c>
      <c r="L12" s="25"/>
    </row>
    <row r="13" spans="2:14">
      <c r="B13" s="949"/>
      <c r="C13" s="418" t="s">
        <v>220</v>
      </c>
      <c r="D13" s="420">
        <v>860</v>
      </c>
      <c r="E13" s="420">
        <v>1978</v>
      </c>
      <c r="F13" s="420">
        <v>1303</v>
      </c>
      <c r="G13" s="420">
        <v>1316</v>
      </c>
      <c r="H13" s="420">
        <v>3555</v>
      </c>
      <c r="I13" s="420">
        <v>3199</v>
      </c>
      <c r="J13" s="420">
        <v>2549</v>
      </c>
      <c r="K13" s="420">
        <v>11691</v>
      </c>
      <c r="L13" s="25"/>
      <c r="N13" s="272" t="s">
        <v>97</v>
      </c>
    </row>
    <row r="14" spans="2:14">
      <c r="B14" s="949"/>
      <c r="C14" s="418" t="s">
        <v>221</v>
      </c>
      <c r="D14" s="420">
        <v>1421</v>
      </c>
      <c r="E14" s="420">
        <v>1479</v>
      </c>
      <c r="F14" s="420">
        <v>1234</v>
      </c>
      <c r="G14" s="420">
        <v>1312</v>
      </c>
      <c r="H14" s="420">
        <v>3187</v>
      </c>
      <c r="I14" s="420">
        <v>5487</v>
      </c>
      <c r="J14" s="420">
        <v>3094</v>
      </c>
      <c r="K14" s="420">
        <v>11289</v>
      </c>
      <c r="L14" s="25"/>
    </row>
    <row r="15" spans="2:14">
      <c r="B15" s="949"/>
      <c r="C15" s="418" t="s">
        <v>206</v>
      </c>
      <c r="D15" s="420">
        <v>1899</v>
      </c>
      <c r="E15" s="420">
        <v>1478</v>
      </c>
      <c r="F15" s="420">
        <v>525</v>
      </c>
      <c r="G15" s="420">
        <v>4967</v>
      </c>
      <c r="H15" s="420">
        <v>5351</v>
      </c>
      <c r="I15" s="420">
        <v>4496</v>
      </c>
      <c r="J15" s="420">
        <v>61</v>
      </c>
      <c r="K15" s="420">
        <v>11002</v>
      </c>
      <c r="L15" s="25"/>
    </row>
    <row r="16" spans="2:14">
      <c r="B16" s="950"/>
      <c r="C16" s="418" t="s">
        <v>207</v>
      </c>
      <c r="D16" s="420">
        <v>22774</v>
      </c>
      <c r="E16" s="420">
        <v>4696</v>
      </c>
      <c r="F16" s="420">
        <v>9570</v>
      </c>
      <c r="G16" s="420">
        <v>1189</v>
      </c>
      <c r="H16" s="420">
        <v>1760</v>
      </c>
      <c r="I16" s="420">
        <v>8063</v>
      </c>
      <c r="J16" s="420">
        <v>3003</v>
      </c>
      <c r="K16" s="420">
        <v>41443</v>
      </c>
      <c r="L16" s="25"/>
      <c r="M16" s="709"/>
    </row>
    <row r="17" spans="2:14">
      <c r="B17" s="948">
        <v>2023</v>
      </c>
      <c r="C17" s="647" t="s">
        <v>212</v>
      </c>
      <c r="D17" s="420">
        <v>25001</v>
      </c>
      <c r="E17" s="420">
        <v>15719</v>
      </c>
      <c r="F17" s="420">
        <v>5007</v>
      </c>
      <c r="G17" s="420">
        <v>31133</v>
      </c>
      <c r="H17" s="420">
        <v>20789</v>
      </c>
      <c r="I17" s="420">
        <v>38532</v>
      </c>
      <c r="J17" s="420">
        <v>13579</v>
      </c>
      <c r="K17" s="420">
        <v>70193</v>
      </c>
      <c r="L17" s="25"/>
      <c r="M17" s="709"/>
    </row>
    <row r="18" spans="2:14">
      <c r="B18" s="949"/>
      <c r="C18" s="647" t="s">
        <v>213</v>
      </c>
      <c r="D18" s="420">
        <v>4154</v>
      </c>
      <c r="E18" s="420">
        <v>3270</v>
      </c>
      <c r="F18" s="420">
        <v>312</v>
      </c>
      <c r="G18" s="420">
        <v>18235</v>
      </c>
      <c r="H18" s="420">
        <v>48702</v>
      </c>
      <c r="I18" s="420">
        <v>9824</v>
      </c>
      <c r="J18" s="420">
        <v>48347</v>
      </c>
      <c r="K18" s="420">
        <v>25543</v>
      </c>
      <c r="L18" s="25"/>
    </row>
    <row r="19" spans="2:14">
      <c r="B19" s="949"/>
      <c r="C19" s="647" t="s">
        <v>214</v>
      </c>
      <c r="D19" s="420">
        <v>3053</v>
      </c>
      <c r="E19" s="420">
        <v>2410</v>
      </c>
      <c r="F19" s="420">
        <v>621</v>
      </c>
      <c r="G19" s="420">
        <v>4778</v>
      </c>
      <c r="H19" s="420">
        <v>16544</v>
      </c>
      <c r="I19" s="420">
        <v>3792</v>
      </c>
      <c r="J19" s="420">
        <v>28473</v>
      </c>
      <c r="K19" s="420">
        <v>15482</v>
      </c>
      <c r="L19" s="25"/>
    </row>
    <row r="20" spans="2:14">
      <c r="B20" s="949"/>
      <c r="C20" s="647" t="s">
        <v>215</v>
      </c>
      <c r="D20" s="420">
        <v>3533</v>
      </c>
      <c r="E20" s="420">
        <v>1373</v>
      </c>
      <c r="F20" s="420">
        <v>613</v>
      </c>
      <c r="G20" s="420">
        <v>1118</v>
      </c>
      <c r="H20" s="420">
        <v>6786</v>
      </c>
      <c r="I20" s="420">
        <v>6898</v>
      </c>
      <c r="J20" s="420">
        <v>17527</v>
      </c>
      <c r="K20" s="420">
        <v>26251</v>
      </c>
      <c r="L20" s="25"/>
    </row>
    <row r="21" spans="2:14">
      <c r="B21" s="949"/>
      <c r="C21" s="647" t="s">
        <v>216</v>
      </c>
      <c r="D21" s="420">
        <v>6368</v>
      </c>
      <c r="E21" s="420">
        <v>1851</v>
      </c>
      <c r="F21" s="420">
        <v>657</v>
      </c>
      <c r="G21" s="420">
        <v>3141</v>
      </c>
      <c r="H21" s="420">
        <v>5494</v>
      </c>
      <c r="I21" s="420">
        <v>3743</v>
      </c>
      <c r="J21" s="420">
        <v>13215</v>
      </c>
      <c r="K21" s="420">
        <v>16803</v>
      </c>
      <c r="L21" s="25"/>
    </row>
    <row r="22" spans="2:14">
      <c r="B22" s="949"/>
      <c r="C22" s="647" t="s">
        <v>217</v>
      </c>
      <c r="D22" s="420">
        <v>3572</v>
      </c>
      <c r="E22" s="420">
        <v>833</v>
      </c>
      <c r="F22" s="420">
        <v>483</v>
      </c>
      <c r="G22" s="420">
        <v>2671</v>
      </c>
      <c r="H22" s="420">
        <v>2660</v>
      </c>
      <c r="I22" s="420">
        <v>6393</v>
      </c>
      <c r="J22" s="420">
        <v>5798</v>
      </c>
      <c r="K22" s="420">
        <v>10551</v>
      </c>
      <c r="L22" s="25"/>
    </row>
    <row r="23" spans="2:14">
      <c r="B23" s="949"/>
      <c r="C23" s="647" t="s">
        <v>218</v>
      </c>
      <c r="D23" s="420">
        <v>2627</v>
      </c>
      <c r="E23" s="420">
        <v>1490</v>
      </c>
      <c r="F23" s="420">
        <v>1204</v>
      </c>
      <c r="G23" s="420">
        <v>3442</v>
      </c>
      <c r="H23" s="420">
        <v>6929</v>
      </c>
      <c r="I23" s="420">
        <v>6421</v>
      </c>
      <c r="J23" s="420">
        <v>2448</v>
      </c>
      <c r="K23" s="420">
        <v>21045</v>
      </c>
      <c r="L23" s="25"/>
    </row>
    <row r="24" spans="2:14">
      <c r="B24" s="949"/>
      <c r="C24" s="647" t="s">
        <v>219</v>
      </c>
      <c r="D24" s="420">
        <v>5006</v>
      </c>
      <c r="E24" s="420">
        <v>2610</v>
      </c>
      <c r="F24" s="420">
        <v>957</v>
      </c>
      <c r="G24" s="420">
        <v>2096</v>
      </c>
      <c r="H24" s="420">
        <v>3852</v>
      </c>
      <c r="I24" s="420">
        <v>6563</v>
      </c>
      <c r="J24" s="420">
        <v>2319</v>
      </c>
      <c r="K24" s="420">
        <v>19339</v>
      </c>
      <c r="L24" s="25"/>
    </row>
    <row r="25" spans="2:14">
      <c r="B25" s="949"/>
      <c r="C25" s="647" t="s">
        <v>220</v>
      </c>
      <c r="D25" s="420">
        <v>2151</v>
      </c>
      <c r="E25" s="420">
        <v>2061</v>
      </c>
      <c r="F25" s="420">
        <v>1037</v>
      </c>
      <c r="G25" s="420">
        <v>4606</v>
      </c>
      <c r="H25" s="420">
        <v>5343</v>
      </c>
      <c r="I25" s="420">
        <v>5807</v>
      </c>
      <c r="J25" s="420">
        <v>2412</v>
      </c>
      <c r="K25" s="420">
        <v>13898</v>
      </c>
      <c r="L25" s="25"/>
    </row>
    <row r="26" spans="2:14">
      <c r="B26" s="949"/>
      <c r="C26" s="647" t="s">
        <v>221</v>
      </c>
      <c r="D26" s="420">
        <v>12814</v>
      </c>
      <c r="E26" s="420">
        <v>2200</v>
      </c>
      <c r="F26" s="420">
        <v>387</v>
      </c>
      <c r="G26" s="420">
        <v>7236</v>
      </c>
      <c r="H26" s="420">
        <v>2176</v>
      </c>
      <c r="I26" s="420">
        <v>8787</v>
      </c>
      <c r="J26" s="420">
        <v>1377</v>
      </c>
      <c r="K26" s="420">
        <v>22067</v>
      </c>
      <c r="L26" s="25"/>
    </row>
    <row r="27" spans="2:14">
      <c r="B27" s="949"/>
      <c r="C27" s="647" t="s">
        <v>206</v>
      </c>
      <c r="D27" s="420">
        <v>1293</v>
      </c>
      <c r="E27" s="420">
        <v>1862</v>
      </c>
      <c r="F27" s="420">
        <v>2144</v>
      </c>
      <c r="G27" s="420">
        <v>775</v>
      </c>
      <c r="H27" s="420">
        <v>3003</v>
      </c>
      <c r="I27" s="420">
        <v>3717</v>
      </c>
      <c r="J27" s="420">
        <v>1176</v>
      </c>
      <c r="K27" s="420">
        <v>17175</v>
      </c>
      <c r="L27" s="25"/>
    </row>
    <row r="28" spans="2:14">
      <c r="B28" s="950"/>
      <c r="C28" s="647" t="s">
        <v>207</v>
      </c>
      <c r="D28" s="420">
        <v>9761</v>
      </c>
      <c r="E28" s="420">
        <v>2811</v>
      </c>
      <c r="F28" s="420">
        <v>4884</v>
      </c>
      <c r="G28" s="420">
        <v>3308</v>
      </c>
      <c r="H28" s="420">
        <v>2825</v>
      </c>
      <c r="I28" s="420">
        <v>3069</v>
      </c>
      <c r="J28" s="420">
        <v>1003</v>
      </c>
      <c r="K28" s="420">
        <v>32237</v>
      </c>
      <c r="L28" s="25"/>
      <c r="M28" s="709"/>
    </row>
    <row r="29" spans="2:14" ht="16.399999999999999" customHeight="1">
      <c r="B29" s="1080">
        <v>2024</v>
      </c>
      <c r="C29" s="647" t="s">
        <v>212</v>
      </c>
      <c r="D29" s="420">
        <v>31434</v>
      </c>
      <c r="E29" s="420">
        <v>11110</v>
      </c>
      <c r="F29" s="420">
        <v>6338</v>
      </c>
      <c r="G29" s="420">
        <v>22213</v>
      </c>
      <c r="H29" s="420">
        <v>19724</v>
      </c>
      <c r="I29" s="420">
        <v>16799</v>
      </c>
      <c r="J29" s="420">
        <v>7048</v>
      </c>
      <c r="K29" s="420">
        <v>77789</v>
      </c>
      <c r="L29" s="25"/>
      <c r="M29" s="709"/>
      <c r="N29" s="11"/>
    </row>
    <row r="30" spans="2:14" ht="15.05" customHeight="1">
      <c r="B30" s="1080"/>
      <c r="C30" s="647" t="s">
        <v>213</v>
      </c>
      <c r="D30" s="420">
        <v>6369</v>
      </c>
      <c r="E30" s="420">
        <v>7490</v>
      </c>
      <c r="F30" s="420">
        <v>3980</v>
      </c>
      <c r="G30" s="420">
        <v>29665</v>
      </c>
      <c r="H30" s="420">
        <v>42809</v>
      </c>
      <c r="I30" s="420">
        <v>9277</v>
      </c>
      <c r="J30" s="420">
        <v>36855</v>
      </c>
      <c r="K30" s="420">
        <v>33813</v>
      </c>
      <c r="L30" s="25"/>
      <c r="M30" s="709"/>
      <c r="N30" s="11"/>
    </row>
    <row r="31" spans="2:14" ht="15.75" customHeight="1">
      <c r="B31" s="1080"/>
      <c r="C31" s="647" t="s">
        <v>214</v>
      </c>
      <c r="D31" s="420">
        <v>578</v>
      </c>
      <c r="E31" s="420">
        <v>3066</v>
      </c>
      <c r="F31" s="420">
        <v>1345</v>
      </c>
      <c r="G31" s="420">
        <v>16225</v>
      </c>
      <c r="H31" s="420">
        <v>24750</v>
      </c>
      <c r="I31" s="420">
        <v>16799</v>
      </c>
      <c r="J31" s="420">
        <v>7048</v>
      </c>
      <c r="K31" s="420">
        <v>42492</v>
      </c>
      <c r="L31" s="25"/>
      <c r="M31" s="709"/>
      <c r="N31" s="11"/>
    </row>
    <row r="32" spans="2:14" ht="15.75" customHeight="1">
      <c r="B32" s="1080"/>
      <c r="C32" s="647" t="s">
        <v>215</v>
      </c>
      <c r="D32" s="420">
        <v>941</v>
      </c>
      <c r="E32" s="420">
        <v>2985</v>
      </c>
      <c r="F32" s="420">
        <v>920</v>
      </c>
      <c r="G32" s="420">
        <v>5378</v>
      </c>
      <c r="H32" s="420">
        <v>5210</v>
      </c>
      <c r="I32" s="420">
        <v>2618</v>
      </c>
      <c r="J32" s="420">
        <v>8346</v>
      </c>
      <c r="K32" s="420">
        <v>22373</v>
      </c>
      <c r="L32" s="25"/>
      <c r="M32" s="709"/>
      <c r="N32" s="11"/>
    </row>
    <row r="33" spans="2:14" ht="15.05" customHeight="1">
      <c r="B33" s="1080"/>
      <c r="C33" s="647" t="s">
        <v>216</v>
      </c>
      <c r="D33" s="420">
        <v>1940</v>
      </c>
      <c r="E33" s="420">
        <v>1933</v>
      </c>
      <c r="F33" s="420">
        <v>4091</v>
      </c>
      <c r="G33" s="420">
        <v>5586</v>
      </c>
      <c r="H33" s="420">
        <v>7632</v>
      </c>
      <c r="I33" s="420">
        <v>2465</v>
      </c>
      <c r="J33" s="420">
        <v>7723</v>
      </c>
      <c r="K33" s="420">
        <v>15593</v>
      </c>
      <c r="L33" s="25"/>
      <c r="M33" s="709"/>
      <c r="N33" s="11"/>
    </row>
    <row r="34" spans="2:14" ht="15.05" customHeight="1">
      <c r="B34" s="1080"/>
      <c r="C34" s="647" t="s">
        <v>217</v>
      </c>
      <c r="D34" s="420">
        <v>3993</v>
      </c>
      <c r="E34" s="420">
        <v>2115</v>
      </c>
      <c r="F34" s="420">
        <v>1285</v>
      </c>
      <c r="G34" s="420">
        <v>2611</v>
      </c>
      <c r="H34" s="420">
        <v>5744</v>
      </c>
      <c r="I34" s="420">
        <v>4153</v>
      </c>
      <c r="J34" s="420">
        <v>11590</v>
      </c>
      <c r="K34" s="420">
        <v>18657</v>
      </c>
      <c r="L34" s="25"/>
      <c r="M34" s="709"/>
      <c r="N34" s="11"/>
    </row>
    <row r="35" spans="2:14" ht="15.05" customHeight="1">
      <c r="B35" s="1080"/>
      <c r="C35" s="647" t="s">
        <v>218</v>
      </c>
      <c r="D35" s="420">
        <v>3008</v>
      </c>
      <c r="E35" s="420">
        <v>4856</v>
      </c>
      <c r="F35" s="420">
        <v>1111</v>
      </c>
      <c r="G35" s="420">
        <v>7717</v>
      </c>
      <c r="H35" s="420">
        <v>3061</v>
      </c>
      <c r="I35" s="420">
        <v>6916</v>
      </c>
      <c r="J35" s="420">
        <v>6905</v>
      </c>
      <c r="K35" s="420">
        <v>24851</v>
      </c>
      <c r="L35" s="25"/>
      <c r="M35" s="709"/>
      <c r="N35" s="11"/>
    </row>
    <row r="36" spans="2:14" ht="19.649999999999999" customHeight="1">
      <c r="B36" s="310" t="s">
        <v>386</v>
      </c>
      <c r="C36" s="310"/>
      <c r="N36" s="272" t="s">
        <v>97</v>
      </c>
    </row>
  </sheetData>
  <mergeCells count="8">
    <mergeCell ref="B17:B28"/>
    <mergeCell ref="B5:B16"/>
    <mergeCell ref="B1:K1"/>
    <mergeCell ref="D3:K3"/>
    <mergeCell ref="B2:K2"/>
    <mergeCell ref="B3:B4"/>
    <mergeCell ref="C3:C4"/>
    <mergeCell ref="B29:B35"/>
  </mergeCells>
  <phoneticPr fontId="47" type="noConversion"/>
  <printOptions horizontalCentered="1"/>
  <pageMargins left="0.70866141732283472" right="0.70866141732283472" top="0.74803149606299213" bottom="0.74803149606299213" header="0.31496062992125984" footer="0.31496062992125984"/>
  <pageSetup paperSize="126"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C843-0650-4DD0-8F3B-A1512F693BCF}">
  <sheetPr>
    <pageSetUpPr fitToPage="1"/>
  </sheetPr>
  <dimension ref="A1:M38"/>
  <sheetViews>
    <sheetView topLeftCell="A10" zoomScale="90" zoomScaleNormal="90" workbookViewId="0">
      <selection activeCell="L21" sqref="L21"/>
    </sheetView>
  </sheetViews>
  <sheetFormatPr baseColWidth="10" defaultColWidth="10.9140625" defaultRowHeight="14.25" customHeight="1"/>
  <cols>
    <col min="1" max="1" width="6.4140625" customWidth="1"/>
    <col min="2" max="2" width="8.4140625" customWidth="1"/>
    <col min="3" max="3" width="12.58203125" bestFit="1" customWidth="1"/>
    <col min="4" max="4" width="8.75" customWidth="1"/>
    <col min="5" max="5" width="7.9140625" customWidth="1"/>
    <col min="6" max="6" width="6.58203125" customWidth="1"/>
    <col min="7" max="7" width="8.1640625" customWidth="1"/>
    <col min="8" max="8" width="7.33203125" customWidth="1"/>
    <col min="9" max="9" width="8.4140625" customWidth="1"/>
    <col min="10" max="10" width="9.75" bestFit="1" customWidth="1"/>
  </cols>
  <sheetData>
    <row r="1" spans="1:13" ht="14.25" customHeight="1">
      <c r="A1" s="791" t="s">
        <v>390</v>
      </c>
      <c r="B1" s="791"/>
      <c r="C1" s="791"/>
      <c r="D1" s="791"/>
      <c r="E1" s="791"/>
      <c r="F1" s="791"/>
      <c r="G1" s="791"/>
      <c r="H1" s="791"/>
      <c r="I1" s="791"/>
      <c r="J1" s="791"/>
    </row>
    <row r="2" spans="1:13" ht="14.25" customHeight="1">
      <c r="A2" s="791" t="s">
        <v>779</v>
      </c>
      <c r="B2" s="791"/>
      <c r="C2" s="791"/>
      <c r="D2" s="791"/>
      <c r="E2" s="791"/>
      <c r="F2" s="791"/>
      <c r="G2" s="791"/>
      <c r="H2" s="791"/>
      <c r="I2" s="791"/>
      <c r="J2" s="791"/>
    </row>
    <row r="3" spans="1:13" ht="14.25" customHeight="1">
      <c r="A3" s="961" t="s">
        <v>193</v>
      </c>
      <c r="B3" s="961" t="s">
        <v>211</v>
      </c>
      <c r="C3" s="955" t="s">
        <v>379</v>
      </c>
      <c r="D3" s="956"/>
      <c r="E3" s="956"/>
      <c r="F3" s="956"/>
      <c r="G3" s="956"/>
      <c r="H3" s="956"/>
      <c r="I3" s="956"/>
      <c r="J3" s="957"/>
    </row>
    <row r="4" spans="1:13" ht="32.1" customHeight="1">
      <c r="A4" s="961"/>
      <c r="B4" s="961"/>
      <c r="C4" s="321" t="s">
        <v>380</v>
      </c>
      <c r="D4" s="315" t="s">
        <v>154</v>
      </c>
      <c r="E4" s="315" t="s">
        <v>156</v>
      </c>
      <c r="F4" s="315" t="s">
        <v>373</v>
      </c>
      <c r="G4" s="315" t="s">
        <v>382</v>
      </c>
      <c r="H4" s="315" t="s">
        <v>158</v>
      </c>
      <c r="I4" s="321" t="s">
        <v>383</v>
      </c>
      <c r="J4" s="312" t="s">
        <v>155</v>
      </c>
    </row>
    <row r="5" spans="1:13" ht="14.25" customHeight="1">
      <c r="A5" s="948">
        <v>2022</v>
      </c>
      <c r="B5" s="418" t="s">
        <v>212</v>
      </c>
      <c r="C5" s="420">
        <v>8113</v>
      </c>
      <c r="D5" s="420">
        <v>9337</v>
      </c>
      <c r="E5" s="420">
        <v>6545</v>
      </c>
      <c r="F5" s="420">
        <v>1243</v>
      </c>
      <c r="G5" s="420">
        <v>0</v>
      </c>
      <c r="H5" s="420">
        <v>0</v>
      </c>
      <c r="I5" s="420">
        <v>1602</v>
      </c>
      <c r="J5" s="420">
        <v>70953</v>
      </c>
      <c r="M5" t="s">
        <v>97</v>
      </c>
    </row>
    <row r="6" spans="1:13" ht="14.25" customHeight="1">
      <c r="A6" s="949"/>
      <c r="B6" s="418" t="s">
        <v>213</v>
      </c>
      <c r="C6" s="420">
        <v>55</v>
      </c>
      <c r="D6" s="420">
        <v>4038</v>
      </c>
      <c r="E6" s="420">
        <v>0</v>
      </c>
      <c r="F6" s="420">
        <v>8646</v>
      </c>
      <c r="G6" s="420">
        <v>0</v>
      </c>
      <c r="H6" s="420">
        <v>609</v>
      </c>
      <c r="I6" s="420">
        <v>233</v>
      </c>
      <c r="J6" s="420">
        <v>39822</v>
      </c>
    </row>
    <row r="7" spans="1:13" ht="14.25" customHeight="1">
      <c r="A7" s="949"/>
      <c r="B7" s="418" t="s">
        <v>214</v>
      </c>
      <c r="C7" s="420">
        <v>15457</v>
      </c>
      <c r="D7" s="420">
        <v>13435</v>
      </c>
      <c r="E7" s="420">
        <v>12103</v>
      </c>
      <c r="F7" s="420">
        <v>6574</v>
      </c>
      <c r="G7" s="420">
        <v>0</v>
      </c>
      <c r="H7" s="420">
        <v>1134</v>
      </c>
      <c r="I7" s="420">
        <v>58</v>
      </c>
      <c r="J7" s="420">
        <v>35609</v>
      </c>
    </row>
    <row r="8" spans="1:13" ht="14.25" customHeight="1">
      <c r="A8" s="949"/>
      <c r="B8" s="418" t="s">
        <v>215</v>
      </c>
      <c r="C8" s="420">
        <v>679</v>
      </c>
      <c r="D8" s="420">
        <v>7030</v>
      </c>
      <c r="E8" s="420">
        <v>7210</v>
      </c>
      <c r="F8" s="420">
        <v>2456</v>
      </c>
      <c r="G8" s="420">
        <v>0</v>
      </c>
      <c r="H8" s="420">
        <v>510</v>
      </c>
      <c r="I8" s="420">
        <v>1882</v>
      </c>
      <c r="J8" s="420">
        <v>83609</v>
      </c>
    </row>
    <row r="9" spans="1:13" ht="14.25" customHeight="1">
      <c r="A9" s="949"/>
      <c r="B9" s="418" t="s">
        <v>216</v>
      </c>
      <c r="C9" s="420">
        <v>1792</v>
      </c>
      <c r="D9" s="420">
        <v>14700</v>
      </c>
      <c r="E9" s="420">
        <v>4079</v>
      </c>
      <c r="F9" s="420">
        <v>7997</v>
      </c>
      <c r="G9" s="420">
        <v>0</v>
      </c>
      <c r="H9" s="420">
        <v>367</v>
      </c>
      <c r="I9" s="420">
        <v>4462</v>
      </c>
      <c r="J9" s="420">
        <v>31351</v>
      </c>
    </row>
    <row r="10" spans="1:13" ht="14.25" customHeight="1">
      <c r="A10" s="949"/>
      <c r="B10" s="418" t="s">
        <v>217</v>
      </c>
      <c r="C10" s="420">
        <v>3425</v>
      </c>
      <c r="D10" s="420">
        <v>7915</v>
      </c>
      <c r="E10" s="420">
        <v>11280</v>
      </c>
      <c r="F10" s="420">
        <v>1516</v>
      </c>
      <c r="G10" s="420">
        <v>2782</v>
      </c>
      <c r="H10" s="420">
        <v>3506</v>
      </c>
      <c r="I10" s="420">
        <v>294</v>
      </c>
      <c r="J10" s="420">
        <v>25670</v>
      </c>
    </row>
    <row r="11" spans="1:13" ht="14.25" customHeight="1">
      <c r="A11" s="949"/>
      <c r="B11" s="418" t="s">
        <v>218</v>
      </c>
      <c r="C11" s="420">
        <v>540</v>
      </c>
      <c r="D11" s="420">
        <v>4493</v>
      </c>
      <c r="E11" s="420">
        <v>6078</v>
      </c>
      <c r="F11" s="420">
        <v>2519</v>
      </c>
      <c r="G11" s="420">
        <v>398</v>
      </c>
      <c r="H11" s="420">
        <v>2276</v>
      </c>
      <c r="I11" s="420">
        <v>589</v>
      </c>
      <c r="J11" s="420">
        <v>76250</v>
      </c>
    </row>
    <row r="12" spans="1:13" ht="14.25" customHeight="1">
      <c r="A12" s="949"/>
      <c r="B12" s="418" t="s">
        <v>219</v>
      </c>
      <c r="C12" s="420">
        <v>15272</v>
      </c>
      <c r="D12" s="420">
        <v>7350</v>
      </c>
      <c r="E12" s="420">
        <v>10764</v>
      </c>
      <c r="F12" s="420">
        <v>11958</v>
      </c>
      <c r="G12" s="420">
        <v>0</v>
      </c>
      <c r="H12" s="420">
        <v>1582</v>
      </c>
      <c r="I12" s="420">
        <v>0</v>
      </c>
      <c r="J12" s="420">
        <v>33445</v>
      </c>
      <c r="M12" t="s">
        <v>97</v>
      </c>
    </row>
    <row r="13" spans="1:13" ht="14.25" customHeight="1">
      <c r="A13" s="949"/>
      <c r="B13" s="418" t="s">
        <v>220</v>
      </c>
      <c r="C13" s="420">
        <v>9535</v>
      </c>
      <c r="D13" s="420">
        <v>8461</v>
      </c>
      <c r="E13" s="420">
        <v>8273</v>
      </c>
      <c r="F13" s="420">
        <v>1012</v>
      </c>
      <c r="G13" s="420">
        <v>1862</v>
      </c>
      <c r="H13" s="420">
        <v>857</v>
      </c>
      <c r="I13" s="420">
        <v>348</v>
      </c>
      <c r="J13" s="420">
        <v>69121</v>
      </c>
    </row>
    <row r="14" spans="1:13" ht="14.25" customHeight="1">
      <c r="A14" s="949"/>
      <c r="B14" s="418" t="s">
        <v>221</v>
      </c>
      <c r="C14" s="420">
        <v>3098</v>
      </c>
      <c r="D14" s="420">
        <v>13202</v>
      </c>
      <c r="E14" s="420">
        <v>15384</v>
      </c>
      <c r="F14" s="420">
        <v>8787</v>
      </c>
      <c r="G14" s="420">
        <v>66</v>
      </c>
      <c r="H14" s="420">
        <v>1016</v>
      </c>
      <c r="I14" s="420">
        <v>1424</v>
      </c>
      <c r="J14" s="420">
        <v>64975</v>
      </c>
    </row>
    <row r="15" spans="1:13" ht="14.25" customHeight="1">
      <c r="A15" s="949"/>
      <c r="B15" s="418" t="s">
        <v>206</v>
      </c>
      <c r="C15" s="420">
        <v>1259</v>
      </c>
      <c r="D15" s="420">
        <v>7948</v>
      </c>
      <c r="E15" s="420">
        <v>5754</v>
      </c>
      <c r="F15" s="420">
        <v>3664</v>
      </c>
      <c r="G15" s="420">
        <v>2976</v>
      </c>
      <c r="H15" s="420">
        <v>1898</v>
      </c>
      <c r="I15" s="420">
        <v>405</v>
      </c>
      <c r="J15" s="420">
        <v>36704</v>
      </c>
    </row>
    <row r="16" spans="1:13" ht="14.25" customHeight="1">
      <c r="A16" s="950"/>
      <c r="B16" s="418" t="s">
        <v>207</v>
      </c>
      <c r="C16" s="280">
        <v>9246</v>
      </c>
      <c r="D16" s="280">
        <v>5845</v>
      </c>
      <c r="E16" s="280">
        <v>4408</v>
      </c>
      <c r="F16" s="280">
        <v>12881</v>
      </c>
      <c r="G16" s="280">
        <v>0</v>
      </c>
      <c r="H16" s="280">
        <v>1798</v>
      </c>
      <c r="I16" s="280">
        <v>897</v>
      </c>
      <c r="J16" s="280">
        <v>69525</v>
      </c>
      <c r="K16" s="391"/>
    </row>
    <row r="17" spans="1:13" ht="14.25" customHeight="1">
      <c r="A17" s="948">
        <v>2023</v>
      </c>
      <c r="B17" s="647" t="s">
        <v>212</v>
      </c>
      <c r="C17" s="280">
        <v>200</v>
      </c>
      <c r="D17" s="280">
        <v>11217</v>
      </c>
      <c r="E17" s="280">
        <v>7371</v>
      </c>
      <c r="F17" s="280">
        <v>3999</v>
      </c>
      <c r="G17" s="280">
        <v>0</v>
      </c>
      <c r="H17" s="280">
        <v>40</v>
      </c>
      <c r="I17" s="280">
        <v>28</v>
      </c>
      <c r="J17" s="280">
        <v>80690</v>
      </c>
      <c r="K17" s="391"/>
    </row>
    <row r="18" spans="1:13" ht="14.25" customHeight="1">
      <c r="A18" s="949"/>
      <c r="B18" s="647" t="s">
        <v>213</v>
      </c>
      <c r="C18" s="280">
        <v>8422</v>
      </c>
      <c r="D18" s="280">
        <v>5644</v>
      </c>
      <c r="E18" s="280">
        <v>5097</v>
      </c>
      <c r="F18" s="280">
        <v>644</v>
      </c>
      <c r="G18" s="280">
        <v>0</v>
      </c>
      <c r="H18" s="280">
        <v>0</v>
      </c>
      <c r="I18" s="280">
        <v>318</v>
      </c>
      <c r="J18" s="280">
        <v>31509</v>
      </c>
    </row>
    <row r="19" spans="1:13" ht="14.25" customHeight="1">
      <c r="A19" s="949"/>
      <c r="B19" s="647" t="s">
        <v>214</v>
      </c>
      <c r="C19" s="280">
        <v>267</v>
      </c>
      <c r="D19" s="280">
        <v>9556</v>
      </c>
      <c r="E19" s="280">
        <v>9027</v>
      </c>
      <c r="F19" s="280">
        <v>1265</v>
      </c>
      <c r="G19" s="280">
        <v>0</v>
      </c>
      <c r="H19" s="280">
        <v>0</v>
      </c>
      <c r="I19" s="280">
        <v>437</v>
      </c>
      <c r="J19" s="280">
        <v>63756</v>
      </c>
    </row>
    <row r="20" spans="1:13" ht="14.25" customHeight="1">
      <c r="A20" s="949"/>
      <c r="B20" s="647" t="s">
        <v>215</v>
      </c>
      <c r="C20" s="280">
        <v>178</v>
      </c>
      <c r="D20" s="280">
        <v>7877</v>
      </c>
      <c r="E20" s="280">
        <v>3492</v>
      </c>
      <c r="F20" s="280">
        <v>4193</v>
      </c>
      <c r="G20" s="280">
        <v>0</v>
      </c>
      <c r="H20" s="280">
        <v>201</v>
      </c>
      <c r="I20" s="280">
        <v>88</v>
      </c>
      <c r="J20" s="280">
        <v>50536</v>
      </c>
    </row>
    <row r="21" spans="1:13" ht="14.25" customHeight="1">
      <c r="A21" s="949"/>
      <c r="B21" s="647" t="s">
        <v>216</v>
      </c>
      <c r="C21" s="280">
        <v>85</v>
      </c>
      <c r="D21" s="280">
        <v>7478</v>
      </c>
      <c r="E21" s="280">
        <v>7654</v>
      </c>
      <c r="F21" s="280">
        <v>9082</v>
      </c>
      <c r="G21" s="280">
        <v>0</v>
      </c>
      <c r="H21" s="280">
        <v>201</v>
      </c>
      <c r="I21" s="280">
        <v>0</v>
      </c>
      <c r="J21" s="280">
        <v>56109</v>
      </c>
    </row>
    <row r="22" spans="1:13" ht="14.25" customHeight="1">
      <c r="A22" s="949"/>
      <c r="B22" s="647" t="s">
        <v>217</v>
      </c>
      <c r="C22" s="280">
        <v>8006</v>
      </c>
      <c r="D22" s="280">
        <v>6787</v>
      </c>
      <c r="E22" s="280">
        <v>5392</v>
      </c>
      <c r="F22" s="280">
        <v>0</v>
      </c>
      <c r="G22" s="280">
        <v>0</v>
      </c>
      <c r="H22" s="280">
        <v>1502</v>
      </c>
      <c r="I22" s="280">
        <v>0</v>
      </c>
      <c r="J22" s="280">
        <v>30887</v>
      </c>
    </row>
    <row r="23" spans="1:13" ht="14.25" customHeight="1">
      <c r="A23" s="949"/>
      <c r="B23" s="647" t="s">
        <v>218</v>
      </c>
      <c r="C23" s="280">
        <v>55</v>
      </c>
      <c r="D23" s="280">
        <v>10383</v>
      </c>
      <c r="E23" s="280">
        <v>8648</v>
      </c>
      <c r="F23" s="280">
        <v>11629</v>
      </c>
      <c r="G23" s="280">
        <v>0</v>
      </c>
      <c r="H23" s="280">
        <v>853</v>
      </c>
      <c r="I23" s="280">
        <v>226</v>
      </c>
      <c r="J23" s="280">
        <v>60687</v>
      </c>
    </row>
    <row r="24" spans="1:13" ht="14.25" customHeight="1">
      <c r="A24" s="949"/>
      <c r="B24" s="647" t="s">
        <v>219</v>
      </c>
      <c r="C24" s="280">
        <v>110</v>
      </c>
      <c r="D24" s="280">
        <v>6739</v>
      </c>
      <c r="E24" s="280">
        <v>8388</v>
      </c>
      <c r="F24" s="280">
        <v>0</v>
      </c>
      <c r="G24" s="280">
        <v>0</v>
      </c>
      <c r="H24" s="280">
        <v>2991</v>
      </c>
      <c r="I24" s="280">
        <v>55</v>
      </c>
      <c r="J24" s="280">
        <v>40939</v>
      </c>
    </row>
    <row r="25" spans="1:13" ht="14.25" customHeight="1">
      <c r="A25" s="949"/>
      <c r="B25" s="647" t="s">
        <v>220</v>
      </c>
      <c r="C25" s="280">
        <v>10084</v>
      </c>
      <c r="D25" s="280">
        <v>7645</v>
      </c>
      <c r="E25" s="280">
        <v>11443</v>
      </c>
      <c r="F25" s="280">
        <v>12278</v>
      </c>
      <c r="G25" s="280">
        <v>0</v>
      </c>
      <c r="H25" s="280">
        <v>3197</v>
      </c>
      <c r="I25" s="280">
        <v>233</v>
      </c>
      <c r="J25" s="280">
        <v>48303</v>
      </c>
    </row>
    <row r="26" spans="1:13" ht="14.25" customHeight="1">
      <c r="A26" s="949"/>
      <c r="B26" s="647" t="s">
        <v>221</v>
      </c>
      <c r="C26" s="280">
        <v>165</v>
      </c>
      <c r="D26" s="280">
        <v>10565</v>
      </c>
      <c r="E26" s="280">
        <v>3107</v>
      </c>
      <c r="F26" s="280">
        <v>1128</v>
      </c>
      <c r="G26" s="280">
        <v>0</v>
      </c>
      <c r="H26" s="280">
        <v>3220</v>
      </c>
      <c r="I26" s="280">
        <v>204</v>
      </c>
      <c r="J26" s="280">
        <v>72696</v>
      </c>
    </row>
    <row r="27" spans="1:13" ht="14.25" customHeight="1">
      <c r="A27" s="949"/>
      <c r="B27" s="647" t="s">
        <v>206</v>
      </c>
      <c r="C27" s="280">
        <v>290</v>
      </c>
      <c r="D27" s="280">
        <v>8163</v>
      </c>
      <c r="E27" s="280">
        <v>8708</v>
      </c>
      <c r="F27" s="280">
        <v>0</v>
      </c>
      <c r="G27" s="280">
        <v>0</v>
      </c>
      <c r="H27" s="280">
        <v>3533</v>
      </c>
      <c r="I27" s="280">
        <v>708</v>
      </c>
      <c r="J27" s="280">
        <v>46454</v>
      </c>
    </row>
    <row r="28" spans="1:13" ht="14.25" customHeight="1">
      <c r="A28" s="950"/>
      <c r="B28" s="647" t="s">
        <v>207</v>
      </c>
      <c r="C28" s="280">
        <v>5612</v>
      </c>
      <c r="D28" s="280">
        <v>4959</v>
      </c>
      <c r="E28" s="280">
        <v>4902</v>
      </c>
      <c r="F28" s="280">
        <v>4552</v>
      </c>
      <c r="G28" s="280">
        <v>0</v>
      </c>
      <c r="H28" s="280">
        <v>3050</v>
      </c>
      <c r="I28" s="280">
        <v>264</v>
      </c>
      <c r="J28" s="280">
        <v>18084</v>
      </c>
      <c r="K28" s="391"/>
    </row>
    <row r="29" spans="1:13" ht="14.25" customHeight="1">
      <c r="A29" s="1080">
        <v>2024</v>
      </c>
      <c r="B29" s="647" t="s">
        <v>212</v>
      </c>
      <c r="C29" s="280">
        <v>144</v>
      </c>
      <c r="D29" s="280">
        <v>11648</v>
      </c>
      <c r="E29" s="280">
        <v>11286</v>
      </c>
      <c r="F29" s="280">
        <v>12259</v>
      </c>
      <c r="G29" s="280">
        <v>0</v>
      </c>
      <c r="H29" s="280">
        <v>3593</v>
      </c>
      <c r="I29" s="280">
        <v>353</v>
      </c>
      <c r="J29" s="280">
        <v>66867</v>
      </c>
      <c r="K29" s="391"/>
    </row>
    <row r="30" spans="1:13" ht="14.25" customHeight="1">
      <c r="A30" s="1080"/>
      <c r="B30" s="647" t="s">
        <v>213</v>
      </c>
      <c r="C30" s="280">
        <v>87</v>
      </c>
      <c r="D30" s="280">
        <v>5386</v>
      </c>
      <c r="E30" s="280">
        <v>5861</v>
      </c>
      <c r="F30" s="280">
        <v>83</v>
      </c>
      <c r="G30" s="280">
        <v>0</v>
      </c>
      <c r="H30" s="280">
        <v>3101</v>
      </c>
      <c r="I30" s="280">
        <v>438</v>
      </c>
      <c r="J30" s="280">
        <v>42713</v>
      </c>
      <c r="K30" s="391"/>
    </row>
    <row r="31" spans="1:13" ht="14.25" customHeight="1">
      <c r="A31" s="1080"/>
      <c r="B31" s="647" t="s">
        <v>214</v>
      </c>
      <c r="C31" s="280">
        <v>115</v>
      </c>
      <c r="D31" s="280">
        <v>8565</v>
      </c>
      <c r="E31" s="280">
        <v>11567</v>
      </c>
      <c r="F31" s="280">
        <v>1014</v>
      </c>
      <c r="G31" s="280">
        <v>0</v>
      </c>
      <c r="H31" s="280">
        <v>0</v>
      </c>
      <c r="I31" s="280">
        <v>119</v>
      </c>
      <c r="J31" s="280">
        <v>47216</v>
      </c>
      <c r="K31" s="391"/>
    </row>
    <row r="32" spans="1:13" ht="14.25" customHeight="1">
      <c r="A32" s="1080"/>
      <c r="B32" s="647" t="s">
        <v>215</v>
      </c>
      <c r="C32" s="280">
        <v>9622</v>
      </c>
      <c r="D32" s="280">
        <v>6775</v>
      </c>
      <c r="E32" s="280">
        <v>488</v>
      </c>
      <c r="F32" s="280">
        <v>3545</v>
      </c>
      <c r="G32" s="280">
        <v>0</v>
      </c>
      <c r="H32" s="280">
        <v>0</v>
      </c>
      <c r="I32" s="280">
        <v>0</v>
      </c>
      <c r="J32" s="280">
        <v>38276</v>
      </c>
      <c r="K32" s="391"/>
      <c r="L32" s="709"/>
      <c r="M32" s="11"/>
    </row>
    <row r="33" spans="1:13" ht="14.25" customHeight="1">
      <c r="A33" s="1080"/>
      <c r="B33" s="647" t="s">
        <v>216</v>
      </c>
      <c r="C33" s="280">
        <v>318</v>
      </c>
      <c r="D33" s="280">
        <v>7482</v>
      </c>
      <c r="E33" s="280">
        <v>5774</v>
      </c>
      <c r="F33" s="280">
        <v>1202</v>
      </c>
      <c r="G33" s="280">
        <v>0</v>
      </c>
      <c r="H33" s="280">
        <v>0</v>
      </c>
      <c r="I33" s="280">
        <v>0</v>
      </c>
      <c r="J33" s="280">
        <v>40055</v>
      </c>
      <c r="K33" s="391"/>
      <c r="L33" s="709"/>
      <c r="M33" s="11"/>
    </row>
    <row r="34" spans="1:13" ht="14.25" customHeight="1">
      <c r="A34" s="1080"/>
      <c r="B34" s="647" t="s">
        <v>217</v>
      </c>
      <c r="C34" s="280">
        <v>344</v>
      </c>
      <c r="D34" s="280">
        <v>9817</v>
      </c>
      <c r="E34" s="280">
        <v>6938</v>
      </c>
      <c r="F34" s="280">
        <v>2295</v>
      </c>
      <c r="G34" s="280">
        <v>0</v>
      </c>
      <c r="H34" s="280">
        <v>0</v>
      </c>
      <c r="I34" s="280">
        <v>0</v>
      </c>
      <c r="J34" s="280">
        <v>65168</v>
      </c>
      <c r="K34" s="391"/>
      <c r="L34" s="709"/>
      <c r="M34" s="11"/>
    </row>
    <row r="35" spans="1:13" ht="14.25" customHeight="1">
      <c r="A35" s="1080"/>
      <c r="B35" s="647" t="s">
        <v>218</v>
      </c>
      <c r="C35" s="280">
        <v>316</v>
      </c>
      <c r="D35" s="280">
        <v>3882</v>
      </c>
      <c r="E35" s="280">
        <v>6354</v>
      </c>
      <c r="F35" s="280">
        <v>0</v>
      </c>
      <c r="G35" s="280">
        <v>0</v>
      </c>
      <c r="H35" s="280">
        <v>0</v>
      </c>
      <c r="I35" s="280">
        <v>0</v>
      </c>
      <c r="J35" s="280">
        <v>63348</v>
      </c>
      <c r="K35" s="391"/>
      <c r="L35" s="709"/>
      <c r="M35" s="11"/>
    </row>
    <row r="36" spans="1:13" ht="19.649999999999999" customHeight="1">
      <c r="A36" s="310" t="s">
        <v>386</v>
      </c>
      <c r="B36" s="310"/>
      <c r="C36" s="272"/>
      <c r="D36" s="272"/>
      <c r="E36" s="272"/>
      <c r="F36" s="272"/>
      <c r="G36" s="272"/>
      <c r="H36" s="272"/>
      <c r="I36" s="272"/>
      <c r="J36" s="272"/>
    </row>
    <row r="37" spans="1:13" ht="14.25" customHeight="1">
      <c r="C37" s="733"/>
      <c r="K37" s="391"/>
      <c r="L37" s="11"/>
    </row>
    <row r="38" spans="1:13" ht="14.25" customHeight="1">
      <c r="C38" s="733"/>
      <c r="K38" s="391"/>
      <c r="L38" s="11"/>
    </row>
  </sheetData>
  <mergeCells count="8">
    <mergeCell ref="A17:A28"/>
    <mergeCell ref="A5:A16"/>
    <mergeCell ref="A1:J1"/>
    <mergeCell ref="A2:J2"/>
    <mergeCell ref="A3:A4"/>
    <mergeCell ref="B3:B4"/>
    <mergeCell ref="C3:J3"/>
    <mergeCell ref="A29:A35"/>
  </mergeCells>
  <phoneticPr fontId="47" type="noConversion"/>
  <pageMargins left="0.70866141732283472" right="0.70866141732283472" top="0.74803149606299213" bottom="0.74803149606299213" header="0.31496062992125984" footer="0.31496062992125984"/>
  <pageSetup paperSize="126"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BD57-7FCC-4A91-A57A-C0F1E2C02BC6}">
  <sheetPr>
    <pageSetUpPr fitToPage="1"/>
  </sheetPr>
  <dimension ref="A1:J40"/>
  <sheetViews>
    <sheetView topLeftCell="A14" zoomScaleNormal="100" workbookViewId="0">
      <selection activeCell="I36" sqref="I36"/>
    </sheetView>
  </sheetViews>
  <sheetFormatPr baseColWidth="10" defaultColWidth="10.9140625" defaultRowHeight="17.7"/>
  <cols>
    <col min="1" max="5" width="10" customWidth="1"/>
  </cols>
  <sheetData>
    <row r="1" spans="1:8" ht="14.25" customHeight="1">
      <c r="A1" s="791" t="s">
        <v>391</v>
      </c>
      <c r="B1" s="791"/>
      <c r="C1" s="791"/>
      <c r="D1" s="791"/>
      <c r="E1" s="791"/>
      <c r="F1" s="791"/>
    </row>
    <row r="2" spans="1:8" ht="14.25" customHeight="1">
      <c r="A2" s="791" t="s">
        <v>780</v>
      </c>
      <c r="B2" s="791"/>
      <c r="C2" s="791"/>
      <c r="D2" s="791"/>
      <c r="E2" s="791"/>
      <c r="F2" s="791"/>
    </row>
    <row r="3" spans="1:8" ht="14.25" customHeight="1">
      <c r="A3" s="961" t="s">
        <v>193</v>
      </c>
      <c r="B3" s="961" t="s">
        <v>211</v>
      </c>
      <c r="C3" s="962" t="s">
        <v>392</v>
      </c>
      <c r="D3" s="962"/>
      <c r="E3" s="962"/>
      <c r="F3" s="312" t="s">
        <v>393</v>
      </c>
    </row>
    <row r="4" spans="1:8" ht="14.4" customHeight="1">
      <c r="A4" s="961"/>
      <c r="B4" s="961"/>
      <c r="C4" s="315" t="s">
        <v>373</v>
      </c>
      <c r="D4" s="315" t="s">
        <v>382</v>
      </c>
      <c r="E4" s="315" t="s">
        <v>158</v>
      </c>
      <c r="F4" s="312" t="s">
        <v>382</v>
      </c>
    </row>
    <row r="5" spans="1:8" ht="14.25" customHeight="1">
      <c r="A5" s="948">
        <v>2022</v>
      </c>
      <c r="B5" s="418" t="s">
        <v>212</v>
      </c>
      <c r="C5" s="420">
        <v>14329</v>
      </c>
      <c r="D5" s="420">
        <v>1377</v>
      </c>
      <c r="E5" s="420">
        <v>226</v>
      </c>
      <c r="F5" s="420">
        <v>0</v>
      </c>
    </row>
    <row r="6" spans="1:8" ht="14.25" customHeight="1">
      <c r="A6" s="949"/>
      <c r="B6" s="418" t="s">
        <v>213</v>
      </c>
      <c r="C6" s="420">
        <v>1046</v>
      </c>
      <c r="D6" s="420">
        <v>1234</v>
      </c>
      <c r="E6" s="420">
        <v>249</v>
      </c>
      <c r="F6" s="420">
        <v>0</v>
      </c>
    </row>
    <row r="7" spans="1:8" ht="14.25" customHeight="1">
      <c r="A7" s="949"/>
      <c r="B7" s="418" t="s">
        <v>214</v>
      </c>
      <c r="C7" s="420">
        <v>0</v>
      </c>
      <c r="D7" s="420">
        <v>1352</v>
      </c>
      <c r="E7" s="420">
        <v>344</v>
      </c>
      <c r="F7" s="420">
        <v>0</v>
      </c>
    </row>
    <row r="8" spans="1:8" ht="14.25" customHeight="1">
      <c r="A8" s="949"/>
      <c r="B8" s="418" t="s">
        <v>215</v>
      </c>
      <c r="C8" s="420">
        <v>0</v>
      </c>
      <c r="D8" s="420">
        <v>790</v>
      </c>
      <c r="E8" s="420">
        <v>200</v>
      </c>
      <c r="F8" s="420">
        <v>0</v>
      </c>
    </row>
    <row r="9" spans="1:8" ht="14.25" customHeight="1">
      <c r="A9" s="949"/>
      <c r="B9" s="418" t="s">
        <v>216</v>
      </c>
      <c r="C9" s="420">
        <v>0</v>
      </c>
      <c r="D9" s="420">
        <v>827</v>
      </c>
      <c r="E9" s="420">
        <v>235</v>
      </c>
      <c r="F9" s="420">
        <v>0</v>
      </c>
    </row>
    <row r="10" spans="1:8" ht="14.25" customHeight="1">
      <c r="A10" s="949"/>
      <c r="B10" s="418" t="s">
        <v>217</v>
      </c>
      <c r="C10" s="420">
        <v>8</v>
      </c>
      <c r="D10" s="420">
        <v>759</v>
      </c>
      <c r="E10" s="420">
        <v>224</v>
      </c>
      <c r="F10" s="420">
        <v>0</v>
      </c>
    </row>
    <row r="11" spans="1:8" ht="14.25" customHeight="1">
      <c r="A11" s="949"/>
      <c r="B11" s="418" t="s">
        <v>218</v>
      </c>
      <c r="C11" s="420">
        <v>3</v>
      </c>
      <c r="D11" s="420">
        <v>835</v>
      </c>
      <c r="E11" s="420">
        <v>272</v>
      </c>
      <c r="F11" s="420">
        <v>0</v>
      </c>
    </row>
    <row r="12" spans="1:8" ht="14.25" customHeight="1">
      <c r="A12" s="949"/>
      <c r="B12" s="418" t="s">
        <v>219</v>
      </c>
      <c r="C12" s="420">
        <v>0</v>
      </c>
      <c r="D12" s="420">
        <v>857</v>
      </c>
      <c r="E12" s="420">
        <v>257</v>
      </c>
      <c r="F12" s="420">
        <v>0</v>
      </c>
    </row>
    <row r="13" spans="1:8" ht="14.25" customHeight="1">
      <c r="A13" s="949"/>
      <c r="B13" s="418" t="s">
        <v>220</v>
      </c>
      <c r="C13" s="420">
        <v>0</v>
      </c>
      <c r="D13" s="420">
        <v>698</v>
      </c>
      <c r="E13" s="420">
        <v>216</v>
      </c>
      <c r="F13" s="420">
        <v>65</v>
      </c>
    </row>
    <row r="14" spans="1:8" ht="14.25" customHeight="1">
      <c r="A14" s="949"/>
      <c r="B14" s="418" t="s">
        <v>221</v>
      </c>
      <c r="C14" s="420">
        <v>0</v>
      </c>
      <c r="D14" s="420">
        <v>600</v>
      </c>
      <c r="E14" s="420">
        <v>259</v>
      </c>
      <c r="F14" s="420">
        <v>132</v>
      </c>
    </row>
    <row r="15" spans="1:8" ht="14.25" customHeight="1">
      <c r="A15" s="949"/>
      <c r="B15" s="418" t="s">
        <v>206</v>
      </c>
      <c r="C15" s="420">
        <v>201</v>
      </c>
      <c r="D15" s="420">
        <v>833</v>
      </c>
      <c r="E15" s="420">
        <v>232</v>
      </c>
      <c r="F15" s="420">
        <v>0</v>
      </c>
    </row>
    <row r="16" spans="1:8" ht="14.25" customHeight="1">
      <c r="A16" s="950"/>
      <c r="B16" s="418" t="s">
        <v>207</v>
      </c>
      <c r="C16" s="420">
        <v>1076</v>
      </c>
      <c r="D16" s="420">
        <v>836</v>
      </c>
      <c r="E16" s="420">
        <v>234</v>
      </c>
      <c r="F16" s="420">
        <v>0</v>
      </c>
      <c r="H16" t="s">
        <v>97</v>
      </c>
    </row>
    <row r="17" spans="1:10" ht="14.25" customHeight="1">
      <c r="A17" s="948">
        <v>2023</v>
      </c>
      <c r="B17" s="647" t="s">
        <v>212</v>
      </c>
      <c r="C17" s="420">
        <v>11529</v>
      </c>
      <c r="D17" s="420">
        <v>648</v>
      </c>
      <c r="E17" s="420">
        <v>279</v>
      </c>
      <c r="F17" s="420">
        <v>243</v>
      </c>
    </row>
    <row r="18" spans="1:10" ht="14.25" customHeight="1">
      <c r="A18" s="949"/>
      <c r="B18" s="647" t="s">
        <v>213</v>
      </c>
      <c r="C18" s="420">
        <v>637</v>
      </c>
      <c r="D18" s="420">
        <v>1631</v>
      </c>
      <c r="E18" s="420">
        <v>293</v>
      </c>
      <c r="F18" s="420">
        <v>0</v>
      </c>
      <c r="J18" t="s">
        <v>97</v>
      </c>
    </row>
    <row r="19" spans="1:10" ht="14.25" customHeight="1">
      <c r="A19" s="949"/>
      <c r="B19" s="647" t="s">
        <v>214</v>
      </c>
      <c r="C19" s="420">
        <v>0</v>
      </c>
      <c r="D19" s="420">
        <v>1561</v>
      </c>
      <c r="E19" s="420">
        <v>357</v>
      </c>
      <c r="F19" s="420">
        <v>0</v>
      </c>
    </row>
    <row r="20" spans="1:10" ht="14.25" customHeight="1">
      <c r="A20" s="949"/>
      <c r="B20" s="647" t="s">
        <v>215</v>
      </c>
      <c r="C20" s="420">
        <v>0</v>
      </c>
      <c r="D20" s="420">
        <v>1212</v>
      </c>
      <c r="E20" s="420">
        <v>319</v>
      </c>
      <c r="F20" s="420">
        <v>0</v>
      </c>
      <c r="I20" t="s">
        <v>97</v>
      </c>
    </row>
    <row r="21" spans="1:10" ht="14.25" customHeight="1">
      <c r="A21" s="949"/>
      <c r="B21" s="647" t="s">
        <v>216</v>
      </c>
      <c r="C21" s="420">
        <v>0</v>
      </c>
      <c r="D21" s="420">
        <v>1149</v>
      </c>
      <c r="E21" s="420">
        <v>309</v>
      </c>
      <c r="F21" s="420">
        <v>0</v>
      </c>
    </row>
    <row r="22" spans="1:10" ht="14.25" customHeight="1">
      <c r="A22" s="949"/>
      <c r="B22" s="647" t="s">
        <v>217</v>
      </c>
      <c r="C22" s="420">
        <v>0</v>
      </c>
      <c r="D22" s="420">
        <v>883</v>
      </c>
      <c r="E22" s="420">
        <v>419</v>
      </c>
      <c r="F22" s="420">
        <v>0</v>
      </c>
    </row>
    <row r="23" spans="1:10" ht="14.25" customHeight="1">
      <c r="A23" s="949"/>
      <c r="B23" s="647" t="s">
        <v>218</v>
      </c>
      <c r="C23" s="420">
        <v>0</v>
      </c>
      <c r="D23" s="420">
        <v>913</v>
      </c>
      <c r="E23" s="420">
        <v>398</v>
      </c>
      <c r="F23" s="420">
        <v>0</v>
      </c>
    </row>
    <row r="24" spans="1:10" ht="14.25" customHeight="1">
      <c r="A24" s="949"/>
      <c r="B24" s="647" t="s">
        <v>219</v>
      </c>
      <c r="C24" s="420">
        <v>0</v>
      </c>
      <c r="D24" s="420">
        <v>1051</v>
      </c>
      <c r="E24" s="420">
        <v>396</v>
      </c>
      <c r="F24" s="420">
        <v>0</v>
      </c>
    </row>
    <row r="25" spans="1:10" ht="14.25" customHeight="1">
      <c r="A25" s="949"/>
      <c r="B25" s="647" t="s">
        <v>220</v>
      </c>
      <c r="C25" s="420">
        <v>189</v>
      </c>
      <c r="D25" s="420">
        <v>794</v>
      </c>
      <c r="E25" s="420">
        <v>377</v>
      </c>
      <c r="F25" s="420">
        <v>177</v>
      </c>
    </row>
    <row r="26" spans="1:10" ht="14.25" customHeight="1">
      <c r="A26" s="949"/>
      <c r="B26" s="647" t="s">
        <v>221</v>
      </c>
      <c r="C26" s="420">
        <v>0</v>
      </c>
      <c r="D26" s="420">
        <v>740</v>
      </c>
      <c r="E26" s="420">
        <v>334</v>
      </c>
      <c r="F26" s="420">
        <v>0</v>
      </c>
    </row>
    <row r="27" spans="1:10" ht="14.25" customHeight="1">
      <c r="A27" s="949"/>
      <c r="B27" s="647" t="s">
        <v>206</v>
      </c>
      <c r="C27" s="420">
        <v>0</v>
      </c>
      <c r="D27" s="420">
        <v>1312</v>
      </c>
      <c r="E27" s="420">
        <v>381</v>
      </c>
      <c r="F27" s="420">
        <v>0</v>
      </c>
    </row>
    <row r="28" spans="1:10" ht="14.25" customHeight="1">
      <c r="A28" s="950"/>
      <c r="B28" s="647" t="s">
        <v>207</v>
      </c>
      <c r="C28" s="420">
        <v>0</v>
      </c>
      <c r="D28" s="420">
        <v>864</v>
      </c>
      <c r="E28" s="420">
        <v>343</v>
      </c>
      <c r="F28" s="420">
        <v>0</v>
      </c>
    </row>
    <row r="29" spans="1:10" ht="14.25" customHeight="1">
      <c r="A29" s="1080">
        <v>2024</v>
      </c>
      <c r="B29" s="647" t="s">
        <v>212</v>
      </c>
      <c r="C29" s="420">
        <v>7343</v>
      </c>
      <c r="D29" s="420">
        <v>960</v>
      </c>
      <c r="E29" s="420">
        <v>214</v>
      </c>
      <c r="F29" s="420">
        <v>0</v>
      </c>
    </row>
    <row r="30" spans="1:10" ht="14.25" customHeight="1">
      <c r="A30" s="1080"/>
      <c r="B30" s="647" t="s">
        <v>213</v>
      </c>
      <c r="C30" s="420">
        <v>2699</v>
      </c>
      <c r="D30" s="420">
        <v>1298</v>
      </c>
      <c r="E30" s="420">
        <v>437</v>
      </c>
      <c r="F30" s="420">
        <v>0</v>
      </c>
    </row>
    <row r="31" spans="1:10" ht="14.25" customHeight="1">
      <c r="A31" s="1080"/>
      <c r="B31" s="647" t="s">
        <v>214</v>
      </c>
      <c r="C31" s="420">
        <v>0</v>
      </c>
      <c r="D31" s="420">
        <v>1358</v>
      </c>
      <c r="E31" s="420">
        <v>410</v>
      </c>
      <c r="F31" s="420">
        <v>0</v>
      </c>
    </row>
    <row r="32" spans="1:10" ht="14.25" customHeight="1">
      <c r="A32" s="1080"/>
      <c r="B32" s="647" t="s">
        <v>215</v>
      </c>
      <c r="C32" s="420">
        <v>82</v>
      </c>
      <c r="D32" s="420">
        <v>1372</v>
      </c>
      <c r="E32" s="420">
        <v>432</v>
      </c>
      <c r="F32" s="420">
        <v>0</v>
      </c>
    </row>
    <row r="33" spans="1:7" ht="14.25" customHeight="1">
      <c r="A33" s="1080"/>
      <c r="B33" s="647" t="s">
        <v>216</v>
      </c>
      <c r="C33" s="420">
        <v>278</v>
      </c>
      <c r="D33" s="420">
        <v>1053</v>
      </c>
      <c r="E33" s="420">
        <v>448</v>
      </c>
      <c r="F33" s="420">
        <v>0</v>
      </c>
    </row>
    <row r="34" spans="1:7" ht="14.25" customHeight="1">
      <c r="A34" s="1080"/>
      <c r="B34" s="647" t="s">
        <v>217</v>
      </c>
      <c r="C34" s="420">
        <v>66</v>
      </c>
      <c r="D34" s="420">
        <v>937</v>
      </c>
      <c r="E34" s="420">
        <v>341</v>
      </c>
      <c r="F34" s="420">
        <v>0</v>
      </c>
    </row>
    <row r="35" spans="1:7" ht="14.25" customHeight="1">
      <c r="A35" s="1080"/>
      <c r="B35" s="647" t="s">
        <v>218</v>
      </c>
      <c r="C35" s="420">
        <v>598</v>
      </c>
      <c r="D35" s="420">
        <v>835</v>
      </c>
      <c r="E35" s="420">
        <v>387</v>
      </c>
      <c r="F35" s="420">
        <v>0</v>
      </c>
    </row>
    <row r="36" spans="1:7" ht="20.3" customHeight="1">
      <c r="A36" s="310" t="s">
        <v>386</v>
      </c>
      <c r="B36" s="310"/>
      <c r="C36" s="272"/>
      <c r="D36" s="272"/>
      <c r="E36" s="272"/>
    </row>
    <row r="39" spans="1:7">
      <c r="G39" t="s">
        <v>97</v>
      </c>
    </row>
    <row r="40" spans="1:7">
      <c r="D40" t="s">
        <v>97</v>
      </c>
      <c r="F40" t="s">
        <v>97</v>
      </c>
    </row>
  </sheetData>
  <mergeCells count="8">
    <mergeCell ref="A17:A28"/>
    <mergeCell ref="A1:F1"/>
    <mergeCell ref="A2:F2"/>
    <mergeCell ref="A5:A16"/>
    <mergeCell ref="A3:A4"/>
    <mergeCell ref="B3:B4"/>
    <mergeCell ref="C3:E3"/>
    <mergeCell ref="A29:A35"/>
  </mergeCells>
  <phoneticPr fontId="47" type="noConversion"/>
  <pageMargins left="0.70866141732283472" right="0.70866141732283472" top="0.74803149606299213" bottom="0.74803149606299213" header="0.31496062992125984" footer="0.31496062992125984"/>
  <pageSetup paperSize="1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H27"/>
  <sheetViews>
    <sheetView zoomScale="90" zoomScaleNormal="90" workbookViewId="0">
      <selection activeCell="J9" sqref="J9"/>
    </sheetView>
  </sheetViews>
  <sheetFormatPr baseColWidth="10" defaultColWidth="10.9140625" defaultRowHeight="17.7"/>
  <cols>
    <col min="1" max="1" width="3.75" customWidth="1"/>
    <col min="2" max="2" width="14.08203125" bestFit="1" customWidth="1"/>
    <col min="3" max="3" width="7.83203125" bestFit="1" customWidth="1"/>
    <col min="4" max="4" width="11.75" customWidth="1"/>
    <col min="5" max="5" width="5.9140625" bestFit="1" customWidth="1"/>
    <col min="6" max="6" width="6.4140625" bestFit="1" customWidth="1"/>
    <col min="7" max="7" width="5.9140625" bestFit="1" customWidth="1"/>
    <col min="8" max="8" width="6.4140625" bestFit="1" customWidth="1"/>
  </cols>
  <sheetData>
    <row r="1" spans="2:8">
      <c r="C1" s="15"/>
      <c r="D1" s="15"/>
      <c r="E1" s="15"/>
      <c r="F1" s="15"/>
      <c r="G1" s="15"/>
      <c r="H1" s="15"/>
    </row>
    <row r="2" spans="2:8">
      <c r="B2" s="975" t="s">
        <v>394</v>
      </c>
      <c r="C2" s="975"/>
      <c r="D2" s="975"/>
      <c r="E2" s="17"/>
      <c r="F2" s="17"/>
      <c r="G2" s="17"/>
      <c r="H2" s="17"/>
    </row>
    <row r="3" spans="2:8" ht="39.450000000000003" customHeight="1">
      <c r="B3" s="973" t="s">
        <v>395</v>
      </c>
      <c r="C3" s="973"/>
      <c r="D3" s="973"/>
      <c r="E3" s="560"/>
      <c r="F3" s="560"/>
      <c r="G3" s="560"/>
      <c r="H3" s="560"/>
    </row>
    <row r="4" spans="2:8">
      <c r="B4" s="974" t="s">
        <v>396</v>
      </c>
      <c r="C4" s="974"/>
      <c r="D4" s="974"/>
      <c r="E4" s="480"/>
      <c r="F4" s="480"/>
      <c r="G4" s="480"/>
      <c r="H4" s="480"/>
    </row>
    <row r="5" spans="2:8">
      <c r="B5" s="969" t="s">
        <v>397</v>
      </c>
      <c r="C5" s="971" t="s">
        <v>398</v>
      </c>
      <c r="D5" s="972"/>
    </row>
    <row r="6" spans="2:8">
      <c r="B6" s="970"/>
      <c r="C6" s="362" t="s">
        <v>368</v>
      </c>
      <c r="D6" s="362" t="s">
        <v>399</v>
      </c>
    </row>
    <row r="7" spans="2:8">
      <c r="B7" s="561" t="s">
        <v>766</v>
      </c>
      <c r="C7" s="364">
        <v>2.1000000000000001E-2</v>
      </c>
      <c r="D7" s="364">
        <v>-0.161</v>
      </c>
      <c r="E7" s="122"/>
    </row>
    <row r="8" spans="2:8" ht="25.55" customHeight="1">
      <c r="B8" s="860" t="s">
        <v>400</v>
      </c>
      <c r="C8" s="861"/>
      <c r="D8" s="862"/>
    </row>
    <row r="9" spans="2:8" ht="51.05" customHeight="1">
      <c r="B9" s="978" t="s">
        <v>767</v>
      </c>
      <c r="C9" s="979"/>
      <c r="D9" s="980"/>
      <c r="E9" s="562"/>
      <c r="F9" s="562"/>
      <c r="G9" s="562"/>
      <c r="H9" s="562"/>
    </row>
    <row r="10" spans="2:8">
      <c r="C10" s="122"/>
      <c r="D10" s="122"/>
      <c r="E10" s="122"/>
    </row>
    <row r="11" spans="2:8">
      <c r="B11" s="975" t="s">
        <v>401</v>
      </c>
      <c r="C11" s="975"/>
      <c r="D11" s="975"/>
      <c r="E11" s="122"/>
    </row>
    <row r="12" spans="2:8" ht="41.25" customHeight="1">
      <c r="B12" s="973" t="s">
        <v>695</v>
      </c>
      <c r="C12" s="973"/>
      <c r="D12" s="973"/>
      <c r="E12" s="122"/>
    </row>
    <row r="13" spans="2:8">
      <c r="B13" s="974" t="s">
        <v>396</v>
      </c>
      <c r="C13" s="974"/>
      <c r="D13" s="974"/>
      <c r="E13" s="122"/>
    </row>
    <row r="14" spans="2:8">
      <c r="B14" s="969" t="s">
        <v>397</v>
      </c>
      <c r="C14" s="976" t="s">
        <v>402</v>
      </c>
      <c r="D14" s="977"/>
    </row>
    <row r="15" spans="2:8">
      <c r="B15" s="970"/>
      <c r="C15" s="362" t="s">
        <v>368</v>
      </c>
      <c r="D15" s="362" t="s">
        <v>399</v>
      </c>
    </row>
    <row r="16" spans="2:8" ht="28.15" customHeight="1">
      <c r="B16" s="386" t="s">
        <v>768</v>
      </c>
      <c r="C16" s="364">
        <f>-0.008</f>
        <v>-8.0000000000000002E-3</v>
      </c>
      <c r="D16" s="364">
        <f>-0.095</f>
        <v>-9.5000000000000001E-2</v>
      </c>
    </row>
    <row r="17" spans="2:8" ht="29.15" customHeight="1">
      <c r="B17" s="860" t="s">
        <v>400</v>
      </c>
      <c r="C17" s="861"/>
      <c r="D17" s="862"/>
      <c r="E17" s="29"/>
      <c r="F17" s="29"/>
    </row>
    <row r="18" spans="2:8" ht="33.4" customHeight="1">
      <c r="B18" s="963" t="s">
        <v>769</v>
      </c>
      <c r="C18" s="964"/>
      <c r="D18" s="965"/>
      <c r="E18" s="562"/>
      <c r="F18" s="562"/>
      <c r="G18" s="562"/>
      <c r="H18" s="562"/>
    </row>
    <row r="20" spans="2:8">
      <c r="B20" s="975" t="s">
        <v>403</v>
      </c>
      <c r="C20" s="975"/>
      <c r="D20" s="975"/>
    </row>
    <row r="21" spans="2:8" ht="39.950000000000003" customHeight="1">
      <c r="B21" s="973" t="s">
        <v>404</v>
      </c>
      <c r="C21" s="973"/>
      <c r="D21" s="973"/>
    </row>
    <row r="22" spans="2:8">
      <c r="B22" s="974" t="s">
        <v>396</v>
      </c>
      <c r="C22" s="974"/>
      <c r="D22" s="974"/>
    </row>
    <row r="23" spans="2:8">
      <c r="B23" s="969" t="s">
        <v>397</v>
      </c>
      <c r="C23" s="971" t="s">
        <v>405</v>
      </c>
      <c r="D23" s="972"/>
    </row>
    <row r="24" spans="2:8">
      <c r="B24" s="970"/>
      <c r="C24" s="362" t="s">
        <v>368</v>
      </c>
      <c r="D24" s="362" t="s">
        <v>399</v>
      </c>
    </row>
    <row r="25" spans="2:8">
      <c r="B25" s="386" t="s">
        <v>770</v>
      </c>
      <c r="C25" s="364">
        <v>-5.0000000000000001E-3</v>
      </c>
      <c r="D25" s="364">
        <v>3.7000000000000002E-3</v>
      </c>
    </row>
    <row r="26" spans="2:8" ht="30.45" customHeight="1">
      <c r="B26" s="860" t="s">
        <v>400</v>
      </c>
      <c r="C26" s="861"/>
      <c r="D26" s="862"/>
      <c r="E26" s="29"/>
      <c r="F26" s="29"/>
      <c r="G26" s="29"/>
      <c r="H26" s="29"/>
    </row>
    <row r="27" spans="2:8" ht="25.55" customHeight="1">
      <c r="B27" s="966" t="s">
        <v>771</v>
      </c>
      <c r="C27" s="967"/>
      <c r="D27" s="968"/>
      <c r="E27" s="563"/>
      <c r="F27" s="563"/>
      <c r="G27" s="563"/>
      <c r="H27" s="563"/>
    </row>
  </sheetData>
  <mergeCells count="21">
    <mergeCell ref="B8:D8"/>
    <mergeCell ref="B3:D3"/>
    <mergeCell ref="B4:D4"/>
    <mergeCell ref="B2:D2"/>
    <mergeCell ref="B9:D9"/>
    <mergeCell ref="B18:D18"/>
    <mergeCell ref="B27:D27"/>
    <mergeCell ref="B14:B15"/>
    <mergeCell ref="B5:B6"/>
    <mergeCell ref="B23:B24"/>
    <mergeCell ref="C23:D23"/>
    <mergeCell ref="B26:D26"/>
    <mergeCell ref="B21:D21"/>
    <mergeCell ref="B22:D22"/>
    <mergeCell ref="B20:D20"/>
    <mergeCell ref="C14:D14"/>
    <mergeCell ref="B17:D17"/>
    <mergeCell ref="B12:D12"/>
    <mergeCell ref="B13:D13"/>
    <mergeCell ref="B11:D11"/>
    <mergeCell ref="C5:D5"/>
  </mergeCells>
  <pageMargins left="0.70866141732283472" right="0.70866141732283472" top="0.74803149606299213" bottom="0.74803149606299213" header="0.31496062992125984" footer="0.31496062992125984"/>
  <pageSetup paperSize="126" orientation="portrait" r:id="rId1"/>
  <headerFooter>
    <oddFooter>&amp;C&amp;11&amp;A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9"/>
  <sheetViews>
    <sheetView workbookViewId="0">
      <selection activeCell="K28" sqref="K28"/>
    </sheetView>
  </sheetViews>
  <sheetFormatPr baseColWidth="10" defaultColWidth="11.08203125" defaultRowHeight="15.05" customHeight="1"/>
  <cols>
    <col min="1" max="1" width="6.25" style="41" customWidth="1"/>
    <col min="2" max="5" width="10.25" style="41" customWidth="1"/>
    <col min="6" max="6" width="9.25" style="41" customWidth="1"/>
    <col min="7" max="7" width="5.33203125" style="41" customWidth="1"/>
    <col min="8" max="8" width="3.33203125" style="41" customWidth="1"/>
    <col min="9" max="16384" width="11.08203125" style="41"/>
  </cols>
  <sheetData>
    <row r="1" spans="1:8" ht="4.75" customHeight="1">
      <c r="A1" s="801"/>
      <c r="B1" s="801"/>
      <c r="C1" s="801"/>
      <c r="D1" s="801"/>
      <c r="E1" s="801"/>
      <c r="F1" s="801"/>
      <c r="G1" s="801"/>
      <c r="H1" s="38"/>
    </row>
    <row r="2" spans="1:8" s="40" customFormat="1" ht="15.05" customHeight="1">
      <c r="A2" s="801" t="s">
        <v>17</v>
      </c>
      <c r="B2" s="801"/>
      <c r="C2" s="801"/>
      <c r="D2" s="801"/>
      <c r="E2" s="801"/>
      <c r="F2" s="801"/>
      <c r="G2" s="801"/>
      <c r="H2" s="324"/>
    </row>
    <row r="3" spans="1:8" s="40" customFormat="1" ht="15.05" customHeight="1">
      <c r="A3" s="801" t="s">
        <v>18</v>
      </c>
      <c r="B3" s="801"/>
      <c r="C3" s="801"/>
      <c r="D3" s="801"/>
      <c r="E3" s="801"/>
      <c r="F3" s="801"/>
      <c r="G3" s="801"/>
      <c r="H3" s="324"/>
    </row>
    <row r="4" spans="1:8" s="40" customFormat="1" ht="7.55" customHeight="1">
      <c r="A4" s="242"/>
      <c r="B4" s="242"/>
      <c r="C4" s="242"/>
      <c r="D4" s="242"/>
      <c r="E4" s="242"/>
      <c r="F4" s="242"/>
      <c r="G4" s="242"/>
      <c r="H4" s="324"/>
    </row>
    <row r="5" spans="1:8" s="40" customFormat="1" ht="15.05" customHeight="1">
      <c r="A5" s="232" t="s">
        <v>19</v>
      </c>
      <c r="B5" s="233" t="s">
        <v>20</v>
      </c>
      <c r="C5" s="233"/>
      <c r="D5" s="233"/>
      <c r="E5" s="233"/>
      <c r="F5" s="233"/>
      <c r="G5" s="234" t="s">
        <v>21</v>
      </c>
      <c r="H5" s="438"/>
    </row>
    <row r="6" spans="1:8" s="40" customFormat="1" ht="15.75" customHeight="1">
      <c r="A6" s="240" t="s">
        <v>22</v>
      </c>
      <c r="B6" s="802" t="s">
        <v>23</v>
      </c>
      <c r="C6" s="802"/>
      <c r="D6" s="802"/>
      <c r="E6" s="802"/>
      <c r="F6" s="802"/>
      <c r="G6" s="319">
        <v>4</v>
      </c>
      <c r="H6" s="324"/>
    </row>
    <row r="7" spans="1:8" s="40" customFormat="1" ht="15.75" customHeight="1">
      <c r="A7" s="240" t="s">
        <v>24</v>
      </c>
      <c r="B7" s="796" t="s">
        <v>25</v>
      </c>
      <c r="C7" s="796"/>
      <c r="D7" s="796"/>
      <c r="E7" s="796"/>
      <c r="F7" s="796"/>
      <c r="G7" s="319">
        <v>5</v>
      </c>
      <c r="H7" s="324"/>
    </row>
    <row r="8" spans="1:8" s="40" customFormat="1" ht="15.75" customHeight="1">
      <c r="A8" s="240" t="s">
        <v>26</v>
      </c>
      <c r="B8" s="796" t="s">
        <v>27</v>
      </c>
      <c r="C8" s="796"/>
      <c r="D8" s="796"/>
      <c r="E8" s="796"/>
      <c r="F8" s="796"/>
      <c r="G8" s="319">
        <v>6</v>
      </c>
      <c r="H8" s="324"/>
    </row>
    <row r="9" spans="1:8" s="40" customFormat="1" ht="15.75" customHeight="1">
      <c r="A9" s="240" t="s">
        <v>28</v>
      </c>
      <c r="B9" s="796" t="s">
        <v>29</v>
      </c>
      <c r="C9" s="796"/>
      <c r="D9" s="796"/>
      <c r="E9" s="796"/>
      <c r="F9" s="796"/>
      <c r="G9" s="319">
        <v>7</v>
      </c>
      <c r="H9" s="324"/>
    </row>
    <row r="10" spans="1:8" s="40" customFormat="1" ht="29.95" customHeight="1">
      <c r="A10" s="240" t="s">
        <v>30</v>
      </c>
      <c r="B10" s="796" t="s">
        <v>31</v>
      </c>
      <c r="C10" s="796"/>
      <c r="D10" s="796"/>
      <c r="E10" s="796"/>
      <c r="F10" s="796"/>
      <c r="G10" s="319">
        <v>8</v>
      </c>
      <c r="H10" s="324"/>
    </row>
    <row r="11" spans="1:8" s="40" customFormat="1" ht="29.95" customHeight="1">
      <c r="A11" s="240" t="s">
        <v>32</v>
      </c>
      <c r="B11" s="796" t="s">
        <v>33</v>
      </c>
      <c r="C11" s="796"/>
      <c r="D11" s="796"/>
      <c r="E11" s="796"/>
      <c r="F11" s="796"/>
      <c r="G11" s="319">
        <v>9</v>
      </c>
      <c r="H11" s="324"/>
    </row>
    <row r="12" spans="1:8" s="40" customFormat="1" ht="15.75" customHeight="1">
      <c r="A12" s="240" t="s">
        <v>34</v>
      </c>
      <c r="B12" s="796" t="s">
        <v>35</v>
      </c>
      <c r="C12" s="796"/>
      <c r="D12" s="796"/>
      <c r="E12" s="796"/>
      <c r="F12" s="796"/>
      <c r="G12" s="319">
        <v>10</v>
      </c>
      <c r="H12" s="324"/>
    </row>
    <row r="13" spans="1:8" s="40" customFormat="1" ht="15.75" customHeight="1">
      <c r="A13" s="240" t="s">
        <v>36</v>
      </c>
      <c r="B13" s="794" t="s">
        <v>37</v>
      </c>
      <c r="C13" s="794"/>
      <c r="D13" s="794"/>
      <c r="E13" s="794"/>
      <c r="F13" s="794"/>
      <c r="G13" s="319">
        <v>11</v>
      </c>
      <c r="H13" s="439"/>
    </row>
    <row r="14" spans="1:8" s="40" customFormat="1" ht="15.75" customHeight="1">
      <c r="A14" s="240" t="s">
        <v>38</v>
      </c>
      <c r="B14" s="794" t="s">
        <v>39</v>
      </c>
      <c r="C14" s="794"/>
      <c r="D14" s="794"/>
      <c r="E14" s="794"/>
      <c r="F14" s="794"/>
      <c r="G14" s="319">
        <v>12</v>
      </c>
      <c r="H14" s="439"/>
    </row>
    <row r="15" spans="1:8" s="40" customFormat="1" ht="15.75" customHeight="1">
      <c r="A15" s="240" t="s">
        <v>40</v>
      </c>
      <c r="B15" s="794" t="s">
        <v>41</v>
      </c>
      <c r="C15" s="794"/>
      <c r="D15" s="794"/>
      <c r="E15" s="794"/>
      <c r="F15" s="794"/>
      <c r="G15" s="319">
        <v>13</v>
      </c>
      <c r="H15" s="439"/>
    </row>
    <row r="16" spans="1:8" s="40" customFormat="1" ht="15.75" customHeight="1">
      <c r="A16" s="240" t="s">
        <v>42</v>
      </c>
      <c r="B16" s="794" t="s">
        <v>43</v>
      </c>
      <c r="C16" s="794"/>
      <c r="D16" s="794"/>
      <c r="E16" s="794"/>
      <c r="F16" s="794"/>
      <c r="G16" s="319">
        <v>14</v>
      </c>
      <c r="H16" s="439"/>
    </row>
    <row r="17" spans="1:10" s="40" customFormat="1" ht="15.75" customHeight="1">
      <c r="A17" s="240" t="s">
        <v>44</v>
      </c>
      <c r="B17" s="794" t="s">
        <v>45</v>
      </c>
      <c r="C17" s="794"/>
      <c r="D17" s="794"/>
      <c r="E17" s="794"/>
      <c r="F17" s="794"/>
      <c r="G17" s="319">
        <v>15</v>
      </c>
      <c r="H17" s="439"/>
      <c r="I17" s="324"/>
      <c r="J17" s="324"/>
    </row>
    <row r="18" spans="1:10" s="40" customFormat="1" ht="15.75" customHeight="1">
      <c r="A18" s="240" t="s">
        <v>46</v>
      </c>
      <c r="B18" s="794" t="s">
        <v>47</v>
      </c>
      <c r="C18" s="794"/>
      <c r="D18" s="794"/>
      <c r="E18" s="794"/>
      <c r="F18" s="794"/>
      <c r="G18" s="319">
        <v>16</v>
      </c>
      <c r="H18" s="439"/>
      <c r="I18" s="324"/>
      <c r="J18" s="324"/>
    </row>
    <row r="19" spans="1:10" s="40" customFormat="1" ht="29.95" customHeight="1">
      <c r="A19" s="240" t="s">
        <v>48</v>
      </c>
      <c r="B19" s="794" t="s">
        <v>49</v>
      </c>
      <c r="C19" s="794"/>
      <c r="D19" s="794"/>
      <c r="E19" s="794"/>
      <c r="F19" s="794"/>
      <c r="G19" s="319">
        <v>17</v>
      </c>
      <c r="H19" s="439"/>
      <c r="I19" s="324"/>
      <c r="J19" s="324"/>
    </row>
    <row r="20" spans="1:10" s="40" customFormat="1" ht="15.75" customHeight="1">
      <c r="A20" s="240" t="s">
        <v>50</v>
      </c>
      <c r="B20" s="794" t="s">
        <v>51</v>
      </c>
      <c r="C20" s="794"/>
      <c r="D20" s="794"/>
      <c r="E20" s="794"/>
      <c r="F20" s="794"/>
      <c r="G20" s="319">
        <v>18</v>
      </c>
      <c r="H20" s="439"/>
      <c r="I20" s="324"/>
      <c r="J20" s="324"/>
    </row>
    <row r="21" spans="1:10" s="40" customFormat="1" ht="15.75" customHeight="1">
      <c r="A21" s="240" t="s">
        <v>52</v>
      </c>
      <c r="B21" s="796" t="s">
        <v>53</v>
      </c>
      <c r="C21" s="796"/>
      <c r="D21" s="796"/>
      <c r="E21" s="796"/>
      <c r="F21" s="796"/>
      <c r="G21" s="319">
        <v>19</v>
      </c>
      <c r="H21" s="324"/>
      <c r="I21" s="324"/>
      <c r="J21" s="324"/>
    </row>
    <row r="22" spans="1:10" s="40" customFormat="1" ht="15.75" customHeight="1">
      <c r="A22" s="240" t="s">
        <v>54</v>
      </c>
      <c r="B22" s="796" t="s">
        <v>55</v>
      </c>
      <c r="C22" s="796"/>
      <c r="D22" s="796"/>
      <c r="E22" s="796"/>
      <c r="F22" s="796"/>
      <c r="G22" s="319">
        <v>20</v>
      </c>
      <c r="H22" s="324"/>
      <c r="I22" s="324"/>
      <c r="J22" s="324"/>
    </row>
    <row r="23" spans="1:10" s="40" customFormat="1" ht="15.75" customHeight="1">
      <c r="A23" s="240" t="s">
        <v>56</v>
      </c>
      <c r="B23" s="796" t="s">
        <v>57</v>
      </c>
      <c r="C23" s="796"/>
      <c r="D23" s="796"/>
      <c r="E23" s="796"/>
      <c r="F23" s="796"/>
      <c r="G23" s="319">
        <v>22</v>
      </c>
      <c r="H23" s="324"/>
      <c r="I23" s="324"/>
      <c r="J23" s="324"/>
    </row>
    <row r="24" spans="1:10" s="40" customFormat="1" ht="15.75" customHeight="1">
      <c r="A24" s="240" t="s">
        <v>58</v>
      </c>
      <c r="B24" s="796" t="s">
        <v>59</v>
      </c>
      <c r="C24" s="796"/>
      <c r="D24" s="796"/>
      <c r="E24" s="796"/>
      <c r="F24" s="796"/>
      <c r="G24" s="319">
        <v>23</v>
      </c>
      <c r="H24" s="324"/>
      <c r="I24" s="324"/>
      <c r="J24" s="324"/>
    </row>
    <row r="25" spans="1:10" s="40" customFormat="1" ht="15.75" customHeight="1">
      <c r="A25" s="240" t="s">
        <v>60</v>
      </c>
      <c r="B25" s="796" t="s">
        <v>61</v>
      </c>
      <c r="C25" s="796"/>
      <c r="D25" s="796"/>
      <c r="E25" s="796"/>
      <c r="F25" s="796"/>
      <c r="G25" s="320">
        <v>24</v>
      </c>
      <c r="H25" s="324"/>
      <c r="I25" s="324"/>
      <c r="J25" s="324"/>
    </row>
    <row r="26" spans="1:10" s="40" customFormat="1" ht="15.75" customHeight="1">
      <c r="A26" s="240" t="s">
        <v>62</v>
      </c>
      <c r="B26" s="796" t="s">
        <v>63</v>
      </c>
      <c r="C26" s="796"/>
      <c r="D26" s="796"/>
      <c r="E26" s="796"/>
      <c r="F26" s="796"/>
      <c r="G26" s="320">
        <v>25</v>
      </c>
      <c r="H26" s="324"/>
      <c r="I26" s="324"/>
      <c r="J26" s="324"/>
    </row>
    <row r="27" spans="1:10" s="40" customFormat="1" ht="15.75" customHeight="1">
      <c r="A27" s="240" t="s">
        <v>64</v>
      </c>
      <c r="B27" s="796" t="s">
        <v>65</v>
      </c>
      <c r="C27" s="796"/>
      <c r="D27" s="796"/>
      <c r="E27" s="796"/>
      <c r="F27" s="796"/>
      <c r="G27" s="320" t="s">
        <v>66</v>
      </c>
      <c r="H27" s="324"/>
      <c r="I27" s="324"/>
      <c r="J27" s="324"/>
    </row>
    <row r="28" spans="1:10" s="40" customFormat="1" ht="15.75" customHeight="1">
      <c r="A28" s="240" t="s">
        <v>67</v>
      </c>
      <c r="B28" s="796" t="s">
        <v>68</v>
      </c>
      <c r="C28" s="796"/>
      <c r="D28" s="796"/>
      <c r="E28" s="796"/>
      <c r="F28" s="796"/>
      <c r="G28" s="320" t="s">
        <v>69</v>
      </c>
      <c r="H28" s="324"/>
      <c r="I28" s="324"/>
      <c r="J28" s="324"/>
    </row>
    <row r="29" spans="1:10" s="40" customFormat="1" ht="15.75" customHeight="1">
      <c r="A29" s="240" t="s">
        <v>70</v>
      </c>
      <c r="B29" s="796" t="s">
        <v>71</v>
      </c>
      <c r="C29" s="796"/>
      <c r="D29" s="796"/>
      <c r="E29" s="796"/>
      <c r="F29" s="796"/>
      <c r="G29" s="320" t="s">
        <v>72</v>
      </c>
      <c r="H29" s="324"/>
      <c r="I29" s="324"/>
      <c r="J29" s="324"/>
    </row>
    <row r="30" spans="1:10" s="40" customFormat="1" ht="15.75" customHeight="1">
      <c r="A30" s="240" t="s">
        <v>73</v>
      </c>
      <c r="B30" s="235" t="s">
        <v>74</v>
      </c>
      <c r="C30" s="235"/>
      <c r="D30" s="235"/>
      <c r="E30" s="235"/>
      <c r="F30" s="235"/>
      <c r="G30" s="361">
        <v>27</v>
      </c>
      <c r="H30" s="324"/>
      <c r="I30" s="324"/>
      <c r="J30" s="440"/>
    </row>
    <row r="31" spans="1:10" s="40" customFormat="1" ht="15.75" customHeight="1">
      <c r="A31" s="232" t="s">
        <v>75</v>
      </c>
      <c r="B31" s="233" t="s">
        <v>20</v>
      </c>
      <c r="C31" s="233"/>
      <c r="D31" s="233"/>
      <c r="E31" s="233"/>
      <c r="F31" s="233"/>
      <c r="G31" s="234" t="s">
        <v>21</v>
      </c>
      <c r="H31" s="324"/>
      <c r="I31" s="324"/>
      <c r="J31" s="440"/>
    </row>
    <row r="32" spans="1:10" s="40" customFormat="1" ht="7.55" customHeight="1">
      <c r="A32" s="246"/>
      <c r="B32" s="235"/>
      <c r="C32" s="235"/>
      <c r="D32" s="235"/>
      <c r="E32" s="235"/>
      <c r="F32" s="235"/>
      <c r="G32" s="70"/>
      <c r="H32" s="324"/>
      <c r="I32" s="324"/>
      <c r="J32" s="324"/>
    </row>
    <row r="33" spans="1:8" s="40" customFormat="1" ht="16.55" customHeight="1">
      <c r="A33" s="240" t="s">
        <v>22</v>
      </c>
      <c r="B33" s="798" t="s">
        <v>76</v>
      </c>
      <c r="C33" s="798"/>
      <c r="D33" s="798"/>
      <c r="E33" s="798"/>
      <c r="F33" s="798"/>
      <c r="G33" s="70">
        <v>4</v>
      </c>
      <c r="H33" s="324"/>
    </row>
    <row r="34" spans="1:8" s="40" customFormat="1" ht="16.55" customHeight="1">
      <c r="A34" s="240" t="s">
        <v>24</v>
      </c>
      <c r="B34" s="795" t="s">
        <v>77</v>
      </c>
      <c r="C34" s="795"/>
      <c r="D34" s="795"/>
      <c r="E34" s="795"/>
      <c r="F34" s="795"/>
      <c r="G34" s="70">
        <v>5</v>
      </c>
      <c r="H34" s="324"/>
    </row>
    <row r="35" spans="1:8" s="40" customFormat="1" ht="29.95" customHeight="1">
      <c r="A35" s="441" t="s">
        <v>26</v>
      </c>
      <c r="B35" s="800" t="s">
        <v>78</v>
      </c>
      <c r="C35" s="800"/>
      <c r="D35" s="800"/>
      <c r="E35" s="800"/>
      <c r="F35" s="800"/>
      <c r="G35" s="70">
        <v>7</v>
      </c>
      <c r="H35" s="324"/>
    </row>
    <row r="36" spans="1:8" s="40" customFormat="1" ht="15.75" customHeight="1">
      <c r="A36" s="441" t="s">
        <v>28</v>
      </c>
      <c r="B36" s="794" t="s">
        <v>37</v>
      </c>
      <c r="C36" s="794"/>
      <c r="D36" s="794"/>
      <c r="E36" s="794"/>
      <c r="F36" s="794"/>
      <c r="G36" s="70">
        <v>11</v>
      </c>
      <c r="H36" s="439"/>
    </row>
    <row r="37" spans="1:8" s="40" customFormat="1" ht="15.75" customHeight="1">
      <c r="A37" s="441" t="s">
        <v>30</v>
      </c>
      <c r="B37" s="799" t="s">
        <v>79</v>
      </c>
      <c r="C37" s="799"/>
      <c r="D37" s="799"/>
      <c r="E37" s="799"/>
      <c r="F37" s="799"/>
      <c r="G37" s="70">
        <v>12</v>
      </c>
      <c r="H37" s="439"/>
    </row>
    <row r="38" spans="1:8" s="40" customFormat="1" ht="15.75" customHeight="1">
      <c r="A38" s="441" t="s">
        <v>32</v>
      </c>
      <c r="B38" s="799" t="s">
        <v>80</v>
      </c>
      <c r="C38" s="799"/>
      <c r="D38" s="799"/>
      <c r="E38" s="799"/>
      <c r="F38" s="799"/>
      <c r="G38" s="70">
        <v>13</v>
      </c>
      <c r="H38" s="324"/>
    </row>
    <row r="39" spans="1:8" s="40" customFormat="1" ht="15.75" customHeight="1">
      <c r="A39" s="441" t="s">
        <v>34</v>
      </c>
      <c r="B39" s="799" t="s">
        <v>81</v>
      </c>
      <c r="C39" s="799"/>
      <c r="D39" s="799"/>
      <c r="E39" s="799"/>
      <c r="F39" s="799"/>
      <c r="G39" s="70">
        <v>14</v>
      </c>
      <c r="H39" s="324"/>
    </row>
    <row r="40" spans="1:8" s="40" customFormat="1" ht="15.75" customHeight="1">
      <c r="A40" s="441" t="s">
        <v>36</v>
      </c>
      <c r="B40" s="796" t="s">
        <v>82</v>
      </c>
      <c r="C40" s="796"/>
      <c r="D40" s="796"/>
      <c r="E40" s="796"/>
      <c r="F40" s="796"/>
      <c r="G40" s="70">
        <v>16</v>
      </c>
      <c r="H40" s="324"/>
    </row>
    <row r="41" spans="1:8" s="40" customFormat="1" ht="15.75" customHeight="1">
      <c r="A41" s="441" t="s">
        <v>83</v>
      </c>
      <c r="B41" s="796" t="s">
        <v>84</v>
      </c>
      <c r="C41" s="796"/>
      <c r="D41" s="796"/>
      <c r="E41" s="796"/>
      <c r="F41" s="796"/>
      <c r="G41" s="70">
        <v>18</v>
      </c>
      <c r="H41" s="324"/>
    </row>
    <row r="42" spans="1:8" s="40" customFormat="1" ht="15.75" customHeight="1">
      <c r="A42" s="441" t="s">
        <v>85</v>
      </c>
      <c r="B42" s="800" t="s">
        <v>86</v>
      </c>
      <c r="C42" s="800"/>
      <c r="D42" s="800"/>
      <c r="E42" s="800"/>
      <c r="F42" s="800"/>
      <c r="G42" s="70">
        <v>20</v>
      </c>
      <c r="H42" s="324"/>
    </row>
    <row r="43" spans="1:8" s="40" customFormat="1" ht="15.75" customHeight="1">
      <c r="A43" s="441" t="s">
        <v>87</v>
      </c>
      <c r="B43" s="794" t="s">
        <v>88</v>
      </c>
      <c r="C43" s="794"/>
      <c r="D43" s="794"/>
      <c r="E43" s="794"/>
      <c r="F43" s="794"/>
      <c r="G43" s="70">
        <v>21</v>
      </c>
      <c r="H43" s="324"/>
    </row>
    <row r="44" spans="1:8" s="40" customFormat="1" ht="11.95" customHeight="1">
      <c r="A44" s="324"/>
      <c r="B44" s="324"/>
      <c r="C44" s="324"/>
      <c r="D44" s="324"/>
      <c r="E44" s="324"/>
      <c r="F44" s="324"/>
      <c r="G44" s="324"/>
      <c r="H44" s="324"/>
    </row>
    <row r="45" spans="1:8" ht="15.05" customHeight="1">
      <c r="A45" s="38"/>
      <c r="B45" s="38"/>
      <c r="C45" s="38"/>
      <c r="D45" s="38"/>
      <c r="E45" s="38"/>
      <c r="F45" s="38"/>
      <c r="G45" s="38"/>
      <c r="H45" s="38"/>
    </row>
    <row r="46" spans="1:8" ht="15.05" customHeight="1">
      <c r="A46" s="240"/>
      <c r="B46" s="797"/>
      <c r="C46" s="797"/>
      <c r="D46" s="797"/>
      <c r="E46" s="797"/>
      <c r="F46" s="797"/>
      <c r="G46" s="38"/>
      <c r="H46" s="38"/>
    </row>
    <row r="59" spans="1:8" ht="29.95" customHeight="1">
      <c r="A59" s="35"/>
      <c r="B59" s="38"/>
      <c r="C59" s="38"/>
      <c r="D59" s="38"/>
      <c r="E59" s="38"/>
      <c r="F59" s="38"/>
      <c r="G59" s="38"/>
      <c r="H59" s="35"/>
    </row>
  </sheetData>
  <customSheetViews>
    <customSheetView guid="{5CDC6F58-B038-4A0E-A13D-C643B013E119}" topLeftCell="A4">
      <selection activeCell="A30" sqref="A30"/>
      <pageMargins left="0" right="0" top="0" bottom="0" header="0" footer="0"/>
      <pageSetup scale="95" orientation="portrait" r:id="rId1"/>
      <headerFooter differentFirst="1"/>
    </customSheetView>
  </customSheetViews>
  <mergeCells count="39">
    <mergeCell ref="A1:G1"/>
    <mergeCell ref="B24:F24"/>
    <mergeCell ref="B13:F13"/>
    <mergeCell ref="B10:F10"/>
    <mergeCell ref="B22:F22"/>
    <mergeCell ref="B23:F23"/>
    <mergeCell ref="A2:G2"/>
    <mergeCell ref="B7:F7"/>
    <mergeCell ref="B21:F21"/>
    <mergeCell ref="B14:F14"/>
    <mergeCell ref="B8:F8"/>
    <mergeCell ref="B9:F9"/>
    <mergeCell ref="B11:F11"/>
    <mergeCell ref="A3:G3"/>
    <mergeCell ref="B12:F12"/>
    <mergeCell ref="B6:F6"/>
    <mergeCell ref="B46:F46"/>
    <mergeCell ref="B33:F33"/>
    <mergeCell ref="B37:F37"/>
    <mergeCell ref="B39:F39"/>
    <mergeCell ref="B40:F40"/>
    <mergeCell ref="B38:F38"/>
    <mergeCell ref="B36:F36"/>
    <mergeCell ref="B43:F43"/>
    <mergeCell ref="B35:F35"/>
    <mergeCell ref="B41:F41"/>
    <mergeCell ref="B42:F42"/>
    <mergeCell ref="B20:F20"/>
    <mergeCell ref="B34:F34"/>
    <mergeCell ref="B15:F15"/>
    <mergeCell ref="B16:F16"/>
    <mergeCell ref="B17:F17"/>
    <mergeCell ref="B18:F18"/>
    <mergeCell ref="B19:F19"/>
    <mergeCell ref="B25:F25"/>
    <mergeCell ref="B26:F26"/>
    <mergeCell ref="B27:F27"/>
    <mergeCell ref="B28:F28"/>
    <mergeCell ref="B29:F29"/>
  </mergeCells>
  <hyperlinks>
    <hyperlink ref="G6" location="'4'!A1" display="'4'!A1" xr:uid="{00000000-0004-0000-0200-000000000000}"/>
    <hyperlink ref="G7" location="'5'!A1" display="'5'!A1" xr:uid="{00000000-0004-0000-0200-000001000000}"/>
    <hyperlink ref="G8" location="'6'!Área_de_impresión" display="'6'!Área_de_impresión" xr:uid="{00000000-0004-0000-0200-000002000000}"/>
    <hyperlink ref="G9" location="'7'!Área_de_impresión" display="'7'!Área_de_impresión" xr:uid="{00000000-0004-0000-0200-000003000000}"/>
    <hyperlink ref="G10" location="'8'!Área_de_impresión" display="'8'!Área_de_impresión" xr:uid="{00000000-0004-0000-0200-000004000000}"/>
    <hyperlink ref="G11" location="'9'!Área_de_impresión" display="'9'!Área_de_impresión" xr:uid="{00000000-0004-0000-0200-000005000000}"/>
    <hyperlink ref="G12" location="'10'!Área_de_impresión" display="'10'!Área_de_impresión" xr:uid="{00000000-0004-0000-0200-000006000000}"/>
    <hyperlink ref="G13" location="'11'!A1" display="'11'!A1" xr:uid="{00000000-0004-0000-0200-000007000000}"/>
    <hyperlink ref="G21" location="'19'!A1" display="'19'!A1" xr:uid="{00000000-0004-0000-0200-000008000000}"/>
    <hyperlink ref="G22" location="'20'!A1" display="'20'!A1" xr:uid="{00000000-0004-0000-0200-000009000000}"/>
    <hyperlink ref="G33" location="'4'!A1" display="'4'!A1" xr:uid="{00000000-0004-0000-0200-00000A000000}"/>
    <hyperlink ref="G34" location="'5'!A1" display="'5'!A1" xr:uid="{00000000-0004-0000-0200-00000B000000}"/>
    <hyperlink ref="G35" location="'7'!A1" display="'7'!A1" xr:uid="{00000000-0004-0000-0200-00000C000000}"/>
    <hyperlink ref="G36" location="'11'!A1" display="'11'!A1" xr:uid="{00000000-0004-0000-0200-00000D000000}"/>
    <hyperlink ref="G37" location="'12'!Área_de_impresión" display="'12'!Área_de_impresión" xr:uid="{00000000-0004-0000-0200-00000E000000}"/>
    <hyperlink ref="G38" location="'13'!Área_de_impresión" display="'13'!Área_de_impresión" xr:uid="{00000000-0004-0000-0200-00000F000000}"/>
    <hyperlink ref="G39" location="'14'!Área_de_impresión" display="'14'!Área_de_impresión" xr:uid="{00000000-0004-0000-0200-000010000000}"/>
    <hyperlink ref="G40" location="'16'!A1" display="'16'!A1" xr:uid="{00000000-0004-0000-0200-000011000000}"/>
    <hyperlink ref="G41" location="'18'!A1" display="'18'!A1" xr:uid="{00000000-0004-0000-0200-000012000000}"/>
    <hyperlink ref="G42" location="'20'!A1" display="'20'!A1" xr:uid="{00000000-0004-0000-0200-000013000000}"/>
    <hyperlink ref="G43" location="'21'!A1" display="'21'!A1" xr:uid="{00000000-0004-0000-0200-000014000000}"/>
    <hyperlink ref="G23" location="'22'!A1" display="'22'!A1" xr:uid="{00000000-0004-0000-0200-000015000000}"/>
    <hyperlink ref="G24" location="'23'!A1" display="'23'!A1" xr:uid="{00000000-0004-0000-0200-000016000000}"/>
    <hyperlink ref="G14" location="'12'!A1" display="'12'!A1" xr:uid="{00000000-0004-0000-0200-000018000000}"/>
    <hyperlink ref="G15" location="'13'!A1" display="'13'!A1" xr:uid="{00000000-0004-0000-0200-000019000000}"/>
    <hyperlink ref="G16" location="'14'!A1" display="'14'!A1" xr:uid="{00000000-0004-0000-0200-00001A000000}"/>
    <hyperlink ref="G17" location="'15'!A1" display="'15'!A1" xr:uid="{00000000-0004-0000-0200-00001B000000}"/>
    <hyperlink ref="G18" location="'16'!A1" display="'16'!A1" xr:uid="{00000000-0004-0000-0200-00001C000000}"/>
    <hyperlink ref="G19" location="'17'!A1" display="'17'!A1" xr:uid="{00000000-0004-0000-0200-00001D000000}"/>
    <hyperlink ref="G20" location="'18'!A1" display="'18'!A1" xr:uid="{00000000-0004-0000-0200-00001E000000}"/>
    <hyperlink ref="G25" location="'24'!A1" display="'24'!A1" xr:uid="{43ECAFB1-8836-410A-8FE9-3D921C1F97C0}"/>
    <hyperlink ref="G26" location="'25'!A1" display="'25'!A1" xr:uid="{BE4911B8-A78D-4152-82FB-B72A36EDC254}"/>
    <hyperlink ref="G27" location="'26A'!A1" display="26A" xr:uid="{CE6AC8FE-80CC-49FD-83F8-C31B038DD796}"/>
    <hyperlink ref="G28" location="'26B'!A1" display="26B" xr:uid="{76BDD6D2-DF91-4A0D-9F7E-A3F497307DEA}"/>
    <hyperlink ref="G30" location="'27'!A1" display="'27'!A1" xr:uid="{364CBF39-F1F0-4819-BF54-E1DB2B5FD58C}"/>
    <hyperlink ref="G29" location="'26C'!A1" display="26C" xr:uid="{3B27B635-A53D-451D-BD06-E4303897A720}"/>
  </hyperlinks>
  <pageMargins left="0.70866141732283472" right="0.70866141732283472" top="0.70866141732283472" bottom="0.74803149606299213" header="0.31496062992125984" footer="0.31496062992125984"/>
  <pageSetup paperSize="126" scale="99"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tabColor theme="6" tint="0.79998168889431442"/>
    <pageSetUpPr fitToPage="1"/>
  </sheetPr>
  <dimension ref="A1:G42"/>
  <sheetViews>
    <sheetView topLeftCell="A4" zoomScaleNormal="100" workbookViewId="0">
      <selection activeCell="J12" sqref="J12"/>
    </sheetView>
  </sheetViews>
  <sheetFormatPr baseColWidth="10" defaultColWidth="11.08203125" defaultRowHeight="15.05" customHeight="1"/>
  <cols>
    <col min="1" max="1" width="6" style="230" customWidth="1"/>
    <col min="2" max="6" width="9.83203125" style="230" customWidth="1"/>
    <col min="7" max="7" width="6.25" style="241" customWidth="1"/>
    <col min="8" max="16384" width="11.08203125" style="230"/>
  </cols>
  <sheetData>
    <row r="1" spans="1:7" ht="15.05" customHeight="1">
      <c r="A1" s="801"/>
      <c r="B1" s="801"/>
      <c r="C1" s="801"/>
      <c r="D1" s="801"/>
      <c r="E1" s="801"/>
      <c r="F1" s="801"/>
      <c r="G1" s="801"/>
    </row>
    <row r="2" spans="1:7" s="231" customFormat="1" ht="15.05" customHeight="1">
      <c r="A2" s="801" t="s">
        <v>406</v>
      </c>
      <c r="B2" s="801"/>
      <c r="C2" s="801"/>
      <c r="D2" s="801"/>
      <c r="E2" s="801"/>
      <c r="F2" s="801"/>
      <c r="G2" s="801"/>
    </row>
    <row r="3" spans="1:7" s="231" customFormat="1" ht="15.05" customHeight="1">
      <c r="A3" s="801" t="s">
        <v>407</v>
      </c>
      <c r="B3" s="801"/>
      <c r="C3" s="801"/>
      <c r="D3" s="801"/>
      <c r="E3" s="801"/>
      <c r="F3" s="801"/>
      <c r="G3" s="801"/>
    </row>
    <row r="4" spans="1:7" s="231" customFormat="1" ht="15.05" customHeight="1">
      <c r="A4" s="801"/>
      <c r="B4" s="801"/>
      <c r="C4" s="801"/>
      <c r="D4" s="801"/>
      <c r="E4" s="801"/>
      <c r="F4" s="801"/>
      <c r="G4" s="801"/>
    </row>
    <row r="5" spans="1:7" s="231" customFormat="1" ht="15.05" customHeight="1">
      <c r="A5" s="232" t="s">
        <v>19</v>
      </c>
      <c r="B5" s="233" t="s">
        <v>20</v>
      </c>
      <c r="C5" s="233"/>
      <c r="D5" s="233"/>
      <c r="E5" s="233"/>
      <c r="F5" s="233"/>
      <c r="G5" s="234" t="s">
        <v>21</v>
      </c>
    </row>
    <row r="6" spans="1:7" s="231" customFormat="1" ht="15.05" customHeight="1">
      <c r="A6" s="235"/>
      <c r="B6" s="235"/>
      <c r="C6" s="235"/>
      <c r="D6" s="235"/>
      <c r="E6" s="235"/>
      <c r="F6" s="235"/>
      <c r="G6" s="70"/>
    </row>
    <row r="7" spans="1:7" s="231" customFormat="1" ht="15.75" customHeight="1">
      <c r="A7" s="243" t="s">
        <v>22</v>
      </c>
      <c r="B7" s="982" t="s">
        <v>408</v>
      </c>
      <c r="C7" s="982"/>
      <c r="D7" s="982"/>
      <c r="E7" s="982"/>
      <c r="F7" s="982"/>
      <c r="G7" s="322">
        <v>28</v>
      </c>
    </row>
    <row r="8" spans="1:7" s="231" customFormat="1" ht="15.75" customHeight="1">
      <c r="A8" s="243" t="s">
        <v>24</v>
      </c>
      <c r="B8" s="981" t="s">
        <v>409</v>
      </c>
      <c r="C8" s="981"/>
      <c r="D8" s="981"/>
      <c r="E8" s="981"/>
      <c r="F8" s="981"/>
      <c r="G8" s="322">
        <v>29</v>
      </c>
    </row>
    <row r="9" spans="1:7" s="231" customFormat="1" ht="15.75" customHeight="1">
      <c r="A9" s="243" t="s">
        <v>26</v>
      </c>
      <c r="B9" s="981" t="s">
        <v>410</v>
      </c>
      <c r="C9" s="981"/>
      <c r="D9" s="981"/>
      <c r="E9" s="981"/>
      <c r="F9" s="981"/>
      <c r="G9" s="322">
        <v>30</v>
      </c>
    </row>
    <row r="10" spans="1:7" s="231" customFormat="1" ht="29.95" customHeight="1">
      <c r="A10" s="243" t="s">
        <v>28</v>
      </c>
      <c r="B10" s="981" t="s">
        <v>411</v>
      </c>
      <c r="C10" s="981"/>
      <c r="D10" s="981"/>
      <c r="E10" s="981"/>
      <c r="F10" s="981"/>
      <c r="G10" s="322">
        <v>31</v>
      </c>
    </row>
    <row r="11" spans="1:7" s="231" customFormat="1" ht="29.95" customHeight="1">
      <c r="A11" s="243" t="s">
        <v>30</v>
      </c>
      <c r="B11" s="981" t="s">
        <v>412</v>
      </c>
      <c r="C11" s="981"/>
      <c r="D11" s="981"/>
      <c r="E11" s="981"/>
      <c r="F11" s="981"/>
      <c r="G11" s="322">
        <v>32</v>
      </c>
    </row>
    <row r="12" spans="1:7" s="231" customFormat="1" ht="29.95" customHeight="1">
      <c r="A12" s="243" t="s">
        <v>32</v>
      </c>
      <c r="B12" s="981" t="s">
        <v>413</v>
      </c>
      <c r="C12" s="981"/>
      <c r="D12" s="981"/>
      <c r="E12" s="981"/>
      <c r="F12" s="981"/>
      <c r="G12" s="322">
        <v>33</v>
      </c>
    </row>
    <row r="13" spans="1:7" s="231" customFormat="1" ht="15.05" customHeight="1">
      <c r="A13" s="243" t="s">
        <v>34</v>
      </c>
      <c r="B13" s="981" t="s">
        <v>414</v>
      </c>
      <c r="C13" s="981"/>
      <c r="D13" s="981"/>
      <c r="E13" s="981"/>
      <c r="F13" s="981"/>
      <c r="G13" s="322">
        <v>34</v>
      </c>
    </row>
    <row r="14" spans="1:7" s="231" customFormat="1" ht="15.05" customHeight="1">
      <c r="A14" s="243" t="s">
        <v>36</v>
      </c>
      <c r="B14" s="981" t="s">
        <v>415</v>
      </c>
      <c r="C14" s="981"/>
      <c r="D14" s="981"/>
      <c r="E14" s="981"/>
      <c r="F14" s="981"/>
      <c r="G14" s="322">
        <v>35</v>
      </c>
    </row>
    <row r="15" spans="1:7" s="231" customFormat="1" ht="15.05" customHeight="1">
      <c r="A15" s="243" t="s">
        <v>83</v>
      </c>
      <c r="B15" s="984" t="s">
        <v>416</v>
      </c>
      <c r="C15" s="984"/>
      <c r="D15" s="984"/>
      <c r="E15" s="984"/>
      <c r="F15" s="984"/>
      <c r="G15" s="322">
        <v>36</v>
      </c>
    </row>
    <row r="16" spans="1:7" s="231" customFormat="1" ht="15.05" customHeight="1">
      <c r="A16" s="243" t="s">
        <v>85</v>
      </c>
      <c r="B16" s="982" t="s">
        <v>417</v>
      </c>
      <c r="C16" s="982"/>
      <c r="D16" s="982"/>
      <c r="E16" s="982"/>
      <c r="F16" s="982"/>
      <c r="G16" s="322">
        <v>37</v>
      </c>
    </row>
    <row r="17" spans="1:7" s="231" customFormat="1" ht="15.05" customHeight="1">
      <c r="A17" s="243" t="s">
        <v>87</v>
      </c>
      <c r="B17" s="984" t="s">
        <v>418</v>
      </c>
      <c r="C17" s="984"/>
      <c r="D17" s="984"/>
      <c r="E17" s="984"/>
      <c r="F17" s="984"/>
      <c r="G17" s="322">
        <v>38</v>
      </c>
    </row>
    <row r="18" spans="1:7" s="231" customFormat="1" ht="15.05" customHeight="1">
      <c r="A18" s="243" t="s">
        <v>419</v>
      </c>
      <c r="B18" s="981" t="s">
        <v>420</v>
      </c>
      <c r="C18" s="981"/>
      <c r="D18" s="981"/>
      <c r="E18" s="981"/>
      <c r="F18" s="981"/>
      <c r="G18" s="322">
        <v>39</v>
      </c>
    </row>
    <row r="19" spans="1:7" s="231" customFormat="1" ht="15.05" customHeight="1">
      <c r="A19" s="243" t="s">
        <v>421</v>
      </c>
      <c r="B19" s="981" t="s">
        <v>422</v>
      </c>
      <c r="C19" s="981"/>
      <c r="D19" s="981"/>
      <c r="E19" s="981"/>
      <c r="F19" s="981"/>
      <c r="G19" s="322">
        <v>40</v>
      </c>
    </row>
    <row r="20" spans="1:7" s="231" customFormat="1" ht="15.05" customHeight="1">
      <c r="A20" s="243" t="s">
        <v>423</v>
      </c>
      <c r="B20" s="981" t="s">
        <v>53</v>
      </c>
      <c r="C20" s="981"/>
      <c r="D20" s="981"/>
      <c r="E20" s="981"/>
      <c r="F20" s="981"/>
      <c r="G20" s="322">
        <v>41</v>
      </c>
    </row>
    <row r="21" spans="1:7" s="231" customFormat="1" ht="15.05" customHeight="1">
      <c r="A21" s="243" t="s">
        <v>424</v>
      </c>
      <c r="B21" s="981" t="s">
        <v>425</v>
      </c>
      <c r="C21" s="981"/>
      <c r="D21" s="981"/>
      <c r="E21" s="981"/>
      <c r="F21" s="981"/>
      <c r="G21" s="322">
        <v>42</v>
      </c>
    </row>
    <row r="22" spans="1:7" s="231" customFormat="1" ht="15.05" customHeight="1">
      <c r="A22" s="236"/>
      <c r="B22" s="236"/>
      <c r="C22" s="236"/>
      <c r="D22" s="236"/>
      <c r="E22" s="236"/>
      <c r="F22" s="236"/>
      <c r="G22" s="244"/>
    </row>
    <row r="23" spans="1:7" s="231" customFormat="1" ht="15.05" customHeight="1">
      <c r="A23" s="237" t="s">
        <v>426</v>
      </c>
      <c r="B23" s="237" t="s">
        <v>20</v>
      </c>
      <c r="C23" s="237"/>
      <c r="D23" s="237"/>
      <c r="E23" s="237"/>
      <c r="F23" s="237"/>
      <c r="G23" s="323" t="s">
        <v>21</v>
      </c>
    </row>
    <row r="24" spans="1:7" s="231" customFormat="1" ht="15.05" customHeight="1">
      <c r="A24" s="246"/>
      <c r="B24" s="236"/>
      <c r="C24" s="236"/>
      <c r="D24" s="236"/>
      <c r="E24" s="236"/>
      <c r="F24" s="236"/>
      <c r="G24" s="70"/>
    </row>
    <row r="25" spans="1:7" s="231" customFormat="1" ht="15.75" customHeight="1">
      <c r="A25" s="240" t="s">
        <v>22</v>
      </c>
      <c r="B25" s="982" t="s">
        <v>427</v>
      </c>
      <c r="C25" s="982"/>
      <c r="D25" s="982"/>
      <c r="E25" s="982"/>
      <c r="F25" s="982"/>
      <c r="G25" s="322">
        <v>28</v>
      </c>
    </row>
    <row r="26" spans="1:7" s="231" customFormat="1" ht="15.75" customHeight="1">
      <c r="A26" s="240" t="s">
        <v>24</v>
      </c>
      <c r="B26" s="981" t="s">
        <v>428</v>
      </c>
      <c r="C26" s="981"/>
      <c r="D26" s="981"/>
      <c r="E26" s="981"/>
      <c r="F26" s="981"/>
      <c r="G26" s="322">
        <v>29</v>
      </c>
    </row>
    <row r="27" spans="1:7" s="231" customFormat="1" ht="29.95" customHeight="1">
      <c r="A27" s="240" t="s">
        <v>26</v>
      </c>
      <c r="B27" s="981" t="s">
        <v>429</v>
      </c>
      <c r="C27" s="981"/>
      <c r="D27" s="981"/>
      <c r="E27" s="981"/>
      <c r="F27" s="981"/>
      <c r="G27" s="322">
        <v>31</v>
      </c>
    </row>
    <row r="28" spans="1:7" s="231" customFormat="1" ht="15.75" customHeight="1">
      <c r="A28" s="476" t="s">
        <v>28</v>
      </c>
      <c r="B28" s="981" t="s">
        <v>430</v>
      </c>
      <c r="C28" s="981"/>
      <c r="D28" s="981"/>
      <c r="E28" s="981"/>
      <c r="F28" s="981"/>
      <c r="G28" s="322">
        <v>35</v>
      </c>
    </row>
    <row r="29" spans="1:7" s="231" customFormat="1" ht="15.75" customHeight="1">
      <c r="A29" s="476" t="s">
        <v>30</v>
      </c>
      <c r="B29" s="984" t="s">
        <v>431</v>
      </c>
      <c r="C29" s="984"/>
      <c r="D29" s="984"/>
      <c r="E29" s="984"/>
      <c r="F29" s="984"/>
      <c r="G29" s="322">
        <v>36</v>
      </c>
    </row>
    <row r="30" spans="1:7" s="231" customFormat="1" ht="15.75" customHeight="1">
      <c r="A30" s="476" t="s">
        <v>32</v>
      </c>
      <c r="B30" s="984" t="s">
        <v>432</v>
      </c>
      <c r="C30" s="984"/>
      <c r="D30" s="984"/>
      <c r="E30" s="984"/>
      <c r="F30" s="984"/>
      <c r="G30" s="322">
        <v>37</v>
      </c>
    </row>
    <row r="31" spans="1:7" s="231" customFormat="1" ht="15.75" customHeight="1">
      <c r="A31" s="476" t="s">
        <v>34</v>
      </c>
      <c r="B31" s="984" t="s">
        <v>418</v>
      </c>
      <c r="C31" s="984"/>
      <c r="D31" s="984"/>
      <c r="E31" s="984"/>
      <c r="F31" s="984"/>
      <c r="G31" s="322">
        <v>38</v>
      </c>
    </row>
    <row r="32" spans="1:7" s="231" customFormat="1" ht="15.75" customHeight="1">
      <c r="A32" s="476" t="s">
        <v>36</v>
      </c>
      <c r="B32" s="796" t="s">
        <v>420</v>
      </c>
      <c r="C32" s="796"/>
      <c r="D32" s="796"/>
      <c r="E32" s="796"/>
      <c r="F32" s="796"/>
      <c r="G32" s="322">
        <v>39</v>
      </c>
    </row>
    <row r="33" spans="1:7" s="231" customFormat="1" ht="15.75" customHeight="1">
      <c r="A33" s="476" t="s">
        <v>83</v>
      </c>
      <c r="B33" s="981" t="s">
        <v>433</v>
      </c>
      <c r="C33" s="981"/>
      <c r="D33" s="981"/>
      <c r="E33" s="981"/>
      <c r="F33" s="981"/>
      <c r="G33" s="322">
        <v>40</v>
      </c>
    </row>
    <row r="34" spans="1:7" s="231" customFormat="1" ht="29.95" customHeight="1">
      <c r="A34" s="476" t="s">
        <v>85</v>
      </c>
      <c r="B34" s="981" t="s">
        <v>434</v>
      </c>
      <c r="C34" s="981"/>
      <c r="D34" s="981"/>
      <c r="E34" s="981"/>
      <c r="F34" s="981"/>
      <c r="G34" s="322">
        <v>42</v>
      </c>
    </row>
    <row r="35" spans="1:7" s="231" customFormat="1" ht="15.75" customHeight="1">
      <c r="A35" s="476" t="s">
        <v>87</v>
      </c>
      <c r="B35" s="982" t="s">
        <v>435</v>
      </c>
      <c r="C35" s="982"/>
      <c r="D35" s="982"/>
      <c r="E35" s="982"/>
      <c r="F35" s="982"/>
      <c r="G35" s="322">
        <v>43</v>
      </c>
    </row>
    <row r="36" spans="1:7" s="231" customFormat="1" ht="15.05" customHeight="1">
      <c r="A36" s="238"/>
      <c r="B36" s="329"/>
      <c r="C36" s="329"/>
      <c r="D36" s="329"/>
      <c r="E36" s="329"/>
      <c r="F36" s="329"/>
      <c r="G36" s="477"/>
    </row>
    <row r="37" spans="1:7" s="231" customFormat="1" ht="11.95" customHeight="1">
      <c r="A37" s="238"/>
      <c r="B37" s="329"/>
      <c r="C37" s="329"/>
      <c r="D37" s="329"/>
      <c r="E37" s="329"/>
      <c r="F37" s="329"/>
      <c r="G37" s="478"/>
    </row>
    <row r="38" spans="1:7" s="231" customFormat="1" ht="11.95" customHeight="1">
      <c r="A38" s="238"/>
      <c r="B38" s="329"/>
      <c r="C38" s="329"/>
      <c r="D38" s="329"/>
      <c r="E38" s="329"/>
      <c r="F38" s="329"/>
      <c r="G38" s="478"/>
    </row>
    <row r="39" spans="1:7" s="231" customFormat="1" ht="11.95" customHeight="1">
      <c r="A39" s="239"/>
      <c r="B39" s="329"/>
      <c r="C39" s="329"/>
      <c r="D39" s="329"/>
      <c r="E39" s="329"/>
      <c r="F39" s="329"/>
      <c r="G39" s="478"/>
    </row>
    <row r="40" spans="1:7" s="231" customFormat="1" ht="11.95" customHeight="1">
      <c r="A40" s="329"/>
      <c r="B40" s="99"/>
      <c r="C40" s="329"/>
      <c r="D40" s="329"/>
      <c r="E40" s="329"/>
      <c r="F40" s="329"/>
      <c r="G40" s="478"/>
    </row>
    <row r="42" spans="1:7" ht="15.05" customHeight="1">
      <c r="A42" s="240"/>
      <c r="B42" s="983"/>
      <c r="C42" s="983"/>
      <c r="D42" s="983"/>
      <c r="E42" s="983"/>
      <c r="F42" s="983"/>
    </row>
  </sheetData>
  <mergeCells count="31">
    <mergeCell ref="B17:F17"/>
    <mergeCell ref="B13:F13"/>
    <mergeCell ref="B14:F14"/>
    <mergeCell ref="B15:F15"/>
    <mergeCell ref="B16:F16"/>
    <mergeCell ref="A1:G1"/>
    <mergeCell ref="A2:G2"/>
    <mergeCell ref="A4:G4"/>
    <mergeCell ref="A3:G3"/>
    <mergeCell ref="B12:F12"/>
    <mergeCell ref="B11:F11"/>
    <mergeCell ref="B7:F7"/>
    <mergeCell ref="B10:F10"/>
    <mergeCell ref="B9:F9"/>
    <mergeCell ref="B8:F8"/>
    <mergeCell ref="B42:F42"/>
    <mergeCell ref="B28:F28"/>
    <mergeCell ref="B29:F29"/>
    <mergeCell ref="B30:F30"/>
    <mergeCell ref="B31:F31"/>
    <mergeCell ref="B32:F32"/>
    <mergeCell ref="B33:F33"/>
    <mergeCell ref="B18:F18"/>
    <mergeCell ref="B19:F19"/>
    <mergeCell ref="B21:F21"/>
    <mergeCell ref="B20:F20"/>
    <mergeCell ref="B35:F35"/>
    <mergeCell ref="B34:F34"/>
    <mergeCell ref="B27:F27"/>
    <mergeCell ref="B25:F25"/>
    <mergeCell ref="B26:F26"/>
  </mergeCells>
  <hyperlinks>
    <hyperlink ref="G7" location="'28'!A1" display="'28'!A1" xr:uid="{00000000-0004-0000-1800-000000000000}"/>
    <hyperlink ref="G25" location="'28'!A1" display="'28'!A1" xr:uid="{00000000-0004-0000-1800-00000F000000}"/>
    <hyperlink ref="G26" location="'29'!A1" display="'29'!A1" xr:uid="{00000000-0004-0000-1800-000010000000}"/>
    <hyperlink ref="G27" location="'31'!A1" display="'31'!A1" xr:uid="{00000000-0004-0000-1800-000011000000}"/>
    <hyperlink ref="G28" location="'35'!A1" display="'35'!A1" xr:uid="{00000000-0004-0000-1800-000012000000}"/>
    <hyperlink ref="G29" location="'36'!A1" display="'36'!A1" xr:uid="{00000000-0004-0000-1800-000013000000}"/>
    <hyperlink ref="G30" location="'37'!A1" display="'37'!A1" xr:uid="{00000000-0004-0000-1800-000014000000}"/>
    <hyperlink ref="G31" location="'38'!A1" display="'38'!A1" xr:uid="{00000000-0004-0000-1800-000015000000}"/>
    <hyperlink ref="G32" location="'39'!A1" display="'39'!A1" xr:uid="{00000000-0004-0000-1800-000016000000}"/>
    <hyperlink ref="G33" location="'40'!A1" display="'40'!A1" xr:uid="{00000000-0004-0000-1800-000017000000}"/>
    <hyperlink ref="G34" location="'42'!A1" display="'42'!A1" xr:uid="{00000000-0004-0000-1800-000018000000}"/>
    <hyperlink ref="G35" location="'43'!A1" display="'43'!A1" xr:uid="{00000000-0004-0000-1800-000019000000}"/>
    <hyperlink ref="G8:G21" location="'28'!A1" display="'28'!A1" xr:uid="{C206FB4C-469D-4D51-B307-698A893D01D3}"/>
    <hyperlink ref="G8" location="'29'!A1" display="'29'!A1" xr:uid="{45A33B44-3CB0-4291-AEDD-9B80BAF3073E}"/>
    <hyperlink ref="G9" location="'30'!A1" display="'30'!A1" xr:uid="{63EFE06D-E625-439D-9856-C2D7DCD0C0A2}"/>
    <hyperlink ref="G10" location="'31'!A1" display="'31'!A1" xr:uid="{C90B7F52-6280-4A7B-A7FB-AA0385871CDF}"/>
    <hyperlink ref="G11" location="'32'!A1" display="'32'!A1" xr:uid="{8711ECFA-4417-4E5B-8FE7-02FBF0B6AA25}"/>
    <hyperlink ref="G12" location="'33'!A1" display="'33'!A1" xr:uid="{D265DD4B-041D-473F-BA76-504F0155FADC}"/>
    <hyperlink ref="G13" location="'34'!A1" display="'34'!A1" xr:uid="{1C344E7B-029A-48C4-BEB3-909EE8C5955A}"/>
    <hyperlink ref="G14" location="'35'!A1" display="'35'!A1" xr:uid="{616D8014-BC23-41F3-B1A2-8B6D7DAE2B80}"/>
    <hyperlink ref="G15" location="'36'!A1" display="'36'!A1" xr:uid="{1F15E282-1DD7-43A7-9847-66B0C277DD48}"/>
    <hyperlink ref="G16" location="'37'!A1" display="'37'!A1" xr:uid="{04F564A1-6D9D-4CAE-B8A5-CF70002BF926}"/>
    <hyperlink ref="G17" location="'38'!A1" display="'38'!A1" xr:uid="{95C335D1-61F7-4E6B-86C6-73E8749206CB}"/>
    <hyperlink ref="G18" location="'39'!A1" display="'39'!A1" xr:uid="{D9DB192E-867F-4559-9FA9-A8F0CCD390CC}"/>
    <hyperlink ref="G19" location="'40'!A1" display="'40'!A1" xr:uid="{32B55C19-360C-4292-BFBF-3D6A968AD127}"/>
    <hyperlink ref="G20" location="'41'!A1" display="'41'!A1" xr:uid="{BDA2B9E2-95CC-43D0-B43F-7301A569DFB7}"/>
    <hyperlink ref="G21" location="'42'!A1" display="'42'!A1" xr:uid="{50B2C092-D3E4-4C24-94EE-AA1DCB55C09B}"/>
  </hyperlinks>
  <pageMargins left="0.70866141732283472" right="0.70866141732283472" top="0.70866141732283472" bottom="0.74803149606299213" header="0.31496062992125984" footer="0.31496062992125984"/>
  <pageSetup paperSize="126" orientation="portrait" r:id="rId1"/>
  <headerFooter differentFirst="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pageSetUpPr fitToPage="1"/>
  </sheetPr>
  <dimension ref="C1:S36"/>
  <sheetViews>
    <sheetView zoomScale="90" zoomScaleNormal="90" workbookViewId="0">
      <selection activeCell="J14" sqref="J14"/>
    </sheetView>
  </sheetViews>
  <sheetFormatPr baseColWidth="10" defaultColWidth="10.9140625" defaultRowHeight="11.8"/>
  <cols>
    <col min="1" max="2" width="0.83203125" style="1" customWidth="1"/>
    <col min="3" max="8" width="10.08203125" style="1" customWidth="1"/>
    <col min="9" max="9" width="1.4140625" style="21" customWidth="1"/>
    <col min="10" max="15" width="10.9140625" style="21" customWidth="1"/>
    <col min="16" max="19" width="10.9140625" style="21"/>
    <col min="20" max="16384" width="10.9140625" style="1"/>
  </cols>
  <sheetData>
    <row r="1" spans="3:19" s="15" customFormat="1" ht="13.1">
      <c r="C1" s="791" t="s">
        <v>89</v>
      </c>
      <c r="D1" s="791"/>
      <c r="E1" s="791"/>
      <c r="F1" s="791"/>
      <c r="G1" s="791"/>
      <c r="H1" s="791"/>
      <c r="I1" s="447"/>
      <c r="J1" s="447"/>
      <c r="K1" s="447"/>
      <c r="L1" s="447"/>
      <c r="M1" s="447"/>
      <c r="N1" s="447"/>
      <c r="O1" s="447"/>
      <c r="P1" s="447"/>
      <c r="Q1" s="447"/>
      <c r="R1" s="447"/>
      <c r="S1" s="447"/>
    </row>
    <row r="2" spans="3:19" s="15" customFormat="1" ht="13.1">
      <c r="C2" s="17"/>
      <c r="D2" s="17"/>
      <c r="E2" s="17"/>
      <c r="F2" s="17"/>
      <c r="G2" s="17"/>
      <c r="H2" s="17"/>
      <c r="I2" s="447"/>
      <c r="J2" s="447"/>
      <c r="K2" s="447"/>
      <c r="L2" s="447"/>
      <c r="M2" s="447"/>
      <c r="N2" s="447"/>
      <c r="O2" s="447"/>
      <c r="P2" s="447"/>
      <c r="Q2" s="447"/>
      <c r="R2" s="447"/>
      <c r="S2" s="447"/>
    </row>
    <row r="3" spans="3:19" s="15" customFormat="1" ht="13.75" customHeight="1">
      <c r="C3" s="898" t="s">
        <v>747</v>
      </c>
      <c r="D3" s="898"/>
      <c r="E3" s="898"/>
      <c r="F3" s="898"/>
      <c r="G3" s="898"/>
      <c r="H3" s="898"/>
      <c r="I3" s="447"/>
      <c r="J3" s="447"/>
      <c r="K3" s="447"/>
      <c r="L3" s="447"/>
      <c r="M3" s="447"/>
      <c r="N3" s="447"/>
      <c r="O3" s="447"/>
      <c r="P3" s="447"/>
      <c r="Q3" s="447"/>
      <c r="R3" s="447"/>
      <c r="S3" s="447"/>
    </row>
    <row r="4" spans="3:19" s="15" customFormat="1" ht="13.1">
      <c r="C4" s="791" t="s">
        <v>90</v>
      </c>
      <c r="D4" s="791"/>
      <c r="E4" s="791"/>
      <c r="F4" s="791"/>
      <c r="G4" s="791"/>
      <c r="H4" s="791"/>
      <c r="I4" s="448"/>
      <c r="J4" s="447"/>
      <c r="K4" s="447"/>
      <c r="L4" s="447"/>
      <c r="M4" s="447"/>
      <c r="N4" s="447"/>
      <c r="O4" s="447"/>
      <c r="P4" s="447"/>
      <c r="Q4" s="447"/>
      <c r="R4" s="447"/>
      <c r="S4" s="447"/>
    </row>
    <row r="5" spans="3:19" s="22" customFormat="1" ht="29.95" customHeight="1">
      <c r="C5" s="100" t="s">
        <v>91</v>
      </c>
      <c r="D5" s="100" t="s">
        <v>436</v>
      </c>
      <c r="E5" s="100" t="s">
        <v>93</v>
      </c>
      <c r="F5" s="100" t="s">
        <v>94</v>
      </c>
      <c r="G5" s="100" t="s">
        <v>95</v>
      </c>
      <c r="H5" s="100" t="s">
        <v>437</v>
      </c>
      <c r="I5" s="20"/>
      <c r="J5" s="447"/>
      <c r="K5" s="101"/>
      <c r="L5" s="20"/>
      <c r="M5" s="20"/>
      <c r="N5" s="20"/>
      <c r="O5" s="20"/>
      <c r="P5" s="20"/>
      <c r="Q5" s="20"/>
      <c r="R5" s="20"/>
      <c r="S5" s="20"/>
    </row>
    <row r="6" spans="3:19" s="22" customFormat="1" ht="15.75" customHeight="1">
      <c r="C6" s="526">
        <v>45413</v>
      </c>
      <c r="D6" s="632">
        <v>313.08</v>
      </c>
      <c r="E6" s="632">
        <v>1219.93</v>
      </c>
      <c r="F6" s="632">
        <v>1220.75</v>
      </c>
      <c r="G6" s="632">
        <v>191.1</v>
      </c>
      <c r="H6" s="632">
        <v>312.27</v>
      </c>
      <c r="I6" s="20"/>
      <c r="K6" s="366"/>
      <c r="L6" s="102"/>
      <c r="M6" s="20"/>
      <c r="N6" s="102"/>
      <c r="O6" s="20"/>
      <c r="P6" s="20"/>
      <c r="Q6" s="20"/>
      <c r="R6" s="20"/>
      <c r="S6" s="20"/>
    </row>
    <row r="7" spans="3:19" s="22" customFormat="1" ht="15.75" customHeight="1">
      <c r="C7" s="526">
        <v>45444</v>
      </c>
      <c r="D7" s="632">
        <v>312.39</v>
      </c>
      <c r="E7" s="632">
        <v>1220.54</v>
      </c>
      <c r="F7" s="632">
        <v>1222.1600000000001</v>
      </c>
      <c r="G7" s="632">
        <v>191.75</v>
      </c>
      <c r="H7" s="632">
        <v>310.77</v>
      </c>
      <c r="I7" s="94"/>
      <c r="J7" s="22" t="s">
        <v>97</v>
      </c>
      <c r="K7" s="366"/>
      <c r="L7" s="103"/>
      <c r="M7" s="103"/>
      <c r="N7" s="103"/>
      <c r="O7" s="104"/>
      <c r="R7" s="105"/>
      <c r="S7" s="20"/>
    </row>
    <row r="8" spans="3:19" s="22" customFormat="1" ht="15.75" customHeight="1">
      <c r="C8" s="526">
        <v>45474</v>
      </c>
      <c r="D8" s="632">
        <v>309.13</v>
      </c>
      <c r="E8" s="632">
        <v>1224.79</v>
      </c>
      <c r="F8" s="632">
        <v>1222.28</v>
      </c>
      <c r="G8" s="632">
        <v>191.81</v>
      </c>
      <c r="H8" s="632">
        <v>311.64</v>
      </c>
      <c r="J8" s="164" t="s">
        <v>97</v>
      </c>
      <c r="K8" s="94"/>
      <c r="L8" s="103"/>
      <c r="M8" s="103"/>
      <c r="N8" s="103"/>
      <c r="O8" s="104"/>
      <c r="R8" s="106"/>
      <c r="S8" s="20"/>
    </row>
    <row r="9" spans="3:19" s="22" customFormat="1" ht="15.75" customHeight="1">
      <c r="C9" s="526">
        <v>45505</v>
      </c>
      <c r="D9" s="648">
        <v>308.52</v>
      </c>
      <c r="E9" s="648">
        <v>1219.82</v>
      </c>
      <c r="F9" s="648">
        <v>1218.17</v>
      </c>
      <c r="G9" s="648">
        <v>191.47</v>
      </c>
      <c r="H9" s="648">
        <v>310.17</v>
      </c>
      <c r="I9" s="20"/>
      <c r="K9" s="101" t="s">
        <v>97</v>
      </c>
      <c r="L9" s="102"/>
      <c r="M9" s="107"/>
      <c r="N9" s="102"/>
      <c r="O9" s="20"/>
      <c r="P9" s="20"/>
      <c r="Q9" s="20"/>
      <c r="R9" s="20"/>
      <c r="S9" s="20"/>
    </row>
    <row r="10" spans="3:19" s="22" customFormat="1" ht="15.75" customHeight="1">
      <c r="C10" s="526">
        <v>45536</v>
      </c>
      <c r="D10" s="648"/>
      <c r="E10" s="648"/>
      <c r="F10" s="648"/>
      <c r="G10" s="648"/>
      <c r="H10" s="648"/>
      <c r="I10" s="660"/>
      <c r="J10" s="92" t="s">
        <v>97</v>
      </c>
      <c r="K10" s="109"/>
      <c r="L10" s="109"/>
      <c r="M10" s="109"/>
      <c r="N10" s="109"/>
      <c r="O10" s="109"/>
      <c r="P10" s="102"/>
      <c r="Q10" s="20"/>
      <c r="R10" s="20"/>
      <c r="S10" s="20"/>
    </row>
    <row r="11" spans="3:19" s="22" customFormat="1" ht="15.75" customHeight="1">
      <c r="C11" s="526">
        <v>45566</v>
      </c>
      <c r="D11" s="648"/>
      <c r="E11" s="648"/>
      <c r="F11" s="648"/>
      <c r="G11" s="648"/>
      <c r="H11" s="648"/>
      <c r="I11" s="94"/>
      <c r="J11" s="22" t="s">
        <v>97</v>
      </c>
      <c r="K11" s="109"/>
      <c r="L11" s="109"/>
      <c r="M11" s="109"/>
      <c r="N11" s="109"/>
      <c r="O11" s="109"/>
      <c r="P11" s="20"/>
      <c r="Q11" s="20"/>
      <c r="R11" s="20"/>
      <c r="S11" s="20"/>
    </row>
    <row r="12" spans="3:19" s="22" customFormat="1" ht="15.75" customHeight="1">
      <c r="C12" s="526">
        <v>45597</v>
      </c>
      <c r="D12" s="648"/>
      <c r="E12" s="648"/>
      <c r="F12" s="648"/>
      <c r="G12" s="648"/>
      <c r="H12" s="648"/>
      <c r="I12" s="20"/>
      <c r="J12" s="479"/>
      <c r="K12" s="101"/>
      <c r="L12" s="20"/>
      <c r="M12" s="20"/>
      <c r="N12" s="20"/>
      <c r="O12" s="20"/>
      <c r="P12" s="20"/>
      <c r="Q12" s="20"/>
      <c r="R12" s="20"/>
      <c r="S12" s="20"/>
    </row>
    <row r="13" spans="3:19" s="22" customFormat="1" ht="15.75" customHeight="1">
      <c r="C13" s="526">
        <v>45627</v>
      </c>
      <c r="D13" s="648"/>
      <c r="E13" s="648"/>
      <c r="F13" s="648"/>
      <c r="G13" s="648"/>
      <c r="H13" s="648"/>
      <c r="I13" s="20"/>
      <c r="J13" s="479" t="s">
        <v>97</v>
      </c>
      <c r="K13" s="101"/>
      <c r="L13" s="20"/>
      <c r="M13" s="20"/>
      <c r="N13" s="20"/>
      <c r="O13" s="20"/>
      <c r="P13" s="20"/>
      <c r="Q13" s="20"/>
      <c r="R13" s="20"/>
      <c r="S13" s="20"/>
    </row>
    <row r="14" spans="3:19" s="22" customFormat="1" ht="15.75" customHeight="1">
      <c r="C14" s="526">
        <v>45658</v>
      </c>
      <c r="D14" s="648"/>
      <c r="E14" s="648"/>
      <c r="F14" s="648"/>
      <c r="G14" s="648"/>
      <c r="H14" s="648"/>
      <c r="I14" s="695"/>
      <c r="J14" s="479"/>
      <c r="K14" s="101"/>
      <c r="L14" s="20"/>
      <c r="M14" s="102"/>
      <c r="N14" s="20"/>
      <c r="O14" s="20"/>
      <c r="P14" s="20"/>
      <c r="Q14" s="20"/>
      <c r="R14" s="20"/>
      <c r="S14" s="20"/>
    </row>
    <row r="15" spans="3:19" s="22" customFormat="1" ht="15.75" customHeight="1">
      <c r="C15" s="526">
        <v>45689</v>
      </c>
      <c r="D15" s="648"/>
      <c r="E15" s="648"/>
      <c r="F15" s="648"/>
      <c r="G15" s="648"/>
      <c r="H15" s="648"/>
      <c r="I15" s="695"/>
      <c r="J15" s="479"/>
      <c r="K15" s="110"/>
      <c r="L15" s="20"/>
      <c r="M15" s="20"/>
      <c r="N15" s="20"/>
      <c r="O15" s="20"/>
      <c r="P15" s="20"/>
      <c r="Q15" s="20"/>
      <c r="R15" s="20"/>
      <c r="S15" s="20"/>
    </row>
    <row r="16" spans="3:19" s="22" customFormat="1" ht="15.75" customHeight="1">
      <c r="C16" s="526">
        <v>45717</v>
      </c>
      <c r="D16" s="648"/>
      <c r="E16" s="648"/>
      <c r="F16" s="648"/>
      <c r="G16" s="648"/>
      <c r="H16" s="648"/>
      <c r="I16" s="695"/>
      <c r="J16" s="479"/>
      <c r="K16" s="110"/>
      <c r="L16" s="20"/>
      <c r="M16" s="102"/>
      <c r="N16" s="102"/>
      <c r="O16" s="102"/>
      <c r="P16" s="20"/>
      <c r="Q16" s="20"/>
      <c r="R16" s="20"/>
      <c r="S16" s="20"/>
    </row>
    <row r="17" spans="3:19" s="22" customFormat="1" ht="15.75" customHeight="1">
      <c r="C17" s="526">
        <v>45748</v>
      </c>
      <c r="D17" s="632"/>
      <c r="E17" s="632"/>
      <c r="F17" s="632"/>
      <c r="G17" s="632"/>
      <c r="H17" s="632"/>
      <c r="I17" s="723"/>
      <c r="J17" s="111"/>
      <c r="K17" s="111"/>
      <c r="L17" s="111"/>
      <c r="M17" s="111"/>
      <c r="N17" s="102"/>
      <c r="O17" s="20"/>
      <c r="P17" s="20"/>
      <c r="Q17" s="20"/>
      <c r="R17" s="20"/>
      <c r="S17" s="20"/>
    </row>
    <row r="18" spans="3:19" s="22" customFormat="1" ht="26.2" customHeight="1">
      <c r="C18" s="880" t="s">
        <v>131</v>
      </c>
      <c r="D18" s="880"/>
      <c r="E18" s="880"/>
      <c r="F18" s="880"/>
      <c r="G18" s="880"/>
      <c r="H18" s="880"/>
      <c r="K18" s="20"/>
      <c r="L18" s="20"/>
      <c r="M18" s="20"/>
      <c r="N18" s="20"/>
      <c r="O18" s="20"/>
      <c r="P18" s="20"/>
      <c r="Q18" s="20"/>
      <c r="R18" s="20"/>
      <c r="S18" s="20"/>
    </row>
    <row r="19" spans="3:19" ht="15.05" customHeight="1">
      <c r="I19" s="22"/>
    </row>
    <row r="20" spans="3:19" ht="10" customHeight="1">
      <c r="I20" s="22"/>
    </row>
    <row r="21" spans="3:19" ht="15.05" customHeight="1">
      <c r="I21" s="22"/>
    </row>
    <row r="22" spans="3:19" ht="15.05" customHeight="1">
      <c r="I22" s="22"/>
    </row>
    <row r="23" spans="3:19" ht="15.05" customHeight="1">
      <c r="I23" s="22"/>
    </row>
    <row r="24" spans="3:19" ht="15.05" customHeight="1">
      <c r="I24" s="22"/>
    </row>
    <row r="25" spans="3:19" ht="15.05" customHeight="1">
      <c r="I25" s="22"/>
    </row>
    <row r="26" spans="3:19" ht="15.05" customHeight="1">
      <c r="I26" s="22"/>
    </row>
    <row r="27" spans="3:19" ht="15.05" customHeight="1">
      <c r="I27" s="112"/>
    </row>
    <row r="28" spans="3:19" ht="15.05" customHeight="1">
      <c r="I28" s="447"/>
    </row>
    <row r="29" spans="3:19" ht="15.05" customHeight="1"/>
    <row r="30" spans="3:19" ht="15.05" customHeight="1"/>
    <row r="31" spans="3:19" ht="14.25" customHeight="1">
      <c r="L31" s="113"/>
    </row>
    <row r="32" spans="3:19" ht="23.25" customHeight="1"/>
    <row r="33" spans="3:8">
      <c r="C33" s="880" t="s">
        <v>115</v>
      </c>
      <c r="D33" s="880"/>
      <c r="E33" s="880"/>
      <c r="F33" s="880"/>
      <c r="G33" s="880"/>
      <c r="H33" s="880"/>
    </row>
    <row r="34" spans="3:8" ht="15.9" customHeight="1">
      <c r="C34" s="806"/>
      <c r="D34" s="806"/>
      <c r="E34" s="806"/>
      <c r="F34" s="806"/>
      <c r="G34" s="806"/>
      <c r="H34" s="806"/>
    </row>
    <row r="36" spans="3:8" ht="15.55" customHeight="1">
      <c r="C36" s="805"/>
      <c r="D36" s="805"/>
      <c r="E36" s="805"/>
      <c r="F36" s="805"/>
      <c r="G36" s="805"/>
      <c r="H36" s="805"/>
    </row>
  </sheetData>
  <mergeCells count="7">
    <mergeCell ref="C36:H36"/>
    <mergeCell ref="C1:H1"/>
    <mergeCell ref="C3:H3"/>
    <mergeCell ref="C4:H4"/>
    <mergeCell ref="C18:H18"/>
    <mergeCell ref="C34:H34"/>
    <mergeCell ref="C33:H33"/>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pageSetUpPr fitToPage="1"/>
  </sheetPr>
  <dimension ref="B1:Q49"/>
  <sheetViews>
    <sheetView zoomScale="90" zoomScaleNormal="90" workbookViewId="0">
      <selection activeCell="H22" sqref="H22"/>
    </sheetView>
  </sheetViews>
  <sheetFormatPr baseColWidth="10" defaultColWidth="10.9140625" defaultRowHeight="11.8"/>
  <cols>
    <col min="1" max="1" width="0.75" style="1" customWidth="1"/>
    <col min="2" max="2" width="12.4140625" style="1" customWidth="1"/>
    <col min="3" max="6" width="10.08203125" style="1" customWidth="1"/>
    <col min="7" max="7" width="10.6640625" style="1" customWidth="1"/>
    <col min="8" max="12" width="10.9140625" style="60" customWidth="1"/>
    <col min="13" max="17" width="10.9140625" style="60"/>
    <col min="18" max="16384" width="10.9140625" style="1"/>
  </cols>
  <sheetData>
    <row r="1" spans="2:17" s="15" customFormat="1" ht="13.1">
      <c r="B1" s="791" t="s">
        <v>100</v>
      </c>
      <c r="C1" s="791"/>
      <c r="D1" s="791"/>
      <c r="E1" s="791"/>
      <c r="F1" s="791"/>
      <c r="G1" s="791"/>
      <c r="H1" s="58"/>
      <c r="I1" s="58"/>
      <c r="J1" s="58"/>
      <c r="K1" s="58"/>
      <c r="L1" s="58"/>
      <c r="M1" s="58"/>
      <c r="N1" s="58"/>
      <c r="O1" s="58"/>
      <c r="P1" s="58"/>
      <c r="Q1" s="58"/>
    </row>
    <row r="2" spans="2:17" s="15" customFormat="1" ht="13.1">
      <c r="B2" s="17"/>
      <c r="C2" s="17"/>
      <c r="D2" s="17"/>
      <c r="E2" s="17"/>
      <c r="F2" s="17"/>
      <c r="H2" s="58"/>
      <c r="I2" s="58"/>
      <c r="J2" s="58"/>
      <c r="K2" s="58"/>
      <c r="L2" s="58"/>
      <c r="M2" s="58"/>
      <c r="N2" s="58"/>
      <c r="O2" s="58"/>
      <c r="P2" s="58"/>
      <c r="Q2" s="58"/>
    </row>
    <row r="3" spans="2:17" s="15" customFormat="1" ht="13.1">
      <c r="B3" s="791" t="s">
        <v>409</v>
      </c>
      <c r="C3" s="791"/>
      <c r="D3" s="791"/>
      <c r="E3" s="791"/>
      <c r="F3" s="791"/>
      <c r="G3" s="791"/>
      <c r="H3" s="58"/>
      <c r="I3" s="58"/>
      <c r="J3" s="58"/>
      <c r="K3" s="58"/>
      <c r="L3" s="58"/>
      <c r="M3" s="58"/>
      <c r="N3" s="58"/>
      <c r="O3" s="58"/>
      <c r="P3" s="58"/>
      <c r="Q3" s="58"/>
    </row>
    <row r="4" spans="2:17" s="15" customFormat="1" ht="13.1">
      <c r="B4" s="808" t="s">
        <v>774</v>
      </c>
      <c r="C4" s="808"/>
      <c r="D4" s="808"/>
      <c r="E4" s="808"/>
      <c r="F4" s="808"/>
      <c r="G4" s="808"/>
      <c r="H4" s="58"/>
      <c r="I4" s="58"/>
      <c r="J4" s="58"/>
      <c r="K4" s="58"/>
      <c r="L4" s="58"/>
      <c r="M4" s="58"/>
      <c r="N4" s="58"/>
      <c r="O4" s="58"/>
      <c r="P4" s="58"/>
      <c r="Q4" s="58"/>
    </row>
    <row r="5" spans="2:17" s="22" customFormat="1" ht="25.55" customHeight="1">
      <c r="B5" s="114" t="s">
        <v>117</v>
      </c>
      <c r="C5" s="114" t="s">
        <v>436</v>
      </c>
      <c r="D5" s="114" t="s">
        <v>93</v>
      </c>
      <c r="E5" s="114" t="s">
        <v>94</v>
      </c>
      <c r="F5" s="114" t="s">
        <v>437</v>
      </c>
      <c r="G5" s="114" t="s">
        <v>438</v>
      </c>
      <c r="H5" s="61"/>
      <c r="I5" s="61"/>
      <c r="J5" s="61"/>
      <c r="K5" s="61"/>
      <c r="L5" s="61"/>
      <c r="M5" s="61"/>
      <c r="N5" s="61"/>
      <c r="O5" s="61"/>
      <c r="P5" s="61"/>
      <c r="Q5" s="61"/>
    </row>
    <row r="6" spans="2:17" s="22" customFormat="1" ht="15.75" customHeight="1">
      <c r="B6" s="249" t="s">
        <v>105</v>
      </c>
      <c r="C6" s="289">
        <v>134.52799999999999</v>
      </c>
      <c r="D6" s="289">
        <v>867.96600000000001</v>
      </c>
      <c r="E6" s="289">
        <v>864.69399999999996</v>
      </c>
      <c r="F6" s="289">
        <v>137.80000000000001</v>
      </c>
      <c r="G6" s="736">
        <f>+F6/E6</f>
        <v>0.1593627341001557</v>
      </c>
      <c r="H6" s="365"/>
      <c r="I6" s="61"/>
      <c r="J6" s="61"/>
      <c r="K6" s="61"/>
      <c r="L6" s="61"/>
      <c r="M6" s="61"/>
      <c r="N6" s="61"/>
      <c r="O6" s="61"/>
      <c r="P6" s="61"/>
      <c r="Q6" s="61"/>
    </row>
    <row r="7" spans="2:17" s="22" customFormat="1" ht="15.75" customHeight="1">
      <c r="B7" s="249" t="s">
        <v>106</v>
      </c>
      <c r="C7" s="289">
        <v>133.41</v>
      </c>
      <c r="D7" s="289">
        <v>990.47</v>
      </c>
      <c r="E7" s="289">
        <v>948.85</v>
      </c>
      <c r="F7" s="289">
        <v>175.03</v>
      </c>
      <c r="G7" s="736">
        <f t="shared" ref="G7:G18" si="0">+F7/E7</f>
        <v>0.18446540549085735</v>
      </c>
      <c r="H7"/>
      <c r="I7"/>
      <c r="J7"/>
      <c r="K7"/>
      <c r="L7"/>
      <c r="M7"/>
      <c r="N7"/>
      <c r="O7"/>
      <c r="P7" s="61"/>
      <c r="Q7" s="61"/>
    </row>
    <row r="8" spans="2:17" s="22" customFormat="1" ht="15.75" customHeight="1">
      <c r="B8" s="249" t="s">
        <v>141</v>
      </c>
      <c r="C8" s="289">
        <v>174.77</v>
      </c>
      <c r="D8" s="289">
        <v>1015.57</v>
      </c>
      <c r="E8" s="289">
        <v>980.58</v>
      </c>
      <c r="F8" s="289">
        <v>209.77</v>
      </c>
      <c r="G8" s="736">
        <f t="shared" si="0"/>
        <v>0.21392441208264495</v>
      </c>
      <c r="H8"/>
      <c r="I8"/>
      <c r="J8"/>
      <c r="K8"/>
      <c r="L8"/>
      <c r="M8"/>
      <c r="N8"/>
      <c r="O8"/>
      <c r="P8" s="61"/>
      <c r="Q8" s="61"/>
    </row>
    <row r="9" spans="2:17" s="22" customFormat="1" ht="15.75" customHeight="1">
      <c r="B9" s="250" t="s">
        <v>142</v>
      </c>
      <c r="C9" s="289">
        <v>209.73</v>
      </c>
      <c r="D9" s="289">
        <v>972.21</v>
      </c>
      <c r="E9" s="289">
        <v>968.01</v>
      </c>
      <c r="F9" s="137">
        <v>213.93</v>
      </c>
      <c r="G9" s="736">
        <f t="shared" si="0"/>
        <v>0.22099978306009235</v>
      </c>
      <c r="H9" s="163"/>
      <c r="I9" s="163"/>
      <c r="J9" s="163"/>
      <c r="K9" s="163"/>
      <c r="L9" s="163"/>
      <c r="M9" s="163"/>
      <c r="N9" s="988"/>
      <c r="O9" s="989"/>
      <c r="P9" s="61"/>
      <c r="Q9" s="61"/>
    </row>
    <row r="10" spans="2:17" s="22" customFormat="1" ht="15.75" customHeight="1">
      <c r="B10" s="51" t="s">
        <v>109</v>
      </c>
      <c r="C10" s="289">
        <v>311.48</v>
      </c>
      <c r="D10" s="289">
        <v>1123.4100000000001</v>
      </c>
      <c r="E10" s="289">
        <v>1084.1400000000001</v>
      </c>
      <c r="F10" s="289">
        <v>350.46</v>
      </c>
      <c r="G10" s="736">
        <f t="shared" si="0"/>
        <v>0.32326083347169182</v>
      </c>
      <c r="J10" s="365"/>
      <c r="N10" s="365"/>
      <c r="O10" s="365"/>
      <c r="P10" s="61"/>
      <c r="Q10" s="61"/>
    </row>
    <row r="11" spans="2:17" s="22" customFormat="1" ht="15.75" customHeight="1">
      <c r="B11" s="51" t="s">
        <v>110</v>
      </c>
      <c r="C11" s="289">
        <v>351.96</v>
      </c>
      <c r="D11" s="289">
        <v>1080.0899999999999</v>
      </c>
      <c r="E11" s="289">
        <v>1090.45</v>
      </c>
      <c r="F11" s="289">
        <v>341.6</v>
      </c>
      <c r="G11" s="736">
        <f t="shared" si="0"/>
        <v>0.31326516575725616</v>
      </c>
      <c r="H11" s="109"/>
      <c r="I11" s="109"/>
      <c r="J11" s="109"/>
      <c r="K11" s="109"/>
      <c r="L11" s="109"/>
      <c r="M11" s="109"/>
      <c r="N11" s="986"/>
      <c r="O11" s="987"/>
      <c r="P11" s="61"/>
      <c r="Q11" s="61"/>
    </row>
    <row r="12" spans="2:17" s="22" customFormat="1" ht="15.05" customHeight="1">
      <c r="B12" s="250" t="s">
        <v>439</v>
      </c>
      <c r="C12" s="378">
        <v>340.97</v>
      </c>
      <c r="D12" s="378">
        <v>1124.92</v>
      </c>
      <c r="E12" s="378">
        <v>1144.82</v>
      </c>
      <c r="F12" s="378">
        <v>321.07</v>
      </c>
      <c r="G12" s="736">
        <f t="shared" si="0"/>
        <v>0.28045456927726631</v>
      </c>
      <c r="H12" s="94"/>
      <c r="I12" s="94"/>
      <c r="J12" s="988"/>
      <c r="K12" s="989"/>
      <c r="L12" s="109"/>
      <c r="M12" s="109"/>
      <c r="N12" s="109"/>
      <c r="O12" s="108"/>
      <c r="P12" s="61"/>
      <c r="Q12" s="61"/>
    </row>
    <row r="13" spans="2:17" s="22" customFormat="1" ht="15.75" customHeight="1">
      <c r="B13" s="250" t="s">
        <v>112</v>
      </c>
      <c r="C13" s="378">
        <v>322.41000000000003</v>
      </c>
      <c r="D13" s="378">
        <v>1120.1300000000001</v>
      </c>
      <c r="E13" s="378">
        <v>1136.17</v>
      </c>
      <c r="F13" s="378">
        <v>306.37</v>
      </c>
      <c r="G13" s="736">
        <f t="shared" si="0"/>
        <v>0.26965154862388552</v>
      </c>
      <c r="H13" s="94"/>
      <c r="I13" s="94"/>
      <c r="J13" s="109"/>
      <c r="K13" s="109"/>
      <c r="L13" s="109"/>
      <c r="M13" s="109"/>
      <c r="N13" s="109"/>
      <c r="O13" s="108"/>
      <c r="P13" s="61"/>
      <c r="Q13" s="61"/>
    </row>
    <row r="14" spans="2:17" s="22" customFormat="1" ht="15.75" customHeight="1">
      <c r="B14" s="45" t="s">
        <v>440</v>
      </c>
      <c r="C14" s="378">
        <v>307.42</v>
      </c>
      <c r="D14" s="378">
        <v>1129.42</v>
      </c>
      <c r="E14" s="378">
        <v>1144.01</v>
      </c>
      <c r="F14" s="378">
        <v>292.83</v>
      </c>
      <c r="G14" s="737">
        <f t="shared" si="0"/>
        <v>0.255968042237393</v>
      </c>
      <c r="H14" s="94"/>
      <c r="I14" s="94"/>
      <c r="J14" s="365"/>
      <c r="K14" s="61"/>
      <c r="L14" s="61"/>
      <c r="M14" s="61"/>
      <c r="N14" s="61"/>
      <c r="O14" s="61"/>
      <c r="P14" s="61"/>
      <c r="Q14" s="61"/>
    </row>
    <row r="15" spans="2:17" s="22" customFormat="1" ht="15.75" customHeight="1">
      <c r="B15" s="45" t="s">
        <v>114</v>
      </c>
      <c r="C15" s="378">
        <v>292.94</v>
      </c>
      <c r="D15" s="378">
        <v>1216.1300000000001</v>
      </c>
      <c r="E15" s="378">
        <v>1198.29</v>
      </c>
      <c r="F15" s="378">
        <v>310.79000000000002</v>
      </c>
      <c r="G15" s="737">
        <f t="shared" si="0"/>
        <v>0.25936125645711811</v>
      </c>
      <c r="H15" s="94"/>
      <c r="I15" s="94"/>
      <c r="J15" s="365"/>
      <c r="K15" s="61"/>
      <c r="L15" s="61"/>
      <c r="M15" s="61"/>
      <c r="N15" s="61"/>
      <c r="O15" s="61"/>
      <c r="P15" s="61"/>
      <c r="Q15" s="61"/>
    </row>
    <row r="16" spans="2:17" s="22" customFormat="1" ht="15.75" customHeight="1">
      <c r="B16" s="250" t="s">
        <v>744</v>
      </c>
      <c r="C16" s="378">
        <v>313.74</v>
      </c>
      <c r="D16" s="378">
        <v>1159.74</v>
      </c>
      <c r="E16" s="378">
        <v>1170.6600000000001</v>
      </c>
      <c r="F16" s="378">
        <v>302.82</v>
      </c>
      <c r="G16" s="737">
        <f t="shared" si="0"/>
        <v>0.25867459381887137</v>
      </c>
      <c r="H16" s="540"/>
      <c r="I16" s="540"/>
      <c r="J16" s="540"/>
      <c r="K16" s="61"/>
      <c r="L16" s="61"/>
      <c r="M16" s="61"/>
      <c r="N16" s="61"/>
      <c r="O16" s="61"/>
      <c r="P16" s="61"/>
      <c r="Q16" s="61"/>
    </row>
    <row r="17" spans="2:17" s="22" customFormat="1" ht="15.75" customHeight="1">
      <c r="B17" s="250" t="s">
        <v>743</v>
      </c>
      <c r="C17" s="378">
        <v>302.82</v>
      </c>
      <c r="D17" s="378">
        <v>1223.81</v>
      </c>
      <c r="E17" s="378">
        <v>1218.1099999999999</v>
      </c>
      <c r="F17" s="378">
        <v>308.52</v>
      </c>
      <c r="G17" s="737">
        <f t="shared" si="0"/>
        <v>0.25327761860587306</v>
      </c>
      <c r="H17" s="540"/>
      <c r="I17" s="540"/>
      <c r="J17" s="540"/>
      <c r="K17" s="61"/>
      <c r="L17" s="61"/>
      <c r="M17" s="61"/>
      <c r="N17" s="61"/>
      <c r="O17" s="61"/>
      <c r="P17" s="61"/>
      <c r="Q17" s="61"/>
    </row>
    <row r="18" spans="2:17" s="22" customFormat="1" ht="15.75" customHeight="1">
      <c r="B18" s="250" t="s">
        <v>742</v>
      </c>
      <c r="C18" s="378">
        <v>308.52</v>
      </c>
      <c r="D18" s="378">
        <v>1219.82</v>
      </c>
      <c r="E18" s="378">
        <v>1218.17</v>
      </c>
      <c r="F18" s="378">
        <v>310.17</v>
      </c>
      <c r="G18" s="737">
        <f t="shared" si="0"/>
        <v>0.25461963436958718</v>
      </c>
      <c r="H18" s="540"/>
      <c r="I18" s="540"/>
      <c r="J18" s="540"/>
      <c r="K18" s="61"/>
      <c r="L18" s="61"/>
      <c r="M18" s="61"/>
      <c r="N18" s="61"/>
      <c r="O18" s="61"/>
      <c r="P18" s="61"/>
      <c r="Q18" s="61"/>
    </row>
    <row r="19" spans="2:17" s="22" customFormat="1" ht="15.75" customHeight="1">
      <c r="B19" s="915" t="s">
        <v>115</v>
      </c>
      <c r="C19" s="915"/>
      <c r="D19" s="915"/>
      <c r="E19" s="915"/>
      <c r="F19" s="915"/>
      <c r="G19" s="915"/>
      <c r="H19" s="94"/>
      <c r="J19" s="163"/>
      <c r="N19" s="988"/>
      <c r="O19" s="989"/>
      <c r="P19" s="61"/>
      <c r="Q19" s="61"/>
    </row>
    <row r="20" spans="2:17" s="22" customFormat="1" ht="15.75" customHeight="1">
      <c r="B20" s="115"/>
      <c r="C20" s="570"/>
      <c r="D20" s="570"/>
      <c r="E20" s="570"/>
      <c r="F20" s="570"/>
      <c r="G20" s="115"/>
      <c r="H20" s="94"/>
      <c r="J20" s="163"/>
      <c r="N20" s="163"/>
      <c r="O20" s="94"/>
      <c r="P20" s="61"/>
      <c r="Q20" s="61"/>
    </row>
    <row r="21" spans="2:17" s="22" customFormat="1" ht="24.05" customHeight="1">
      <c r="B21" s="806"/>
      <c r="C21" s="806"/>
      <c r="D21" s="806"/>
      <c r="E21" s="806"/>
      <c r="F21" s="806"/>
      <c r="G21" s="806"/>
      <c r="H21" s="365"/>
      <c r="J21" s="61"/>
      <c r="K21" s="61"/>
      <c r="L21" s="61"/>
      <c r="M21" s="61"/>
      <c r="N21" s="61"/>
      <c r="O21" s="61"/>
      <c r="P21" s="61"/>
      <c r="Q21" s="61"/>
    </row>
    <row r="22" spans="2:17" s="22" customFormat="1" ht="15.75" customHeight="1">
      <c r="B22" s="115"/>
      <c r="C22" s="331"/>
      <c r="D22" s="331"/>
      <c r="E22" s="331"/>
      <c r="F22" s="331"/>
      <c r="G22" s="115"/>
      <c r="I22" s="61"/>
      <c r="J22" s="61"/>
      <c r="K22" s="61"/>
      <c r="L22" s="61"/>
      <c r="M22" s="61"/>
      <c r="N22" s="61"/>
      <c r="O22" s="61"/>
      <c r="P22" s="61"/>
      <c r="Q22" s="61"/>
    </row>
    <row r="23" spans="2:17" ht="12.45">
      <c r="C23" s="9"/>
      <c r="D23" s="9"/>
      <c r="E23" s="9"/>
      <c r="F23" s="9"/>
      <c r="G23" s="116"/>
    </row>
    <row r="24" spans="2:17" ht="15.05" customHeight="1">
      <c r="G24" s="4"/>
    </row>
    <row r="25" spans="2:17" ht="10" customHeight="1">
      <c r="G25" s="4"/>
    </row>
    <row r="26" spans="2:17" ht="15.05" customHeight="1">
      <c r="G26" s="4"/>
    </row>
    <row r="27" spans="2:17" ht="15.05" customHeight="1">
      <c r="G27" s="4"/>
    </row>
    <row r="28" spans="2:17" ht="15.05" customHeight="1">
      <c r="G28" s="117"/>
    </row>
    <row r="29" spans="2:17" ht="15.05" customHeight="1">
      <c r="G29" s="5"/>
      <c r="H29" s="118"/>
    </row>
    <row r="30" spans="2:17" ht="15.05" customHeight="1">
      <c r="G30" s="5"/>
    </row>
    <row r="31" spans="2:17" ht="15.05" customHeight="1">
      <c r="G31" s="5"/>
    </row>
    <row r="32" spans="2:17" ht="15.05" customHeight="1">
      <c r="G32" s="5"/>
    </row>
    <row r="33" spans="2:12" ht="15.05" customHeight="1">
      <c r="G33" s="5"/>
    </row>
    <row r="34" spans="2:12" ht="15.05" customHeight="1">
      <c r="G34" s="5"/>
    </row>
    <row r="35" spans="2:12" ht="15.05" customHeight="1">
      <c r="G35" s="5"/>
    </row>
    <row r="36" spans="2:12" ht="15.05" customHeight="1">
      <c r="G36" s="5"/>
      <c r="I36" s="119"/>
    </row>
    <row r="37" spans="2:12" ht="15.05" customHeight="1">
      <c r="G37" s="5"/>
    </row>
    <row r="38" spans="2:12" ht="15.05" customHeight="1">
      <c r="B38" s="1" t="s">
        <v>441</v>
      </c>
      <c r="H38" s="120"/>
      <c r="I38" s="120"/>
      <c r="J38" s="120"/>
      <c r="K38" s="120"/>
      <c r="L38" s="121"/>
    </row>
    <row r="39" spans="2:12" ht="11.95" customHeight="1"/>
    <row r="40" spans="2:12" ht="14.25" customHeight="1"/>
    <row r="41" spans="2:12" ht="14.25" customHeight="1">
      <c r="B41" s="805"/>
      <c r="C41" s="985"/>
      <c r="D41" s="985"/>
      <c r="E41" s="985"/>
      <c r="F41" s="985"/>
    </row>
    <row r="42" spans="2:12" ht="14.25" customHeight="1"/>
    <row r="43" spans="2:12" ht="14.25" customHeight="1"/>
    <row r="44" spans="2:12" ht="14.25" customHeight="1"/>
    <row r="45" spans="2:12" ht="14.25" customHeight="1"/>
    <row r="46" spans="2:12" ht="14.25" customHeight="1"/>
    <row r="47" spans="2:12" ht="14.25" customHeight="1"/>
    <row r="48" spans="2:12" ht="14.25" customHeight="1"/>
    <row r="49" ht="14.25" customHeight="1"/>
  </sheetData>
  <mergeCells count="10">
    <mergeCell ref="B41:F41"/>
    <mergeCell ref="B1:G1"/>
    <mergeCell ref="B3:G3"/>
    <mergeCell ref="B4:G4"/>
    <mergeCell ref="N11:O11"/>
    <mergeCell ref="B19:G19"/>
    <mergeCell ref="B21:G21"/>
    <mergeCell ref="J12:K12"/>
    <mergeCell ref="N9:O9"/>
    <mergeCell ref="N19:O19"/>
  </mergeCells>
  <phoneticPr fontId="47" type="noConversion"/>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M22"/>
  <sheetViews>
    <sheetView zoomScale="90" zoomScaleNormal="90" workbookViewId="0">
      <selection activeCell="J24" sqref="J24"/>
    </sheetView>
  </sheetViews>
  <sheetFormatPr baseColWidth="10" defaultColWidth="10.9140625" defaultRowHeight="17.7"/>
  <cols>
    <col min="1" max="1" width="1.4140625" customWidth="1"/>
    <col min="2" max="2" width="12.25" customWidth="1"/>
    <col min="3" max="9" width="6.9140625" customWidth="1"/>
  </cols>
  <sheetData>
    <row r="2" spans="2:13">
      <c r="B2" s="813" t="s">
        <v>442</v>
      </c>
      <c r="C2" s="813"/>
      <c r="D2" s="813"/>
      <c r="E2" s="813"/>
      <c r="F2" s="813"/>
      <c r="G2" s="813"/>
      <c r="H2" s="813"/>
      <c r="I2" s="813"/>
    </row>
    <row r="3" spans="2:13" ht="18" customHeight="1">
      <c r="B3" s="814" t="s">
        <v>410</v>
      </c>
      <c r="C3" s="814"/>
      <c r="D3" s="814"/>
      <c r="E3" s="814"/>
      <c r="F3" s="814"/>
      <c r="G3" s="814"/>
      <c r="H3" s="814"/>
      <c r="I3" s="814"/>
    </row>
    <row r="4" spans="2:13" ht="18" customHeight="1">
      <c r="B4" s="815" t="s">
        <v>774</v>
      </c>
      <c r="C4" s="815"/>
      <c r="D4" s="815"/>
      <c r="E4" s="815"/>
      <c r="F4" s="815"/>
      <c r="G4" s="815"/>
      <c r="H4" s="815"/>
      <c r="I4" s="815"/>
    </row>
    <row r="5" spans="2:13">
      <c r="B5" s="815"/>
      <c r="C5" s="815"/>
      <c r="D5" s="815"/>
      <c r="E5" s="815"/>
      <c r="F5" s="815"/>
      <c r="G5" s="815"/>
    </row>
    <row r="6" spans="2:13" ht="56.3" customHeight="1">
      <c r="B6" s="273" t="s">
        <v>117</v>
      </c>
      <c r="C6" s="301" t="s">
        <v>128</v>
      </c>
      <c r="D6" s="301" t="s">
        <v>125</v>
      </c>
      <c r="E6" s="384" t="s">
        <v>443</v>
      </c>
      <c r="F6" s="384" t="s">
        <v>118</v>
      </c>
      <c r="G6" s="384" t="s">
        <v>124</v>
      </c>
      <c r="H6" s="301" t="s">
        <v>126</v>
      </c>
      <c r="I6" s="301" t="s">
        <v>129</v>
      </c>
    </row>
    <row r="7" spans="2:13">
      <c r="B7" s="990" t="s">
        <v>748</v>
      </c>
      <c r="C7" s="991"/>
      <c r="D7" s="991"/>
      <c r="E7" s="991"/>
      <c r="F7" s="991"/>
      <c r="G7" s="991"/>
      <c r="H7" s="991"/>
      <c r="I7" s="992"/>
    </row>
    <row r="8" spans="2:13" ht="15.75" customHeight="1">
      <c r="B8" s="316" t="s">
        <v>92</v>
      </c>
      <c r="C8" s="643">
        <v>302.82</v>
      </c>
      <c r="D8" s="643">
        <v>34.549999999999997</v>
      </c>
      <c r="E8" s="643">
        <v>10.039999999999999</v>
      </c>
      <c r="F8" s="643">
        <v>1.32</v>
      </c>
      <c r="G8" s="643">
        <v>2.8</v>
      </c>
      <c r="H8" s="643">
        <v>206.04</v>
      </c>
      <c r="I8" s="643">
        <v>96.78</v>
      </c>
      <c r="K8" s="391"/>
    </row>
    <row r="9" spans="2:13" ht="15.75" customHeight="1">
      <c r="B9" s="316" t="s">
        <v>93</v>
      </c>
      <c r="C9" s="643">
        <v>1223.81</v>
      </c>
      <c r="D9" s="643">
        <v>389.69</v>
      </c>
      <c r="E9" s="643">
        <v>122</v>
      </c>
      <c r="F9" s="643">
        <v>50</v>
      </c>
      <c r="G9" s="643">
        <v>32.5</v>
      </c>
      <c r="H9" s="643">
        <v>288.83999999999997</v>
      </c>
      <c r="I9" s="643">
        <v>934.96</v>
      </c>
      <c r="K9" s="391"/>
    </row>
    <row r="10" spans="2:13" ht="15.75" customHeight="1">
      <c r="B10" s="316" t="s">
        <v>130</v>
      </c>
      <c r="C10" s="643">
        <v>188.29</v>
      </c>
      <c r="D10" s="643">
        <v>0.76</v>
      </c>
      <c r="E10" s="643">
        <v>1.3</v>
      </c>
      <c r="F10" s="643">
        <v>0.02</v>
      </c>
      <c r="G10" s="643">
        <v>0.02</v>
      </c>
      <c r="H10" s="643">
        <v>23</v>
      </c>
      <c r="I10" s="643">
        <v>165.29</v>
      </c>
      <c r="K10" s="391" t="s">
        <v>97</v>
      </c>
    </row>
    <row r="11" spans="2:13" ht="15.75" customHeight="1">
      <c r="B11" s="316" t="s">
        <v>94</v>
      </c>
      <c r="C11" s="643">
        <v>1218.1099999999999</v>
      </c>
      <c r="D11" s="643">
        <v>320.44</v>
      </c>
      <c r="E11" s="643">
        <v>79.5</v>
      </c>
      <c r="F11" s="643">
        <v>14.8</v>
      </c>
      <c r="G11" s="643">
        <v>4.25</v>
      </c>
      <c r="H11" s="643">
        <v>307</v>
      </c>
      <c r="I11" s="643">
        <v>911.11</v>
      </c>
      <c r="K11" s="391"/>
    </row>
    <row r="12" spans="2:13" ht="15.75" customHeight="1">
      <c r="B12" s="316" t="s">
        <v>95</v>
      </c>
      <c r="C12" s="643">
        <v>200.59</v>
      </c>
      <c r="D12" s="643">
        <v>57.15</v>
      </c>
      <c r="E12" s="643">
        <v>50</v>
      </c>
      <c r="F12" s="643">
        <v>35</v>
      </c>
      <c r="G12" s="643">
        <v>29.5</v>
      </c>
      <c r="H12" s="643">
        <v>0.02</v>
      </c>
      <c r="I12" s="643">
        <v>200.57</v>
      </c>
      <c r="K12" s="391"/>
    </row>
    <row r="13" spans="2:13" ht="15.75" customHeight="1">
      <c r="B13" s="481" t="s">
        <v>103</v>
      </c>
      <c r="C13" s="643">
        <v>308.52</v>
      </c>
      <c r="D13" s="643">
        <v>47.42</v>
      </c>
      <c r="E13" s="643">
        <v>3.84</v>
      </c>
      <c r="F13" s="643">
        <v>1.54</v>
      </c>
      <c r="G13" s="643">
        <v>1.56</v>
      </c>
      <c r="H13" s="643">
        <v>210.86</v>
      </c>
      <c r="I13" s="643">
        <v>97.66</v>
      </c>
      <c r="K13" s="391"/>
      <c r="M13" t="s">
        <v>97</v>
      </c>
    </row>
    <row r="14" spans="2:13" ht="15.75" customHeight="1">
      <c r="B14" s="993" t="s">
        <v>749</v>
      </c>
      <c r="C14" s="994"/>
      <c r="D14" s="994"/>
      <c r="E14" s="994"/>
      <c r="F14" s="994"/>
      <c r="G14" s="994"/>
      <c r="H14" s="994"/>
      <c r="I14" s="995"/>
      <c r="K14" s="391"/>
    </row>
    <row r="15" spans="2:13" ht="15.75" customHeight="1">
      <c r="B15" s="482" t="s">
        <v>92</v>
      </c>
      <c r="C15" s="580">
        <v>308.52</v>
      </c>
      <c r="D15" s="580">
        <v>47.42</v>
      </c>
      <c r="E15" s="580">
        <v>3.84</v>
      </c>
      <c r="F15" s="580">
        <v>1.54</v>
      </c>
      <c r="G15" s="580">
        <v>1.56</v>
      </c>
      <c r="H15" s="580">
        <v>210.86</v>
      </c>
      <c r="I15" s="580">
        <v>97.66</v>
      </c>
      <c r="J15" s="11"/>
      <c r="K15" s="225"/>
    </row>
    <row r="16" spans="2:13" ht="15.75" customHeight="1">
      <c r="B16" s="317" t="s">
        <v>93</v>
      </c>
      <c r="C16" s="580">
        <v>1219.82</v>
      </c>
      <c r="D16" s="580">
        <v>384.74</v>
      </c>
      <c r="E16" s="580">
        <v>127</v>
      </c>
      <c r="F16" s="580">
        <v>51</v>
      </c>
      <c r="G16" s="580">
        <v>27.2</v>
      </c>
      <c r="H16" s="580">
        <v>292</v>
      </c>
      <c r="I16" s="580">
        <v>927.82</v>
      </c>
      <c r="J16" s="11"/>
      <c r="K16" s="225"/>
    </row>
    <row r="17" spans="2:12" ht="15.75" customHeight="1">
      <c r="B17" s="317" t="s">
        <v>130</v>
      </c>
      <c r="C17" s="580">
        <v>185.85</v>
      </c>
      <c r="D17" s="580">
        <v>0.64</v>
      </c>
      <c r="E17" s="580">
        <v>1.5</v>
      </c>
      <c r="F17" s="580">
        <v>0.01</v>
      </c>
      <c r="G17" s="580">
        <v>0.02</v>
      </c>
      <c r="H17" s="580">
        <v>23</v>
      </c>
      <c r="I17" s="580">
        <v>162.85</v>
      </c>
      <c r="J17" s="11"/>
      <c r="K17" s="225"/>
    </row>
    <row r="18" spans="2:12" ht="15.75" customHeight="1">
      <c r="B18" s="317" t="s">
        <v>94</v>
      </c>
      <c r="C18" s="580">
        <v>1218.17</v>
      </c>
      <c r="D18" s="580">
        <v>321.70999999999998</v>
      </c>
      <c r="E18" s="580">
        <v>80.5</v>
      </c>
      <c r="F18" s="580">
        <v>14.8</v>
      </c>
      <c r="G18" s="580">
        <v>4.05</v>
      </c>
      <c r="H18" s="580">
        <v>313</v>
      </c>
      <c r="I18" s="580">
        <v>905.17</v>
      </c>
      <c r="J18" s="11"/>
      <c r="K18" s="225"/>
    </row>
    <row r="19" spans="2:12" ht="15.75" customHeight="1">
      <c r="B19" s="317" t="s">
        <v>95</v>
      </c>
      <c r="C19" s="580">
        <v>191.47</v>
      </c>
      <c r="D19" s="580">
        <v>58.42</v>
      </c>
      <c r="E19" s="580">
        <v>49</v>
      </c>
      <c r="F19" s="580">
        <v>36</v>
      </c>
      <c r="G19" s="580">
        <v>24</v>
      </c>
      <c r="H19" s="580">
        <v>0.02</v>
      </c>
      <c r="I19" s="580">
        <v>191.45</v>
      </c>
      <c r="J19" s="11"/>
      <c r="K19" s="225"/>
      <c r="L19" s="122"/>
    </row>
    <row r="20" spans="2:12" ht="15.75" customHeight="1">
      <c r="B20" s="317" t="s">
        <v>103</v>
      </c>
      <c r="C20" s="580">
        <v>310.17</v>
      </c>
      <c r="D20" s="580">
        <v>52.67</v>
      </c>
      <c r="E20" s="580">
        <v>2.84</v>
      </c>
      <c r="F20" s="580">
        <v>1.74</v>
      </c>
      <c r="G20" s="580">
        <v>0.73</v>
      </c>
      <c r="H20" s="580">
        <v>212.84</v>
      </c>
      <c r="I20" s="580">
        <v>97.33</v>
      </c>
      <c r="J20" s="11"/>
      <c r="K20" s="225"/>
    </row>
    <row r="21" spans="2:12">
      <c r="B21" s="1" t="s">
        <v>444</v>
      </c>
      <c r="C21" s="1"/>
      <c r="D21" s="1"/>
      <c r="E21" s="1"/>
      <c r="F21" s="1"/>
      <c r="G21" s="1"/>
      <c r="H21" s="1"/>
    </row>
    <row r="22" spans="2:12">
      <c r="H22" t="s">
        <v>97</v>
      </c>
    </row>
  </sheetData>
  <mergeCells count="6">
    <mergeCell ref="B2:I2"/>
    <mergeCell ref="B4:I4"/>
    <mergeCell ref="B5:G5"/>
    <mergeCell ref="B7:I7"/>
    <mergeCell ref="B14:I14"/>
    <mergeCell ref="B3:I3"/>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pageSetUpPr fitToPage="1"/>
  </sheetPr>
  <dimension ref="B1:M45"/>
  <sheetViews>
    <sheetView zoomScale="90" zoomScaleNormal="90" workbookViewId="0">
      <selection activeCell="G32" sqref="G32"/>
    </sheetView>
  </sheetViews>
  <sheetFormatPr baseColWidth="10" defaultColWidth="10.9140625" defaultRowHeight="12.45"/>
  <cols>
    <col min="1" max="1" width="1.6640625" style="38" customWidth="1"/>
    <col min="2" max="5" width="14.08203125" style="38" customWidth="1"/>
    <col min="6" max="8" width="10.9140625" style="38" customWidth="1"/>
    <col min="9" max="16384" width="10.9140625" style="38"/>
  </cols>
  <sheetData>
    <row r="1" spans="2:13" s="19" customFormat="1" ht="15.05" customHeight="1">
      <c r="B1" s="813" t="s">
        <v>132</v>
      </c>
      <c r="C1" s="813"/>
      <c r="D1" s="813"/>
      <c r="E1" s="813"/>
    </row>
    <row r="2" spans="2:13" s="19" customFormat="1" ht="15.05" customHeight="1"/>
    <row r="3" spans="2:13" s="19" customFormat="1" ht="34.549999999999997" customHeight="1">
      <c r="B3" s="814" t="s">
        <v>445</v>
      </c>
      <c r="C3" s="814"/>
      <c r="D3" s="814"/>
      <c r="E3" s="814"/>
    </row>
    <row r="4" spans="2:13" s="19" customFormat="1" ht="15.05" customHeight="1">
      <c r="B4" s="813" t="s">
        <v>761</v>
      </c>
      <c r="C4" s="813"/>
      <c r="D4" s="813"/>
      <c r="E4" s="813"/>
    </row>
    <row r="5" spans="2:13" s="19" customFormat="1" ht="30.8" customHeight="1">
      <c r="B5" s="124" t="s">
        <v>446</v>
      </c>
      <c r="C5" s="125" t="s">
        <v>137</v>
      </c>
      <c r="D5" s="125" t="s">
        <v>138</v>
      </c>
      <c r="E5" s="125" t="s">
        <v>447</v>
      </c>
    </row>
    <row r="6" spans="2:13" s="19" customFormat="1" ht="15.75" customHeight="1">
      <c r="B6" s="49" t="s">
        <v>448</v>
      </c>
      <c r="C6" s="371">
        <v>102.54600000000001</v>
      </c>
      <c r="D6" s="372">
        <v>1379.6980000000001</v>
      </c>
      <c r="E6" s="483">
        <v>134.54430206931522</v>
      </c>
    </row>
    <row r="7" spans="2:13" s="19" customFormat="1" ht="15.75" customHeight="1">
      <c r="B7" s="49" t="s">
        <v>140</v>
      </c>
      <c r="C7" s="371">
        <v>110.233</v>
      </c>
      <c r="D7" s="372">
        <v>1413.644</v>
      </c>
      <c r="E7" s="483">
        <v>128.24145219671061</v>
      </c>
    </row>
    <row r="8" spans="2:13" s="19" customFormat="1" ht="15.75" customHeight="1">
      <c r="B8" s="49" t="s">
        <v>105</v>
      </c>
      <c r="C8" s="371">
        <v>106.34699999999999</v>
      </c>
      <c r="D8" s="372">
        <v>1411.057</v>
      </c>
      <c r="E8" s="483">
        <v>132.68423180719719</v>
      </c>
      <c r="F8" s="126"/>
      <c r="G8" s="126"/>
      <c r="H8" s="126"/>
    </row>
    <row r="9" spans="2:13" s="19" customFormat="1" ht="15.75" customHeight="1">
      <c r="B9" s="49" t="s">
        <v>106</v>
      </c>
      <c r="C9" s="371">
        <v>92.378</v>
      </c>
      <c r="D9" s="372">
        <v>1115.732</v>
      </c>
      <c r="E9" s="483">
        <v>120.77897334863279</v>
      </c>
      <c r="F9" s="126"/>
      <c r="G9" s="126"/>
      <c r="H9" s="126"/>
    </row>
    <row r="10" spans="2:13" s="19" customFormat="1" ht="15.75" customHeight="1">
      <c r="B10" s="49" t="s">
        <v>141</v>
      </c>
      <c r="C10" s="371">
        <v>117.6</v>
      </c>
      <c r="D10" s="372">
        <v>1517.8920000000001</v>
      </c>
      <c r="E10" s="483">
        <v>129.07244897959185</v>
      </c>
      <c r="F10" s="126"/>
      <c r="G10" s="126"/>
      <c r="H10" s="126"/>
    </row>
    <row r="11" spans="2:13" s="19" customFormat="1" ht="15.75" customHeight="1">
      <c r="B11" s="49" t="s">
        <v>142</v>
      </c>
      <c r="C11" s="373">
        <v>92.536000000000001</v>
      </c>
      <c r="D11" s="372">
        <v>1149.0391</v>
      </c>
      <c r="E11" s="483">
        <v>124.1721167977868</v>
      </c>
      <c r="F11" s="126"/>
      <c r="G11" s="126"/>
      <c r="H11" s="126"/>
    </row>
    <row r="12" spans="2:13" ht="15.75" customHeight="1">
      <c r="B12" s="49" t="s">
        <v>143</v>
      </c>
      <c r="C12" s="373">
        <v>86.421000000000006</v>
      </c>
      <c r="D12" s="372">
        <v>1039.675</v>
      </c>
      <c r="E12" s="483">
        <v>120.30351419215236</v>
      </c>
      <c r="F12" s="126"/>
      <c r="G12" s="265"/>
      <c r="H12" s="126"/>
      <c r="I12" s="28"/>
      <c r="J12" s="127"/>
      <c r="K12" s="127"/>
      <c r="L12" s="128"/>
      <c r="M12" s="28"/>
    </row>
    <row r="13" spans="2:13" ht="15.05" customHeight="1">
      <c r="B13" s="49" t="s">
        <v>144</v>
      </c>
      <c r="C13" s="373">
        <v>81.597999999999999</v>
      </c>
      <c r="D13" s="372">
        <v>1087.9098671827173</v>
      </c>
      <c r="E13" s="484">
        <v>133.32555542816215</v>
      </c>
      <c r="F13" s="126"/>
      <c r="G13" s="126"/>
      <c r="H13" s="126"/>
      <c r="I13" s="28"/>
      <c r="J13" s="127"/>
      <c r="K13" s="127"/>
      <c r="L13" s="128"/>
      <c r="M13" s="28"/>
    </row>
    <row r="14" spans="2:13" ht="15.05" customHeight="1">
      <c r="B14" s="49" t="s">
        <v>111</v>
      </c>
      <c r="C14" s="373">
        <v>73.856999999999999</v>
      </c>
      <c r="D14" s="372">
        <v>951.06949999999995</v>
      </c>
      <c r="E14" s="484">
        <v>128.77174810782998</v>
      </c>
      <c r="F14" s="126"/>
      <c r="I14" s="28"/>
      <c r="J14" s="127"/>
      <c r="K14" s="127"/>
      <c r="L14" s="128"/>
      <c r="M14" s="28"/>
    </row>
    <row r="15" spans="2:13" ht="15.05" customHeight="1">
      <c r="B15" s="49" t="s">
        <v>145</v>
      </c>
      <c r="C15" s="374">
        <v>54.679000000000002</v>
      </c>
      <c r="D15" s="372">
        <v>565.88379999999995</v>
      </c>
      <c r="E15" s="485">
        <f>D15/C15*10</f>
        <v>103.49198046782128</v>
      </c>
      <c r="F15" s="126"/>
      <c r="I15" s="28"/>
      <c r="J15" s="127"/>
      <c r="K15" s="127"/>
      <c r="L15" s="128"/>
      <c r="M15" s="28"/>
    </row>
    <row r="16" spans="2:13" ht="15.05" customHeight="1">
      <c r="B16" s="49" t="s">
        <v>113</v>
      </c>
      <c r="C16" s="374">
        <v>59.728000000000002</v>
      </c>
      <c r="D16" s="372">
        <f>C16*E16/10</f>
        <v>771.68575999999996</v>
      </c>
      <c r="E16" s="485">
        <v>129.19999999999999</v>
      </c>
      <c r="F16" s="126"/>
      <c r="G16" s="126"/>
      <c r="H16" s="126"/>
      <c r="I16" s="28"/>
      <c r="J16" s="127"/>
      <c r="K16" s="127"/>
      <c r="L16" s="128"/>
      <c r="M16" s="28"/>
    </row>
    <row r="17" spans="2:13" ht="15.05" customHeight="1">
      <c r="B17" s="49" t="s">
        <v>146</v>
      </c>
      <c r="C17" s="374">
        <v>48.314</v>
      </c>
      <c r="D17" s="504">
        <f>5902218.93270793/10000</f>
        <v>590.22189327079298</v>
      </c>
      <c r="E17" s="485">
        <v>122.16373996580556</v>
      </c>
      <c r="F17" s="126"/>
      <c r="G17" s="126"/>
      <c r="H17" s="126"/>
      <c r="I17" s="28"/>
      <c r="J17" s="127"/>
      <c r="K17" s="127"/>
      <c r="L17" s="128"/>
      <c r="M17" s="28"/>
    </row>
    <row r="18" spans="2:13" ht="15.05" customHeight="1">
      <c r="B18" s="49" t="s">
        <v>692</v>
      </c>
      <c r="C18" s="374">
        <f>41794/1000</f>
        <v>41.793999999999997</v>
      </c>
      <c r="D18" s="504">
        <f>5235624.12602813/10/1000</f>
        <v>523.56241260281297</v>
      </c>
      <c r="E18" s="485">
        <v>125.27214734239701</v>
      </c>
      <c r="F18" s="277"/>
      <c r="G18" s="126"/>
      <c r="H18" s="126"/>
      <c r="I18" s="28"/>
      <c r="J18" s="127"/>
      <c r="K18" s="127"/>
      <c r="L18" s="128"/>
      <c r="M18" s="28"/>
    </row>
    <row r="19" spans="2:13" ht="15.05" customHeight="1">
      <c r="B19" s="49" t="s">
        <v>758</v>
      </c>
      <c r="C19" s="374">
        <f>38427/1000</f>
        <v>38.427</v>
      </c>
      <c r="D19" s="504">
        <f>5008289.14332726/10/1000</f>
        <v>500.82891433272601</v>
      </c>
      <c r="E19" s="485">
        <v>130.33255636212206</v>
      </c>
      <c r="F19" s="277"/>
      <c r="G19" s="126"/>
      <c r="H19" s="126"/>
      <c r="I19" s="28"/>
      <c r="J19" s="127"/>
      <c r="K19" s="127"/>
      <c r="L19" s="128"/>
      <c r="M19" s="28"/>
    </row>
    <row r="20" spans="2:13" ht="14.4" customHeight="1">
      <c r="B20" s="810" t="s">
        <v>449</v>
      </c>
      <c r="C20" s="810"/>
      <c r="D20" s="810"/>
      <c r="E20" s="810"/>
      <c r="F20" s="126"/>
      <c r="G20" s="126"/>
      <c r="H20" s="126"/>
    </row>
    <row r="21" spans="2:13" ht="12.8" customHeight="1">
      <c r="G21" s="135"/>
    </row>
    <row r="22" spans="2:13" ht="12.8" customHeight="1"/>
    <row r="23" spans="2:13" ht="12.8" customHeight="1"/>
    <row r="24" spans="2:13" ht="12.8" customHeight="1"/>
    <row r="25" spans="2:13" ht="12.8" customHeight="1">
      <c r="G25" s="265"/>
    </row>
    <row r="26" spans="2:13" ht="12.8" customHeight="1"/>
    <row r="27" spans="2:13" ht="12.8" customHeight="1"/>
    <row r="28" spans="2:13" ht="12.8" customHeight="1"/>
    <row r="29" spans="2:13" ht="12.8" customHeight="1"/>
    <row r="30" spans="2:13" ht="12.8" customHeight="1"/>
    <row r="31" spans="2:13" ht="12.8" customHeight="1"/>
    <row r="32" spans="2:13" ht="12.8" customHeight="1"/>
    <row r="33" spans="2:5" ht="12.8" customHeight="1"/>
    <row r="34" spans="2:5" ht="12.8" customHeight="1"/>
    <row r="35" spans="2:5" ht="12.8" customHeight="1"/>
    <row r="36" spans="2:5" ht="12.8" customHeight="1"/>
    <row r="37" spans="2:5" ht="12.8" customHeight="1"/>
    <row r="38" spans="2:5" ht="12.8" customHeight="1">
      <c r="B38" s="998"/>
      <c r="C38" s="998"/>
      <c r="D38" s="998"/>
      <c r="E38" s="998"/>
    </row>
    <row r="39" spans="2:5" ht="14.4" customHeight="1">
      <c r="B39" s="998"/>
      <c r="C39" s="998"/>
      <c r="D39" s="998"/>
      <c r="E39" s="998"/>
    </row>
    <row r="40" spans="2:5" ht="12.8" customHeight="1">
      <c r="B40" s="996" t="s">
        <v>450</v>
      </c>
      <c r="C40" s="997"/>
      <c r="D40" s="997"/>
      <c r="E40" s="997"/>
    </row>
    <row r="41" spans="2:5" ht="12.8" customHeight="1"/>
    <row r="42" spans="2:5" ht="12.8" customHeight="1"/>
    <row r="43" spans="2:5" ht="12.8" customHeight="1"/>
    <row r="44" spans="2:5" ht="12.8" customHeight="1"/>
    <row r="45" spans="2:5" ht="12.8" customHeight="1"/>
  </sheetData>
  <mergeCells count="6">
    <mergeCell ref="B40:E40"/>
    <mergeCell ref="B38:E39"/>
    <mergeCell ref="B1:E1"/>
    <mergeCell ref="B3:E3"/>
    <mergeCell ref="B4:E4"/>
    <mergeCell ref="B20:E20"/>
  </mergeCells>
  <phoneticPr fontId="47" type="noConversion"/>
  <pageMargins left="0.98425196850393704" right="0.98425196850393704" top="0.98425196850393704" bottom="0.98425196850393704" header="0.51181102362204722" footer="0.51181102362204722"/>
  <pageSetup scale="87" orientation="portrait" r:id="rId1"/>
  <headerFooter>
    <oddFooter>&amp;C&amp;11&amp;A</oddFooter>
  </headerFooter>
  <ignoredErrors>
    <ignoredError sqref="C19" unlocked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pageSetUpPr fitToPage="1"/>
  </sheetPr>
  <dimension ref="B1:I36"/>
  <sheetViews>
    <sheetView topLeftCell="A15" zoomScaleNormal="100" zoomScaleSheetLayoutView="50" workbookViewId="0">
      <selection activeCell="G5" sqref="G5"/>
    </sheetView>
  </sheetViews>
  <sheetFormatPr baseColWidth="10" defaultColWidth="10.9140625" defaultRowHeight="12.45"/>
  <cols>
    <col min="1" max="1" width="3" style="38" customWidth="1"/>
    <col min="2" max="2" width="12.4140625" style="38" customWidth="1"/>
    <col min="3" max="3" width="12.1640625" style="38" customWidth="1"/>
    <col min="4" max="4" width="10.83203125" style="38" customWidth="1"/>
    <col min="5" max="5" width="7.83203125" style="131" bestFit="1" customWidth="1"/>
    <col min="6" max="8" width="7.08203125" style="131" customWidth="1"/>
    <col min="9" max="11" width="7.08203125" style="38" customWidth="1"/>
    <col min="12" max="12" width="6.6640625" style="38" customWidth="1"/>
    <col min="13" max="13" width="6.4140625" style="38" customWidth="1"/>
    <col min="14" max="16384" width="10.9140625" style="38"/>
  </cols>
  <sheetData>
    <row r="1" spans="2:9" s="19" customFormat="1" ht="13.1">
      <c r="B1" s="813" t="s">
        <v>148</v>
      </c>
      <c r="C1" s="813"/>
      <c r="D1" s="813"/>
      <c r="E1" s="486"/>
      <c r="F1" s="486"/>
      <c r="G1" s="486"/>
      <c r="H1" s="486"/>
    </row>
    <row r="2" spans="2:9" s="19" customFormat="1" ht="13.1">
      <c r="E2" s="486"/>
      <c r="F2" s="486"/>
      <c r="G2" s="486"/>
      <c r="H2" s="486"/>
    </row>
    <row r="3" spans="2:9" s="19" customFormat="1" ht="37" customHeight="1">
      <c r="B3" s="814" t="s">
        <v>451</v>
      </c>
      <c r="C3" s="813"/>
      <c r="D3" s="813"/>
      <c r="E3" s="486"/>
      <c r="F3" s="486"/>
      <c r="G3" s="486"/>
      <c r="H3" s="486"/>
    </row>
    <row r="4" spans="2:9" s="19" customFormat="1" ht="15.75" customHeight="1">
      <c r="B4" s="813" t="s">
        <v>764</v>
      </c>
      <c r="C4" s="813"/>
      <c r="D4" s="813"/>
      <c r="E4" s="486"/>
      <c r="F4" s="486"/>
      <c r="G4" s="486"/>
      <c r="H4" s="486"/>
    </row>
    <row r="5" spans="2:9" s="19" customFormat="1" ht="29.95" customHeight="1">
      <c r="B5" s="124" t="s">
        <v>134</v>
      </c>
      <c r="C5" s="124" t="s">
        <v>150</v>
      </c>
      <c r="D5" s="125" t="s">
        <v>151</v>
      </c>
      <c r="E5" s="486"/>
      <c r="F5" s="486"/>
      <c r="G5" s="486"/>
      <c r="H5" s="486"/>
    </row>
    <row r="6" spans="2:9" ht="17.2" customHeight="1">
      <c r="B6" s="824" t="s">
        <v>454</v>
      </c>
      <c r="C6" s="290" t="s">
        <v>165</v>
      </c>
      <c r="D6" s="129">
        <v>0</v>
      </c>
      <c r="E6" s="11"/>
      <c r="F6" s="21"/>
      <c r="G6" s="21"/>
      <c r="H6" s="21"/>
      <c r="I6" s="1"/>
    </row>
    <row r="7" spans="2:9" ht="17.2" customHeight="1">
      <c r="B7" s="823"/>
      <c r="C7" s="290" t="s">
        <v>154</v>
      </c>
      <c r="D7" s="129">
        <v>366</v>
      </c>
      <c r="E7" s="11"/>
      <c r="F7" s="21"/>
      <c r="G7" s="21"/>
      <c r="H7" s="21"/>
      <c r="I7" s="1"/>
    </row>
    <row r="8" spans="2:9" ht="17.2" customHeight="1">
      <c r="B8" s="823"/>
      <c r="C8" s="290" t="s">
        <v>155</v>
      </c>
      <c r="D8" s="129">
        <v>2295</v>
      </c>
      <c r="E8" s="11"/>
      <c r="F8" s="21"/>
      <c r="G8" s="21"/>
      <c r="H8" s="21"/>
      <c r="I8" s="1"/>
    </row>
    <row r="9" spans="2:9" ht="17.2" customHeight="1">
      <c r="B9" s="823"/>
      <c r="C9" s="290" t="s">
        <v>156</v>
      </c>
      <c r="D9" s="129">
        <v>13555</v>
      </c>
      <c r="E9" s="11"/>
      <c r="F9" s="21"/>
      <c r="G9" s="21"/>
      <c r="H9" s="21"/>
      <c r="I9" s="1"/>
    </row>
    <row r="10" spans="2:9" ht="17.2" customHeight="1">
      <c r="B10" s="823"/>
      <c r="C10" s="290" t="s">
        <v>157</v>
      </c>
      <c r="D10" s="129">
        <v>19274</v>
      </c>
      <c r="E10" s="11"/>
      <c r="F10" s="21"/>
      <c r="G10" s="21"/>
      <c r="H10" s="21"/>
      <c r="I10" s="1"/>
    </row>
    <row r="11" spans="2:9" ht="17.2" customHeight="1">
      <c r="B11" s="823"/>
      <c r="C11" s="38" t="s">
        <v>158</v>
      </c>
      <c r="D11" s="129">
        <v>7194</v>
      </c>
      <c r="E11" s="11"/>
      <c r="F11" s="21"/>
      <c r="G11" s="21"/>
      <c r="H11" s="21"/>
      <c r="I11" s="1"/>
    </row>
    <row r="12" spans="2:9" ht="17.2" customHeight="1">
      <c r="B12" s="823"/>
      <c r="C12" s="290" t="s">
        <v>159</v>
      </c>
      <c r="D12" s="129">
        <v>12002</v>
      </c>
      <c r="E12" s="11"/>
      <c r="F12" s="21"/>
      <c r="G12" s="21"/>
      <c r="H12" s="21"/>
      <c r="I12" s="1"/>
    </row>
    <row r="13" spans="2:9" ht="17.2" customHeight="1">
      <c r="B13" s="823"/>
      <c r="C13" s="290" t="s">
        <v>160</v>
      </c>
      <c r="D13" s="129">
        <v>0</v>
      </c>
      <c r="E13" s="11"/>
      <c r="F13" s="21"/>
      <c r="G13" s="21"/>
      <c r="H13" s="21"/>
      <c r="I13" s="1"/>
    </row>
    <row r="14" spans="2:9" ht="17.2" customHeight="1">
      <c r="B14" s="823"/>
      <c r="C14" s="290" t="s">
        <v>163</v>
      </c>
      <c r="D14" s="129">
        <v>436</v>
      </c>
      <c r="E14" s="11"/>
      <c r="F14" s="21"/>
      <c r="G14" s="21"/>
      <c r="H14" s="21"/>
      <c r="I14" s="1"/>
    </row>
    <row r="15" spans="2:9" ht="17.2" customHeight="1">
      <c r="B15" s="825"/>
      <c r="C15" s="649" t="s">
        <v>164</v>
      </c>
      <c r="D15" s="650">
        <f>SUM(D6:D14)</f>
        <v>55122</v>
      </c>
      <c r="E15" s="11"/>
      <c r="F15" s="21"/>
      <c r="G15" s="21"/>
      <c r="H15" s="21"/>
      <c r="I15" s="1"/>
    </row>
    <row r="16" spans="2:9" ht="17.2" customHeight="1">
      <c r="B16" s="999" t="s">
        <v>693</v>
      </c>
      <c r="C16" s="290" t="s">
        <v>165</v>
      </c>
      <c r="D16" s="129">
        <v>0</v>
      </c>
      <c r="E16" s="225"/>
      <c r="F16" s="21"/>
      <c r="G16" s="21"/>
      <c r="H16" s="21"/>
      <c r="I16" s="1"/>
    </row>
    <row r="17" spans="2:9" ht="17.2" customHeight="1">
      <c r="B17" s="999"/>
      <c r="C17" s="290" t="s">
        <v>154</v>
      </c>
      <c r="D17" s="129">
        <v>126</v>
      </c>
      <c r="E17" s="225"/>
      <c r="F17" s="21"/>
      <c r="G17" s="21"/>
      <c r="H17" s="21"/>
      <c r="I17" s="1"/>
    </row>
    <row r="18" spans="2:9" ht="17.2" customHeight="1">
      <c r="B18" s="999"/>
      <c r="C18" s="290" t="s">
        <v>155</v>
      </c>
      <c r="D18" s="129">
        <v>3325</v>
      </c>
      <c r="E18" s="225"/>
      <c r="F18" s="21"/>
      <c r="G18" s="21"/>
      <c r="H18" s="21"/>
      <c r="I18" s="1"/>
    </row>
    <row r="19" spans="2:9" ht="17.2" customHeight="1">
      <c r="B19" s="999"/>
      <c r="C19" s="290" t="s">
        <v>156</v>
      </c>
      <c r="D19" s="129">
        <v>14147</v>
      </c>
      <c r="E19" s="225"/>
      <c r="F19" s="21"/>
      <c r="G19" s="11"/>
      <c r="H19" s="21"/>
      <c r="I19" s="1"/>
    </row>
    <row r="20" spans="2:9" ht="23.9" customHeight="1">
      <c r="B20" s="999"/>
      <c r="C20" s="290" t="s">
        <v>157</v>
      </c>
      <c r="D20" s="129">
        <v>17166</v>
      </c>
      <c r="E20" s="225"/>
      <c r="F20" s="21"/>
      <c r="G20" s="11"/>
      <c r="H20" s="21"/>
      <c r="I20" s="1"/>
    </row>
    <row r="21" spans="2:9" ht="17.2" customHeight="1">
      <c r="B21" s="999"/>
      <c r="C21" s="38" t="s">
        <v>158</v>
      </c>
      <c r="D21" s="129">
        <v>6754</v>
      </c>
      <c r="E21" s="225"/>
      <c r="F21" s="565"/>
      <c r="G21" s="11"/>
      <c r="H21" s="21"/>
      <c r="I21" s="1"/>
    </row>
    <row r="22" spans="2:9" ht="17.2" customHeight="1">
      <c r="B22" s="999"/>
      <c r="C22" s="290" t="s">
        <v>159</v>
      </c>
      <c r="D22" s="129">
        <v>8107</v>
      </c>
      <c r="E22" s="225"/>
      <c r="F22" s="21"/>
      <c r="G22" s="21"/>
      <c r="H22" s="21"/>
      <c r="I22" s="1"/>
    </row>
    <row r="23" spans="2:9" ht="17.2" customHeight="1">
      <c r="B23" s="999"/>
      <c r="C23" s="290" t="s">
        <v>160</v>
      </c>
      <c r="D23" s="129">
        <v>0</v>
      </c>
      <c r="E23" s="225"/>
      <c r="F23" s="21"/>
      <c r="G23" s="21"/>
      <c r="H23" s="21"/>
      <c r="I23" s="1"/>
    </row>
    <row r="24" spans="2:9" ht="17.2" customHeight="1">
      <c r="B24" s="999"/>
      <c r="C24" s="290" t="s">
        <v>163</v>
      </c>
      <c r="D24" s="129">
        <v>436</v>
      </c>
      <c r="E24" s="225"/>
      <c r="F24" s="21"/>
      <c r="G24" s="21"/>
      <c r="H24" s="21"/>
      <c r="I24" s="1"/>
    </row>
    <row r="25" spans="2:9" ht="17.2" customHeight="1">
      <c r="B25" s="824"/>
      <c r="C25" s="649" t="s">
        <v>164</v>
      </c>
      <c r="D25" s="650">
        <f>SUM(D16:D24)</f>
        <v>50061</v>
      </c>
      <c r="E25" s="225"/>
      <c r="F25" s="21"/>
      <c r="G25" s="21"/>
      <c r="H25" s="21"/>
      <c r="I25" s="1"/>
    </row>
    <row r="26" spans="2:9" ht="17.2" customHeight="1">
      <c r="B26" s="999" t="s">
        <v>762</v>
      </c>
      <c r="C26" s="290" t="s">
        <v>165</v>
      </c>
      <c r="D26" s="129" t="s">
        <v>200</v>
      </c>
      <c r="E26" s="225"/>
      <c r="F26" s="21"/>
      <c r="G26" s="21"/>
      <c r="H26" s="21"/>
      <c r="I26" s="1"/>
    </row>
    <row r="27" spans="2:9" ht="17.2" customHeight="1">
      <c r="B27" s="999"/>
      <c r="C27" s="290" t="s">
        <v>154</v>
      </c>
      <c r="D27" s="129">
        <v>113</v>
      </c>
      <c r="E27" s="225"/>
      <c r="F27" s="21"/>
      <c r="G27" s="21"/>
      <c r="H27" s="21"/>
      <c r="I27" s="1"/>
    </row>
    <row r="28" spans="2:9" ht="17.2" customHeight="1">
      <c r="B28" s="999"/>
      <c r="C28" s="290" t="s">
        <v>155</v>
      </c>
      <c r="D28" s="129">
        <v>3046</v>
      </c>
      <c r="E28" s="225"/>
      <c r="F28" s="21"/>
      <c r="G28" s="21"/>
      <c r="H28" s="21"/>
      <c r="I28" s="1"/>
    </row>
    <row r="29" spans="2:9" ht="17.2" customHeight="1">
      <c r="B29" s="999"/>
      <c r="C29" s="290" t="s">
        <v>156</v>
      </c>
      <c r="D29" s="129">
        <v>13864</v>
      </c>
      <c r="E29" s="225"/>
      <c r="F29" s="21"/>
      <c r="G29" s="21"/>
      <c r="H29" s="21"/>
      <c r="I29" s="1"/>
    </row>
    <row r="30" spans="2:9" ht="17.2" customHeight="1">
      <c r="B30" s="999"/>
      <c r="C30" s="290" t="s">
        <v>157</v>
      </c>
      <c r="D30" s="129">
        <v>17028</v>
      </c>
      <c r="E30" s="225"/>
      <c r="F30" s="21"/>
      <c r="G30" s="21"/>
      <c r="H30" s="21"/>
      <c r="I30" s="1"/>
    </row>
    <row r="31" spans="2:9" ht="17.2" customHeight="1">
      <c r="B31" s="999"/>
      <c r="C31" s="38" t="s">
        <v>158</v>
      </c>
      <c r="D31" s="129">
        <v>7340</v>
      </c>
      <c r="E31" s="225"/>
      <c r="F31" s="21"/>
      <c r="G31" s="21" t="s">
        <v>97</v>
      </c>
      <c r="H31" s="21"/>
      <c r="I31" s="1"/>
    </row>
    <row r="32" spans="2:9" ht="17.2" customHeight="1">
      <c r="B32" s="999"/>
      <c r="C32" s="290" t="s">
        <v>159</v>
      </c>
      <c r="D32" s="129">
        <v>7017</v>
      </c>
      <c r="E32" s="225"/>
      <c r="F32" s="21"/>
      <c r="G32" s="21"/>
      <c r="H32" s="21"/>
      <c r="I32" s="1"/>
    </row>
    <row r="33" spans="2:9" ht="17.2" customHeight="1">
      <c r="B33" s="999"/>
      <c r="C33" s="290" t="s">
        <v>160</v>
      </c>
      <c r="D33" s="129">
        <v>288</v>
      </c>
      <c r="E33" s="225"/>
      <c r="F33" s="21"/>
      <c r="G33" s="21"/>
      <c r="H33" s="21"/>
      <c r="I33" s="1"/>
    </row>
    <row r="34" spans="2:9" ht="17.2" customHeight="1">
      <c r="B34" s="999"/>
      <c r="C34" s="290" t="s">
        <v>163</v>
      </c>
      <c r="D34" s="129">
        <v>436</v>
      </c>
      <c r="E34" s="225"/>
      <c r="F34" s="21"/>
      <c r="G34" s="21"/>
      <c r="H34" s="21"/>
      <c r="I34" s="1"/>
    </row>
    <row r="35" spans="2:9" ht="17.2" customHeight="1">
      <c r="B35" s="824"/>
      <c r="C35" s="649" t="s">
        <v>164</v>
      </c>
      <c r="D35" s="650">
        <f>SUM(D26:D34)</f>
        <v>49132</v>
      </c>
      <c r="E35" s="225"/>
      <c r="F35" s="21"/>
      <c r="G35" s="21"/>
      <c r="H35" s="21"/>
      <c r="I35" s="1"/>
    </row>
    <row r="36" spans="2:9" ht="36" customHeight="1">
      <c r="B36" s="818" t="s">
        <v>166</v>
      </c>
      <c r="C36" s="819"/>
      <c r="D36" s="820"/>
      <c r="E36" s="291"/>
      <c r="F36" s="291"/>
    </row>
  </sheetData>
  <mergeCells count="7">
    <mergeCell ref="B36:D36"/>
    <mergeCell ref="B1:D1"/>
    <mergeCell ref="B3:D3"/>
    <mergeCell ref="B4:D4"/>
    <mergeCell ref="B16:B25"/>
    <mergeCell ref="B6:B15"/>
    <mergeCell ref="B26:B35"/>
  </mergeCells>
  <phoneticPr fontId="47" type="noConversion"/>
  <printOptions horizontalCentered="1"/>
  <pageMargins left="0.6692913385826772" right="0.35433070866141736" top="0.78740157480314965" bottom="0.78740157480314965" header="0.51181102362204722" footer="0.59055118110236227"/>
  <pageSetup firstPageNumber="0" orientation="portrait" r:id="rId1"/>
  <headerFooter alignWithMargins="0">
    <oddFooter>&amp;C&amp;10&amp;A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pageSetUpPr fitToPage="1"/>
  </sheetPr>
  <dimension ref="B1:N35"/>
  <sheetViews>
    <sheetView zoomScaleNormal="100" zoomScaleSheetLayoutView="50" workbookViewId="0">
      <selection activeCell="H16" sqref="H16"/>
    </sheetView>
  </sheetViews>
  <sheetFormatPr baseColWidth="10" defaultColWidth="10.9140625" defaultRowHeight="12.45"/>
  <cols>
    <col min="1" max="1" width="1.75" style="38" customWidth="1"/>
    <col min="2" max="2" width="9" style="38" customWidth="1"/>
    <col min="3" max="3" width="12.1640625" style="38" customWidth="1"/>
    <col min="4" max="5" width="10.83203125" style="38" customWidth="1"/>
    <col min="6" max="6" width="13.9140625" style="38" customWidth="1"/>
    <col min="7" max="7" width="10.9140625" style="131" customWidth="1"/>
    <col min="8" max="11" width="10.9140625" style="38" customWidth="1"/>
    <col min="12" max="14" width="10.9140625" style="133" customWidth="1"/>
    <col min="15" max="16" width="10.9140625" style="38" customWidth="1"/>
    <col min="17" max="16384" width="10.9140625" style="38"/>
  </cols>
  <sheetData>
    <row r="1" spans="2:14" s="19" customFormat="1" ht="13.1">
      <c r="B1" s="813" t="s">
        <v>167</v>
      </c>
      <c r="C1" s="813"/>
      <c r="D1" s="813"/>
      <c r="E1" s="813"/>
      <c r="F1" s="813"/>
      <c r="G1" s="486"/>
      <c r="L1" s="132"/>
      <c r="M1" s="132"/>
      <c r="N1" s="132"/>
    </row>
    <row r="2" spans="2:14" s="19" customFormat="1" ht="13.1">
      <c r="G2" s="486"/>
      <c r="L2" s="132"/>
      <c r="M2" s="132"/>
      <c r="N2" s="132"/>
    </row>
    <row r="3" spans="2:14" s="19" customFormat="1" ht="29.3" customHeight="1">
      <c r="B3" s="814" t="s">
        <v>455</v>
      </c>
      <c r="C3" s="813"/>
      <c r="D3" s="813"/>
      <c r="E3" s="813"/>
      <c r="F3" s="813"/>
      <c r="G3" s="486"/>
      <c r="L3" s="132"/>
      <c r="M3" s="132"/>
      <c r="N3" s="132"/>
    </row>
    <row r="4" spans="2:14" s="19" customFormat="1" ht="17.2" customHeight="1">
      <c r="B4" s="813" t="s">
        <v>763</v>
      </c>
      <c r="C4" s="813"/>
      <c r="D4" s="813"/>
      <c r="E4" s="813"/>
      <c r="F4" s="813"/>
      <c r="G4" s="486"/>
      <c r="L4" s="132"/>
      <c r="M4" s="132"/>
      <c r="N4" s="132"/>
    </row>
    <row r="5" spans="2:14" s="19" customFormat="1" ht="29.95" customHeight="1">
      <c r="B5" s="100" t="s">
        <v>134</v>
      </c>
      <c r="C5" s="124" t="s">
        <v>150</v>
      </c>
      <c r="D5" s="125" t="s">
        <v>151</v>
      </c>
      <c r="E5" s="125" t="s">
        <v>152</v>
      </c>
      <c r="F5" s="125" t="s">
        <v>456</v>
      </c>
      <c r="G5" s="486"/>
      <c r="L5" s="132"/>
      <c r="M5" s="132"/>
      <c r="N5" s="132"/>
    </row>
    <row r="6" spans="2:14" ht="19" customHeight="1">
      <c r="B6" s="823" t="s">
        <v>146</v>
      </c>
      <c r="C6" s="292" t="s">
        <v>154</v>
      </c>
      <c r="D6" s="295">
        <v>366</v>
      </c>
      <c r="E6" s="295">
        <f>22568.0224107156/10</f>
        <v>2256.8022410715598</v>
      </c>
      <c r="F6" s="428">
        <v>61.661263417255832</v>
      </c>
      <c r="G6" s="38"/>
    </row>
    <row r="7" spans="2:14" ht="19" customHeight="1">
      <c r="B7" s="823"/>
      <c r="C7" s="292" t="s">
        <v>155</v>
      </c>
      <c r="D7" s="295">
        <v>1747</v>
      </c>
      <c r="E7" s="295">
        <f>216966.801301374/10</f>
        <v>21696.6801301374</v>
      </c>
      <c r="F7" s="428">
        <v>124.19393320055781</v>
      </c>
      <c r="G7" s="38"/>
    </row>
    <row r="8" spans="2:14" ht="19" customHeight="1">
      <c r="B8" s="823"/>
      <c r="C8" s="292" t="s">
        <v>156</v>
      </c>
      <c r="D8" s="295">
        <v>13023</v>
      </c>
      <c r="E8" s="295">
        <f>1707094.17887291/10</f>
        <v>170709.417887291</v>
      </c>
      <c r="F8" s="428">
        <v>131.08302072279153</v>
      </c>
      <c r="G8" s="38"/>
    </row>
    <row r="9" spans="2:14" ht="19" customHeight="1">
      <c r="B9" s="823"/>
      <c r="C9" s="292" t="s">
        <v>157</v>
      </c>
      <c r="D9" s="295">
        <v>14373</v>
      </c>
      <c r="E9" s="295">
        <f>1641784.16631184/10</f>
        <v>164178.41663118399</v>
      </c>
      <c r="F9" s="428">
        <v>114.22696488637334</v>
      </c>
      <c r="G9" s="38"/>
      <c r="I9" s="38" t="s">
        <v>97</v>
      </c>
    </row>
    <row r="10" spans="2:14" ht="19" customHeight="1">
      <c r="B10" s="823"/>
      <c r="C10" s="38" t="s">
        <v>158</v>
      </c>
      <c r="D10" s="295">
        <v>6468</v>
      </c>
      <c r="E10" s="295">
        <f>788111.348936312/10</f>
        <v>78811.134893631199</v>
      </c>
      <c r="F10" s="428">
        <v>121.84776576009779</v>
      </c>
      <c r="G10" s="38"/>
    </row>
    <row r="11" spans="2:14" ht="19" customHeight="1">
      <c r="B11" s="823"/>
      <c r="C11" s="292" t="s">
        <v>159</v>
      </c>
      <c r="D11" s="295">
        <v>11952</v>
      </c>
      <c r="E11" s="295">
        <f>1513027.41487477/10</f>
        <v>151302.741487477</v>
      </c>
      <c r="F11" s="428">
        <v>126.59198584962924</v>
      </c>
      <c r="G11" s="38"/>
    </row>
    <row r="12" spans="2:14" ht="19" customHeight="1">
      <c r="B12" s="823"/>
      <c r="C12" s="292" t="s">
        <v>163</v>
      </c>
      <c r="D12" s="295">
        <v>385</v>
      </c>
      <c r="E12" s="295">
        <f>12667/10</f>
        <v>1266.7</v>
      </c>
      <c r="F12" s="428">
        <v>32.9012987012987</v>
      </c>
      <c r="G12" s="38"/>
    </row>
    <row r="13" spans="2:14" ht="19" customHeight="1">
      <c r="B13" s="825"/>
      <c r="C13" s="651" t="s">
        <v>164</v>
      </c>
      <c r="D13" s="652">
        <v>48314</v>
      </c>
      <c r="E13" s="652">
        <f>5902218.93270793/10</f>
        <v>590221.89327079302</v>
      </c>
      <c r="F13" s="653">
        <v>122.16373996580556</v>
      </c>
      <c r="G13" s="38"/>
    </row>
    <row r="14" spans="2:14" ht="17.7" customHeight="1">
      <c r="B14" s="823" t="s">
        <v>692</v>
      </c>
      <c r="C14" s="292" t="s">
        <v>154</v>
      </c>
      <c r="D14" s="295">
        <v>126</v>
      </c>
      <c r="E14" s="295">
        <v>1658.41752720661</v>
      </c>
      <c r="F14" s="428">
        <v>131.620438667191</v>
      </c>
      <c r="G14" s="265"/>
      <c r="H14" s="294"/>
    </row>
    <row r="15" spans="2:14" ht="17.7" customHeight="1">
      <c r="B15" s="823"/>
      <c r="C15" s="292" t="s">
        <v>155</v>
      </c>
      <c r="D15" s="295">
        <v>2424</v>
      </c>
      <c r="E15" s="295">
        <v>29975.5872073256</v>
      </c>
      <c r="F15" s="428">
        <v>123.661663396558</v>
      </c>
      <c r="G15" s="265"/>
    </row>
    <row r="16" spans="2:14" ht="17.7" customHeight="1">
      <c r="B16" s="823"/>
      <c r="C16" s="292" t="s">
        <v>156</v>
      </c>
      <c r="D16" s="295">
        <v>12431</v>
      </c>
      <c r="E16" s="295">
        <v>163479.21952409</v>
      </c>
      <c r="F16" s="428">
        <v>131.509306993878</v>
      </c>
      <c r="G16" s="265"/>
    </row>
    <row r="17" spans="2:7" ht="17.7" customHeight="1">
      <c r="B17" s="823"/>
      <c r="C17" s="292" t="s">
        <v>157</v>
      </c>
      <c r="D17" s="295">
        <v>12994</v>
      </c>
      <c r="E17" s="295">
        <v>149604.966149001</v>
      </c>
      <c r="F17" s="428">
        <v>115.133881906265</v>
      </c>
      <c r="G17" s="265"/>
    </row>
    <row r="18" spans="2:7" ht="17.7" customHeight="1">
      <c r="B18" s="823"/>
      <c r="C18" s="38" t="s">
        <v>158</v>
      </c>
      <c r="D18" s="295">
        <v>5642</v>
      </c>
      <c r="E18" s="295">
        <v>68745.45397961649</v>
      </c>
      <c r="F18" s="428">
        <v>121.84589503654099</v>
      </c>
      <c r="G18" s="265"/>
    </row>
    <row r="19" spans="2:7" ht="17.7" customHeight="1">
      <c r="B19" s="823"/>
      <c r="C19" s="292" t="s">
        <v>159</v>
      </c>
      <c r="D19" s="295">
        <v>7792</v>
      </c>
      <c r="E19" s="295">
        <v>108832.068215573</v>
      </c>
      <c r="F19" s="428">
        <v>139.671545451198</v>
      </c>
      <c r="G19" s="265"/>
    </row>
    <row r="20" spans="2:7" ht="17.7" customHeight="1">
      <c r="B20" s="823"/>
      <c r="C20" s="292" t="s">
        <v>163</v>
      </c>
      <c r="D20" s="295">
        <v>385</v>
      </c>
      <c r="E20" s="295">
        <f>12667/10</f>
        <v>1266.7</v>
      </c>
      <c r="F20" s="428">
        <v>32.9012987012987</v>
      </c>
      <c r="G20" s="265"/>
    </row>
    <row r="21" spans="2:7" ht="17.7" customHeight="1">
      <c r="B21" s="825"/>
      <c r="C21" s="651" t="s">
        <v>164</v>
      </c>
      <c r="D21" s="652">
        <f>SUM(D14:D20)</f>
        <v>41794</v>
      </c>
      <c r="E21" s="652">
        <f>SUM(E14:E20)</f>
        <v>523562.41260281269</v>
      </c>
      <c r="F21" s="653">
        <v>125.27214734239701</v>
      </c>
      <c r="G21" s="265"/>
    </row>
    <row r="22" spans="2:7" ht="20.3" customHeight="1">
      <c r="B22" s="823" t="s">
        <v>758</v>
      </c>
      <c r="C22" s="292" t="s">
        <v>154</v>
      </c>
      <c r="D22" s="295">
        <v>113</v>
      </c>
      <c r="E22" s="295">
        <f>15446.641633029/10</f>
        <v>1544.6641633028999</v>
      </c>
      <c r="F22" s="428">
        <v>136.69594365512401</v>
      </c>
    </row>
    <row r="23" spans="2:7" ht="17.05" customHeight="1">
      <c r="B23" s="823"/>
      <c r="C23" s="292" t="s">
        <v>155</v>
      </c>
      <c r="D23" s="295">
        <v>2360</v>
      </c>
      <c r="E23" s="295">
        <f>335777.000179004/10</f>
        <v>33577.700017900395</v>
      </c>
      <c r="F23" s="428">
        <v>142.278389906358</v>
      </c>
    </row>
    <row r="24" spans="2:7" ht="15.75" customHeight="1">
      <c r="B24" s="823"/>
      <c r="C24" s="292" t="s">
        <v>156</v>
      </c>
      <c r="D24" s="295">
        <v>12594</v>
      </c>
      <c r="E24" s="295">
        <f>1714785.01412087/10</f>
        <v>171478.501412087</v>
      </c>
      <c r="F24" s="428">
        <v>136.15888630465901</v>
      </c>
    </row>
    <row r="25" spans="2:7" ht="16.399999999999999" customHeight="1">
      <c r="B25" s="823"/>
      <c r="C25" s="292" t="s">
        <v>157</v>
      </c>
      <c r="D25" s="295">
        <v>11717</v>
      </c>
      <c r="E25" s="295">
        <f>1431032.2822033/10</f>
        <v>143103.22822033</v>
      </c>
      <c r="F25" s="428">
        <v>122.13299327500999</v>
      </c>
    </row>
    <row r="26" spans="2:7" ht="16.399999999999999" customHeight="1">
      <c r="B26" s="823"/>
      <c r="C26" s="38" t="s">
        <v>158</v>
      </c>
      <c r="D26" s="295">
        <v>4987</v>
      </c>
      <c r="E26" s="295">
        <f>672197.646336474/10</f>
        <v>67219.764633647399</v>
      </c>
      <c r="F26" s="428">
        <v>134.78998322367599</v>
      </c>
      <c r="G26" s="131" t="s">
        <v>97</v>
      </c>
    </row>
    <row r="27" spans="2:7" ht="16.399999999999999" customHeight="1">
      <c r="B27" s="823"/>
      <c r="C27" s="292" t="s">
        <v>159</v>
      </c>
      <c r="D27" s="295">
        <v>6032</v>
      </c>
      <c r="E27" s="295">
        <f>801629.10190445/10</f>
        <v>80162.910190444993</v>
      </c>
      <c r="F27" s="428">
        <v>132.89607127063201</v>
      </c>
    </row>
    <row r="28" spans="2:7" ht="16.399999999999999" customHeight="1">
      <c r="B28" s="823"/>
      <c r="C28" s="292" t="s">
        <v>160</v>
      </c>
      <c r="D28" s="295">
        <v>239</v>
      </c>
      <c r="E28" s="295">
        <f>24754.4569501371/10</f>
        <v>2475.4456950137101</v>
      </c>
      <c r="F28" s="428">
        <v>103.57513368258201</v>
      </c>
    </row>
    <row r="29" spans="2:7" ht="15.05" customHeight="1">
      <c r="B29" s="823"/>
      <c r="C29" s="292" t="s">
        <v>163</v>
      </c>
      <c r="D29" s="295">
        <v>385</v>
      </c>
      <c r="E29" s="295">
        <v>1266.7</v>
      </c>
      <c r="F29" s="428">
        <v>32.9012987012987</v>
      </c>
    </row>
    <row r="30" spans="2:7" ht="22.95" customHeight="1">
      <c r="B30" s="825"/>
      <c r="C30" s="651" t="s">
        <v>164</v>
      </c>
      <c r="D30" s="652">
        <f>SUM(D22:D29)</f>
        <v>38427</v>
      </c>
      <c r="E30" s="652">
        <f>SUM(E22:E29)</f>
        <v>500828.91433272645</v>
      </c>
      <c r="F30" s="653">
        <v>130.33255636212206</v>
      </c>
    </row>
    <row r="33" spans="4:5">
      <c r="E33" s="38" t="s">
        <v>97</v>
      </c>
    </row>
    <row r="35" spans="4:5">
      <c r="D35" s="38" t="s">
        <v>97</v>
      </c>
    </row>
  </sheetData>
  <mergeCells count="6">
    <mergeCell ref="B22:B30"/>
    <mergeCell ref="B14:B21"/>
    <mergeCell ref="B1:F1"/>
    <mergeCell ref="B3:F3"/>
    <mergeCell ref="B4:F4"/>
    <mergeCell ref="B6:B13"/>
  </mergeCells>
  <printOptions horizontalCentered="1"/>
  <pageMargins left="0.6692913385826772" right="0.35433070866141736" top="0.78740157480314965" bottom="0.78740157480314965" header="0.51181102362204722" footer="0.59055118110236227"/>
  <pageSetup scale="75" firstPageNumber="0" orientation="portrait" r:id="rId1"/>
  <headerFooter alignWithMargins="0">
    <oddFooter>&amp;C&amp;10&amp;A</oddFooter>
  </headerFooter>
  <ignoredErrors>
    <ignoredError sqref="D21"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pageSetUpPr fitToPage="1"/>
  </sheetPr>
  <dimension ref="B1:F31"/>
  <sheetViews>
    <sheetView zoomScaleNormal="100" workbookViewId="0">
      <selection activeCell="G18" sqref="G18"/>
    </sheetView>
  </sheetViews>
  <sheetFormatPr baseColWidth="10" defaultColWidth="10.9140625" defaultRowHeight="16.55" customHeight="1"/>
  <cols>
    <col min="1" max="1" width="3.08203125" customWidth="1"/>
    <col min="2" max="2" width="25.08203125" customWidth="1"/>
    <col min="3" max="4" width="10.6640625" customWidth="1"/>
    <col min="5" max="5" width="10.4140625" customWidth="1"/>
    <col min="6" max="6" width="10.9140625" style="136" customWidth="1"/>
  </cols>
  <sheetData>
    <row r="1" spans="2:6" ht="16.55" customHeight="1">
      <c r="B1" s="813" t="s">
        <v>170</v>
      </c>
      <c r="C1" s="813"/>
      <c r="D1" s="813"/>
      <c r="E1" s="813"/>
      <c r="F1" s="486"/>
    </row>
    <row r="2" spans="2:6" ht="16.55" customHeight="1">
      <c r="B2" s="31"/>
      <c r="C2" s="31"/>
      <c r="D2" s="31"/>
      <c r="E2" s="31"/>
      <c r="F2" s="486"/>
    </row>
    <row r="3" spans="2:6" ht="33.4" customHeight="1">
      <c r="B3" s="814" t="s">
        <v>703</v>
      </c>
      <c r="C3" s="835"/>
      <c r="D3" s="835"/>
      <c r="E3" s="835"/>
    </row>
    <row r="4" spans="2:6" ht="30.8" customHeight="1">
      <c r="B4" s="815" t="s">
        <v>708</v>
      </c>
      <c r="C4" s="815"/>
      <c r="D4" s="815"/>
      <c r="E4" s="815"/>
    </row>
    <row r="5" spans="2:6" ht="16.55" customHeight="1">
      <c r="B5" s="1002"/>
      <c r="C5" s="1002"/>
      <c r="D5" s="1002"/>
      <c r="E5" s="1002"/>
    </row>
    <row r="7" spans="2:6" ht="15.75" customHeight="1">
      <c r="B7" s="1003" t="s">
        <v>150</v>
      </c>
      <c r="C7" s="1003"/>
      <c r="D7" s="856" t="s">
        <v>156</v>
      </c>
      <c r="E7" s="856"/>
      <c r="F7"/>
    </row>
    <row r="8" spans="2:6" ht="15.75" customHeight="1">
      <c r="B8" s="832" t="s">
        <v>457</v>
      </c>
      <c r="C8" s="832"/>
      <c r="D8" s="1001">
        <v>135</v>
      </c>
      <c r="E8" s="1001"/>
      <c r="F8"/>
    </row>
    <row r="9" spans="2:6" ht="15.75" customHeight="1">
      <c r="B9" s="1007"/>
      <c r="C9" s="1007"/>
      <c r="D9" s="1007"/>
      <c r="E9" s="1007"/>
      <c r="F9"/>
    </row>
    <row r="10" spans="2:6" ht="15.75" customHeight="1">
      <c r="B10" s="832" t="s">
        <v>458</v>
      </c>
      <c r="C10" s="832"/>
      <c r="D10" s="1001" t="s">
        <v>459</v>
      </c>
      <c r="E10" s="1001"/>
      <c r="F10"/>
    </row>
    <row r="11" spans="2:6" ht="15.75" customHeight="1">
      <c r="B11" s="832" t="s">
        <v>460</v>
      </c>
      <c r="C11" s="832"/>
      <c r="D11" s="1000">
        <v>96000</v>
      </c>
      <c r="E11" s="1000"/>
      <c r="F11"/>
    </row>
    <row r="12" spans="2:6" ht="15.75" customHeight="1">
      <c r="B12" s="832" t="s">
        <v>461</v>
      </c>
      <c r="C12" s="832"/>
      <c r="D12" s="1000">
        <v>535000</v>
      </c>
      <c r="E12" s="1000"/>
      <c r="F12"/>
    </row>
    <row r="13" spans="2:6" ht="15.75" customHeight="1">
      <c r="B13" s="832" t="s">
        <v>462</v>
      </c>
      <c r="C13" s="832"/>
      <c r="D13" s="1000">
        <v>1400156</v>
      </c>
      <c r="E13" s="1000"/>
      <c r="F13"/>
    </row>
    <row r="14" spans="2:6" ht="15.75" customHeight="1">
      <c r="B14" s="834" t="s">
        <v>463</v>
      </c>
      <c r="C14" s="834"/>
      <c r="D14" s="1000">
        <f>101558+882963</f>
        <v>984521</v>
      </c>
      <c r="E14" s="1000"/>
      <c r="F14"/>
    </row>
    <row r="15" spans="2:6" ht="15.75" customHeight="1">
      <c r="B15" s="832" t="s">
        <v>179</v>
      </c>
      <c r="C15" s="832"/>
      <c r="D15" s="1000">
        <f>SUM(D11:D14)</f>
        <v>3015677</v>
      </c>
      <c r="E15" s="1000"/>
      <c r="F15"/>
    </row>
    <row r="16" spans="2:6" ht="15.75" customHeight="1">
      <c r="B16" s="845" t="s">
        <v>464</v>
      </c>
      <c r="C16" s="845"/>
      <c r="D16" s="1000">
        <f>$B$21*D8</f>
        <v>3038850</v>
      </c>
      <c r="E16" s="1000"/>
      <c r="F16"/>
    </row>
    <row r="17" spans="2:6" ht="15.75" customHeight="1">
      <c r="B17" s="845" t="s">
        <v>182</v>
      </c>
      <c r="C17" s="845"/>
      <c r="D17" s="1000">
        <f>D16-D15</f>
        <v>23173</v>
      </c>
      <c r="E17" s="1000"/>
      <c r="F17"/>
    </row>
    <row r="18" spans="2:6" ht="16.55" customHeight="1">
      <c r="B18" s="847" t="s">
        <v>465</v>
      </c>
      <c r="C18" s="847"/>
      <c r="D18" s="847"/>
      <c r="E18" s="847"/>
    </row>
    <row r="19" spans="2:6" ht="16.55" customHeight="1">
      <c r="B19" s="32" t="s">
        <v>372</v>
      </c>
      <c r="C19" s="847" t="s">
        <v>466</v>
      </c>
      <c r="D19" s="847"/>
      <c r="E19" s="847"/>
    </row>
    <row r="20" spans="2:6" ht="28.15" customHeight="1">
      <c r="B20" s="138" t="s">
        <v>467</v>
      </c>
      <c r="C20" s="65">
        <v>120</v>
      </c>
      <c r="D20" s="65">
        <v>135</v>
      </c>
      <c r="E20" s="65">
        <v>150</v>
      </c>
    </row>
    <row r="21" spans="2:6" ht="15.75" customHeight="1">
      <c r="B21" s="139">
        <v>22510</v>
      </c>
      <c r="C21" s="696">
        <f>(C$20*$B21)-D15</f>
        <v>-314477</v>
      </c>
      <c r="D21" s="696">
        <f>(D$20*$B21)-D15</f>
        <v>23173</v>
      </c>
      <c r="E21" s="696">
        <f>(E$20*$B21)-D15</f>
        <v>360823</v>
      </c>
    </row>
    <row r="22" spans="2:6" ht="15.75" customHeight="1">
      <c r="B22" s="45" t="s">
        <v>468</v>
      </c>
      <c r="C22" s="44">
        <f>D15/C20</f>
        <v>25130.641666666666</v>
      </c>
      <c r="D22" s="44">
        <f>D15/D20</f>
        <v>22338.348148148147</v>
      </c>
      <c r="E22" s="44">
        <f>D15/E20</f>
        <v>20104.513333333332</v>
      </c>
    </row>
    <row r="23" spans="2:6" ht="31.75" customHeight="1">
      <c r="B23" s="880" t="s">
        <v>707</v>
      </c>
      <c r="C23" s="880"/>
      <c r="D23" s="880"/>
      <c r="E23" s="880"/>
    </row>
    <row r="24" spans="2:6" ht="15.75" customHeight="1">
      <c r="B24" s="1005"/>
      <c r="C24" s="1005"/>
      <c r="D24" s="1005"/>
      <c r="E24" s="1005"/>
    </row>
    <row r="25" spans="2:6" ht="15.75" customHeight="1">
      <c r="B25" s="1006" t="s">
        <v>187</v>
      </c>
      <c r="C25" s="1006"/>
      <c r="D25" s="1006"/>
      <c r="E25" s="1006"/>
    </row>
    <row r="26" spans="2:6" ht="25.55" customHeight="1">
      <c r="B26" s="1004" t="s">
        <v>704</v>
      </c>
      <c r="C26" s="1004"/>
      <c r="D26" s="1004"/>
      <c r="E26" s="1004"/>
    </row>
    <row r="27" spans="2:6" ht="29.95" customHeight="1">
      <c r="B27" s="1004" t="s">
        <v>705</v>
      </c>
      <c r="C27" s="1004"/>
      <c r="D27" s="1004"/>
      <c r="E27" s="1004"/>
    </row>
    <row r="28" spans="2:6" ht="29.95" customHeight="1">
      <c r="B28" s="1004" t="s">
        <v>469</v>
      </c>
      <c r="C28" s="1004"/>
      <c r="D28" s="1004"/>
      <c r="E28" s="1004"/>
    </row>
    <row r="29" spans="2:6" ht="29.95" customHeight="1">
      <c r="B29" s="1004" t="s">
        <v>706</v>
      </c>
      <c r="C29" s="1004"/>
      <c r="D29" s="1004"/>
      <c r="E29" s="1004"/>
    </row>
    <row r="30" spans="2:6" ht="15.75" customHeight="1">
      <c r="B30" s="1004" t="s">
        <v>470</v>
      </c>
      <c r="C30" s="1004"/>
      <c r="D30" s="1004"/>
      <c r="E30" s="1004"/>
    </row>
    <row r="31" spans="2:6" ht="16.55" customHeight="1">
      <c r="B31" s="140"/>
      <c r="C31" s="140"/>
      <c r="D31" s="140"/>
      <c r="E31" s="140"/>
    </row>
  </sheetData>
  <mergeCells count="35">
    <mergeCell ref="B8:C8"/>
    <mergeCell ref="D7:E7"/>
    <mergeCell ref="C19:E19"/>
    <mergeCell ref="B9:E9"/>
    <mergeCell ref="B18:E18"/>
    <mergeCell ref="B11:C11"/>
    <mergeCell ref="B12:C12"/>
    <mergeCell ref="B16:C16"/>
    <mergeCell ref="B17:C17"/>
    <mergeCell ref="B10:C10"/>
    <mergeCell ref="B13:C13"/>
    <mergeCell ref="B14:C14"/>
    <mergeCell ref="B15:C15"/>
    <mergeCell ref="D14:E14"/>
    <mergeCell ref="D15:E15"/>
    <mergeCell ref="D16:E16"/>
    <mergeCell ref="B29:E29"/>
    <mergeCell ref="B30:E30"/>
    <mergeCell ref="B23:E23"/>
    <mergeCell ref="B24:E24"/>
    <mergeCell ref="B25:E25"/>
    <mergeCell ref="B26:E26"/>
    <mergeCell ref="B27:E27"/>
    <mergeCell ref="B28:E28"/>
    <mergeCell ref="B1:E1"/>
    <mergeCell ref="B3:E3"/>
    <mergeCell ref="B4:E4"/>
    <mergeCell ref="B5:E5"/>
    <mergeCell ref="B7:C7"/>
    <mergeCell ref="D17:E17"/>
    <mergeCell ref="D8:E8"/>
    <mergeCell ref="D10:E10"/>
    <mergeCell ref="D11:E11"/>
    <mergeCell ref="D12:E12"/>
    <mergeCell ref="D13:E13"/>
  </mergeCells>
  <pageMargins left="0.70866141732283472" right="0.70866141732283472" top="0.74803149606299213" bottom="0.74803149606299213" header="0.31496062992125984" footer="0.31496062992125984"/>
  <pageSetup scale="92" orientation="portrait" r:id="rId1"/>
  <headerFooter>
    <oddFooter>&amp;C&amp;11&amp;A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pageSetUpPr fitToPage="1"/>
  </sheetPr>
  <dimension ref="B1:N41"/>
  <sheetViews>
    <sheetView zoomScaleNormal="100" workbookViewId="0">
      <selection activeCell="I8" sqref="I8:I21"/>
    </sheetView>
  </sheetViews>
  <sheetFormatPr baseColWidth="10" defaultColWidth="10.9140625" defaultRowHeight="11.8"/>
  <cols>
    <col min="1" max="1" width="0.9140625" style="1" customWidth="1"/>
    <col min="2" max="2" width="5.4140625" style="1" customWidth="1"/>
    <col min="3" max="6" width="8.9140625" style="1" customWidth="1"/>
    <col min="7" max="7" width="10.08203125" style="1" customWidth="1"/>
    <col min="8" max="8" width="8.9140625" style="1" customWidth="1"/>
    <col min="9" max="13" width="10.9140625" style="21" customWidth="1"/>
    <col min="14" max="16384" width="10.9140625" style="1"/>
  </cols>
  <sheetData>
    <row r="1" spans="2:14" s="15" customFormat="1" ht="18" customHeight="1">
      <c r="B1" s="813" t="s">
        <v>190</v>
      </c>
      <c r="C1" s="813"/>
      <c r="D1" s="813"/>
      <c r="E1" s="813"/>
      <c r="F1" s="813"/>
      <c r="G1" s="813"/>
      <c r="H1" s="813"/>
      <c r="I1" s="447"/>
      <c r="J1" s="447"/>
      <c r="K1" s="447"/>
      <c r="L1" s="447"/>
      <c r="M1" s="447"/>
      <c r="N1" s="447"/>
    </row>
    <row r="2" spans="2:14" s="15" customFormat="1" ht="13.1">
      <c r="I2" s="447"/>
      <c r="J2" s="447"/>
      <c r="K2" s="447"/>
      <c r="L2" s="447"/>
      <c r="M2" s="447"/>
      <c r="N2" s="447"/>
    </row>
    <row r="3" spans="2:14" s="15" customFormat="1" ht="13.1">
      <c r="B3" s="791" t="s">
        <v>430</v>
      </c>
      <c r="C3" s="791"/>
      <c r="D3" s="791"/>
      <c r="E3" s="791"/>
      <c r="F3" s="791"/>
      <c r="G3" s="791"/>
      <c r="H3" s="791"/>
      <c r="I3" s="447"/>
      <c r="J3" s="447"/>
      <c r="K3" s="447"/>
      <c r="L3" s="447"/>
      <c r="M3" s="447"/>
      <c r="N3" s="447"/>
    </row>
    <row r="4" spans="2:14" s="15" customFormat="1" ht="13.1">
      <c r="B4" s="791" t="s">
        <v>709</v>
      </c>
      <c r="C4" s="791"/>
      <c r="D4" s="791"/>
      <c r="E4" s="791"/>
      <c r="F4" s="791"/>
      <c r="G4" s="791"/>
      <c r="H4" s="791"/>
      <c r="I4" s="447"/>
      <c r="J4" s="447"/>
      <c r="K4" s="447"/>
      <c r="L4" s="447"/>
      <c r="M4" s="447"/>
      <c r="N4" s="447"/>
    </row>
    <row r="5" spans="2:14" s="15" customFormat="1" ht="13.1">
      <c r="B5" s="808" t="s">
        <v>471</v>
      </c>
      <c r="C5" s="808"/>
      <c r="D5" s="808"/>
      <c r="E5" s="808"/>
      <c r="F5" s="808"/>
      <c r="G5" s="808"/>
      <c r="H5" s="808"/>
      <c r="I5" s="447"/>
      <c r="J5" s="447"/>
      <c r="K5" s="447"/>
      <c r="L5" s="447"/>
      <c r="M5" s="447"/>
      <c r="N5" s="447"/>
    </row>
    <row r="6" spans="2:14" s="22" customFormat="1" ht="29.95" customHeight="1">
      <c r="B6" s="271" t="s">
        <v>117</v>
      </c>
      <c r="C6" s="271" t="s">
        <v>93</v>
      </c>
      <c r="D6" s="271" t="s">
        <v>472</v>
      </c>
      <c r="E6" s="271" t="s">
        <v>473</v>
      </c>
      <c r="F6" s="271" t="s">
        <v>472</v>
      </c>
      <c r="G6" s="271" t="s">
        <v>198</v>
      </c>
      <c r="H6" s="271" t="s">
        <v>472</v>
      </c>
      <c r="I6" s="20"/>
      <c r="J6" s="20"/>
      <c r="K6" s="136"/>
      <c r="L6" s="141"/>
      <c r="M6" s="20"/>
      <c r="N6" s="20"/>
    </row>
    <row r="7" spans="2:14" s="22" customFormat="1" ht="15.75" customHeight="1">
      <c r="B7" s="49">
        <v>2010</v>
      </c>
      <c r="C7" s="62">
        <v>1292649.96</v>
      </c>
      <c r="D7" s="142"/>
      <c r="E7" s="62">
        <v>596478.2009999993</v>
      </c>
      <c r="F7" s="142"/>
      <c r="G7" s="64">
        <v>1889128.1609999994</v>
      </c>
      <c r="H7" s="142"/>
      <c r="I7" s="11"/>
      <c r="J7" s="499"/>
      <c r="K7" s="143"/>
      <c r="L7" s="141"/>
      <c r="M7" s="143"/>
      <c r="N7" s="20"/>
    </row>
    <row r="8" spans="2:14" s="22" customFormat="1" ht="15.75" customHeight="1">
      <c r="B8" s="49">
        <v>2011</v>
      </c>
      <c r="C8" s="247">
        <v>1379698.1595000001</v>
      </c>
      <c r="D8" s="144">
        <f>C8/C7-1</f>
        <v>6.7340890568704292E-2</v>
      </c>
      <c r="E8" s="247">
        <v>666016.16</v>
      </c>
      <c r="F8" s="144">
        <v>0.11658088909774057</v>
      </c>
      <c r="G8" s="248">
        <v>2045714.3195000002</v>
      </c>
      <c r="H8" s="144">
        <v>8.2888054782430873E-2</v>
      </c>
      <c r="I8" s="11"/>
      <c r="J8" s="499"/>
      <c r="K8" s="143"/>
      <c r="L8" s="141"/>
      <c r="M8" s="143"/>
      <c r="N8" s="20"/>
    </row>
    <row r="9" spans="2:14" s="22" customFormat="1" ht="15.75" customHeight="1">
      <c r="B9" s="49">
        <v>2012</v>
      </c>
      <c r="C9" s="247">
        <v>1413644</v>
      </c>
      <c r="D9" s="144">
        <f t="shared" ref="D9:D20" si="0">C9/C8-1</f>
        <v>2.4603816614716445E-2</v>
      </c>
      <c r="E9" s="247">
        <v>873303.59099999967</v>
      </c>
      <c r="F9" s="144">
        <v>0.31123483700455501</v>
      </c>
      <c r="G9" s="248">
        <v>2286947.5909999995</v>
      </c>
      <c r="H9" s="144">
        <f t="shared" ref="H9:H13" si="1">(G9/G8-1)</f>
        <v>0.11792128998684426</v>
      </c>
      <c r="I9" s="11"/>
      <c r="J9" s="499"/>
      <c r="K9" s="143"/>
      <c r="L9" s="141"/>
      <c r="M9" s="143"/>
      <c r="N9" s="20"/>
    </row>
    <row r="10" spans="2:14" s="22" customFormat="1" ht="15.75" customHeight="1">
      <c r="B10" s="49">
        <v>2013</v>
      </c>
      <c r="C10" s="247">
        <v>1411057.0441826645</v>
      </c>
      <c r="D10" s="144">
        <f t="shared" si="0"/>
        <v>-1.8299910142408615E-3</v>
      </c>
      <c r="E10" s="247">
        <v>1092901.9909999999</v>
      </c>
      <c r="F10" s="144">
        <v>0.25145711326864378</v>
      </c>
      <c r="G10" s="248">
        <v>2503959.0351826642</v>
      </c>
      <c r="H10" s="144">
        <f t="shared" si="1"/>
        <v>9.4891306226992933E-2</v>
      </c>
      <c r="I10" s="11"/>
      <c r="J10" s="499"/>
      <c r="K10" s="143"/>
      <c r="L10" s="141"/>
      <c r="M10" s="143"/>
      <c r="N10" s="20"/>
    </row>
    <row r="11" spans="2:14" s="22" customFormat="1" ht="15.75" customHeight="1">
      <c r="B11" s="49">
        <v>2014</v>
      </c>
      <c r="C11" s="247">
        <v>1115732</v>
      </c>
      <c r="D11" s="144">
        <f t="shared" si="0"/>
        <v>-0.20929348349182264</v>
      </c>
      <c r="E11" s="247">
        <v>1410364.561</v>
      </c>
      <c r="F11" s="144">
        <v>0.29047670570123435</v>
      </c>
      <c r="G11" s="248">
        <v>2526096.5609999998</v>
      </c>
      <c r="H11" s="144">
        <f t="shared" si="1"/>
        <v>8.8410095797435417E-3</v>
      </c>
      <c r="I11" s="11"/>
      <c r="J11" s="499"/>
      <c r="K11" s="143"/>
      <c r="L11" s="141"/>
      <c r="M11" s="143"/>
      <c r="N11" s="20"/>
    </row>
    <row r="12" spans="2:14" s="22" customFormat="1" ht="15.75" customHeight="1">
      <c r="B12" s="49">
        <v>2015</v>
      </c>
      <c r="C12" s="247">
        <v>1517892</v>
      </c>
      <c r="D12" s="144">
        <f t="shared" si="0"/>
        <v>0.36044498141130665</v>
      </c>
      <c r="E12" s="247">
        <v>1528818.3489999999</v>
      </c>
      <c r="F12" s="144">
        <v>8.3988063282029637E-2</v>
      </c>
      <c r="G12" s="248">
        <v>3046710.3489999999</v>
      </c>
      <c r="H12" s="144">
        <f t="shared" si="1"/>
        <v>0.20609417551081499</v>
      </c>
      <c r="I12" s="11"/>
      <c r="J12" s="499"/>
      <c r="K12" s="143"/>
      <c r="L12" s="141"/>
      <c r="M12" s="143"/>
      <c r="N12" s="20"/>
    </row>
    <row r="13" spans="2:14" s="22" customFormat="1" ht="15.75" customHeight="1">
      <c r="B13" s="49">
        <v>2016</v>
      </c>
      <c r="C13" s="247">
        <v>1149039.1000000001</v>
      </c>
      <c r="D13" s="144">
        <f t="shared" si="0"/>
        <v>-0.24300338891040996</v>
      </c>
      <c r="E13" s="247">
        <v>1462676.1939999999</v>
      </c>
      <c r="F13" s="144">
        <f t="shared" ref="F13:F17" si="2">(E13/E12-1)</f>
        <v>-4.3263580034386462E-2</v>
      </c>
      <c r="G13" s="248">
        <v>2611715.2939999998</v>
      </c>
      <c r="H13" s="144">
        <f t="shared" si="1"/>
        <v>-0.14277532327376496</v>
      </c>
      <c r="I13" s="11"/>
      <c r="J13" s="499"/>
      <c r="K13" s="143"/>
      <c r="L13" s="141"/>
      <c r="M13" s="143"/>
      <c r="N13" s="20"/>
    </row>
    <row r="14" spans="2:14" s="22" customFormat="1" ht="15.75" customHeight="1">
      <c r="B14" s="49">
        <v>2017</v>
      </c>
      <c r="C14" s="247">
        <v>1039676</v>
      </c>
      <c r="D14" s="144">
        <f t="shared" si="0"/>
        <v>-9.5177875148025892E-2</v>
      </c>
      <c r="E14" s="247">
        <v>1590526.189</v>
      </c>
      <c r="F14" s="144">
        <f t="shared" si="2"/>
        <v>8.7408269529817728E-2</v>
      </c>
      <c r="G14" s="248">
        <v>2630202.1890000002</v>
      </c>
      <c r="H14" s="144">
        <f t="shared" ref="H14:H20" si="3">(G14/G13-1)</f>
        <v>7.078449570085743E-3</v>
      </c>
      <c r="I14" s="11"/>
      <c r="J14" s="499"/>
      <c r="K14" s="143"/>
      <c r="L14" s="141"/>
      <c r="M14" s="143"/>
      <c r="N14" s="20"/>
    </row>
    <row r="15" spans="2:14" s="22" customFormat="1" ht="15.75" customHeight="1">
      <c r="B15" s="49">
        <v>2018</v>
      </c>
      <c r="C15" s="247">
        <v>1087909.8671827174</v>
      </c>
      <c r="D15" s="144">
        <f t="shared" si="0"/>
        <v>4.639317170225854E-2</v>
      </c>
      <c r="E15" s="247">
        <v>1918486.1880699999</v>
      </c>
      <c r="F15" s="144">
        <f t="shared" si="2"/>
        <v>0.20619591260939618</v>
      </c>
      <c r="G15" s="248">
        <v>3006396.0552527173</v>
      </c>
      <c r="H15" s="144">
        <f t="shared" si="3"/>
        <v>0.14302849713456656</v>
      </c>
      <c r="I15" s="11"/>
      <c r="J15" s="499"/>
      <c r="K15" s="143"/>
      <c r="L15" s="20"/>
      <c r="M15" s="143"/>
      <c r="N15" s="20"/>
    </row>
    <row r="16" spans="2:14" s="22" customFormat="1" ht="15.75" customHeight="1">
      <c r="B16" s="276">
        <v>2019</v>
      </c>
      <c r="C16" s="247">
        <v>951070</v>
      </c>
      <c r="D16" s="144">
        <f t="shared" si="0"/>
        <v>-0.12578235689421757</v>
      </c>
      <c r="E16" s="247">
        <v>2366707.7000000002</v>
      </c>
      <c r="F16" s="144">
        <f t="shared" si="2"/>
        <v>0.23363291052979207</v>
      </c>
      <c r="G16" s="248">
        <v>3317777.7</v>
      </c>
      <c r="H16" s="144">
        <f t="shared" si="3"/>
        <v>0.10357306190687776</v>
      </c>
      <c r="I16" s="11"/>
      <c r="J16" s="499"/>
      <c r="K16" s="143"/>
      <c r="L16" s="20"/>
      <c r="M16" s="143"/>
      <c r="N16" s="20"/>
    </row>
    <row r="17" spans="2:14" s="22" customFormat="1" ht="15.75" customHeight="1">
      <c r="B17" s="276">
        <v>2020</v>
      </c>
      <c r="C17" s="247">
        <v>565884</v>
      </c>
      <c r="D17" s="144">
        <f t="shared" si="0"/>
        <v>-0.40500278633539066</v>
      </c>
      <c r="E17" s="247">
        <v>2788006.5392800001</v>
      </c>
      <c r="F17" s="144">
        <f t="shared" si="2"/>
        <v>0.17801050771077476</v>
      </c>
      <c r="G17" s="248">
        <v>3353890.5392800001</v>
      </c>
      <c r="H17" s="144">
        <f t="shared" si="3"/>
        <v>1.088464705757719E-2</v>
      </c>
      <c r="I17" s="11"/>
      <c r="J17" s="499"/>
      <c r="K17" s="143"/>
      <c r="L17" s="20"/>
      <c r="M17" s="143"/>
      <c r="N17" s="20"/>
    </row>
    <row r="18" spans="2:14" s="22" customFormat="1" ht="15.75" customHeight="1">
      <c r="B18" s="276">
        <v>2021</v>
      </c>
      <c r="C18" s="247">
        <v>771960</v>
      </c>
      <c r="D18" s="144">
        <f t="shared" si="0"/>
        <v>0.36416650762347058</v>
      </c>
      <c r="E18" s="247">
        <v>2341186.7386500002</v>
      </c>
      <c r="F18" s="144">
        <f>(E18/E17-1)</f>
        <v>-0.16026497582942922</v>
      </c>
      <c r="G18" s="247">
        <f>C18+E18</f>
        <v>3113146.7386500002</v>
      </c>
      <c r="H18" s="144">
        <f>(G18/G17-1)</f>
        <v>-7.1780458488571286E-2</v>
      </c>
      <c r="I18" s="11"/>
      <c r="J18" s="499"/>
      <c r="K18" s="143"/>
      <c r="L18" s="20"/>
      <c r="M18" s="143"/>
      <c r="N18" s="20"/>
    </row>
    <row r="19" spans="2:14" s="22" customFormat="1" ht="15.75" customHeight="1">
      <c r="B19" s="276">
        <v>2022</v>
      </c>
      <c r="C19" s="247">
        <f>5902218.93270793/10</f>
        <v>590221.89327079302</v>
      </c>
      <c r="D19" s="144">
        <f t="shared" si="0"/>
        <v>-0.23542425349656326</v>
      </c>
      <c r="E19" s="247">
        <f>'36'!G19</f>
        <v>2424229.4229299999</v>
      </c>
      <c r="F19" s="144">
        <f>(E19/E18-1)</f>
        <v>3.547033771765018E-2</v>
      </c>
      <c r="G19" s="247">
        <f>C19+E19</f>
        <v>3014451.3162007928</v>
      </c>
      <c r="H19" s="144">
        <f t="shared" si="3"/>
        <v>-3.1702785231384922E-2</v>
      </c>
      <c r="I19" s="11"/>
      <c r="J19" s="499"/>
      <c r="K19" s="143"/>
      <c r="L19" s="20"/>
      <c r="M19" s="143"/>
      <c r="N19" s="20"/>
    </row>
    <row r="20" spans="2:14" s="22" customFormat="1" ht="15.75" customHeight="1">
      <c r="B20" s="276">
        <v>2023</v>
      </c>
      <c r="C20" s="247">
        <v>523562.41260281269</v>
      </c>
      <c r="D20" s="144">
        <f t="shared" si="0"/>
        <v>-0.11293969510107116</v>
      </c>
      <c r="E20" s="247">
        <f>'36'!H19</f>
        <v>2338272.3082399997</v>
      </c>
      <c r="F20" s="144">
        <f>(E20/E19-1)</f>
        <v>-3.5457499969664519E-2</v>
      </c>
      <c r="G20" s="247">
        <f>C20+E20</f>
        <v>2861834.7208428122</v>
      </c>
      <c r="H20" s="144">
        <f t="shared" si="3"/>
        <v>-5.0628316515765825E-2</v>
      </c>
      <c r="I20" s="11"/>
      <c r="J20" s="499"/>
      <c r="K20" s="143"/>
      <c r="L20" s="20"/>
      <c r="M20" s="143"/>
      <c r="N20" s="20"/>
    </row>
    <row r="21" spans="2:14" s="22" customFormat="1" ht="32.9" customHeight="1">
      <c r="B21" s="860" t="s">
        <v>474</v>
      </c>
      <c r="C21" s="861"/>
      <c r="D21" s="861"/>
      <c r="E21" s="861"/>
      <c r="F21" s="861"/>
      <c r="G21" s="861"/>
      <c r="H21" s="862"/>
      <c r="I21" s="20"/>
      <c r="J21" s="20"/>
      <c r="K21" s="20"/>
      <c r="L21" s="20"/>
      <c r="M21" s="20"/>
      <c r="N21" s="20"/>
    </row>
    <row r="22" spans="2:14" s="22" customFormat="1" ht="18" customHeight="1">
      <c r="B22" s="866"/>
      <c r="C22" s="866"/>
      <c r="D22" s="866"/>
      <c r="E22" s="866"/>
      <c r="F22" s="866"/>
      <c r="G22" s="866"/>
      <c r="H22" s="866"/>
      <c r="I22" s="20"/>
      <c r="J22" s="20"/>
      <c r="K22" s="20"/>
      <c r="L22" s="20"/>
      <c r="M22" s="20"/>
      <c r="N22" s="20"/>
    </row>
    <row r="23" spans="2:14" ht="12.8" customHeight="1">
      <c r="N23" s="21"/>
    </row>
    <row r="24" spans="2:14" ht="12.8" customHeight="1">
      <c r="N24" s="21"/>
    </row>
    <row r="25" spans="2:14" ht="12.8" customHeight="1">
      <c r="N25" s="21"/>
    </row>
    <row r="26" spans="2:14" ht="12.8" customHeight="1">
      <c r="N26" s="21"/>
    </row>
    <row r="27" spans="2:14" ht="12.8" customHeight="1"/>
    <row r="28" spans="2:14" ht="12.8" customHeight="1"/>
    <row r="29" spans="2:14" ht="12.8" customHeight="1"/>
    <row r="30" spans="2:14" ht="12.8" customHeight="1"/>
    <row r="31" spans="2:14" ht="12.8" customHeight="1">
      <c r="H31" s="10"/>
    </row>
    <row r="32" spans="2:14" ht="12.8" customHeight="1">
      <c r="H32" s="11"/>
      <c r="K32" s="145"/>
    </row>
    <row r="33" spans="11:11" ht="12.8" customHeight="1">
      <c r="K33" s="145"/>
    </row>
    <row r="34" spans="11:11" ht="12.8" customHeight="1">
      <c r="K34" s="145"/>
    </row>
    <row r="35" spans="11:11" ht="12.8" customHeight="1"/>
    <row r="36" spans="11:11" ht="12.8" customHeight="1"/>
    <row r="37" spans="11:11" ht="12.8" customHeight="1"/>
    <row r="38" spans="11:11" ht="12.8" customHeight="1"/>
    <row r="39" spans="11:11" ht="12.8" customHeight="1"/>
    <row r="40" spans="11:11" ht="12.8" customHeight="1"/>
    <row r="41" spans="11:11" ht="12.8" customHeight="1"/>
  </sheetData>
  <mergeCells count="6">
    <mergeCell ref="B22:H22"/>
    <mergeCell ref="B1:H1"/>
    <mergeCell ref="B3:H3"/>
    <mergeCell ref="B4:H4"/>
    <mergeCell ref="B5:H5"/>
    <mergeCell ref="B21:H21"/>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G18:G20"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pageSetUpPr fitToPage="1"/>
  </sheetPr>
  <dimension ref="A1:K48"/>
  <sheetViews>
    <sheetView topLeftCell="A13" zoomScaleNormal="100" workbookViewId="0">
      <selection activeCell="I13" sqref="I13"/>
    </sheetView>
  </sheetViews>
  <sheetFormatPr baseColWidth="10" defaultColWidth="10.9140625" defaultRowHeight="17.7"/>
  <cols>
    <col min="1" max="1" width="1.33203125" style="1" customWidth="1"/>
    <col min="2" max="2" width="6.83203125" bestFit="1" customWidth="1"/>
    <col min="3" max="6" width="9.33203125" customWidth="1"/>
    <col min="7" max="8" width="9.33203125" style="1" customWidth="1"/>
    <col min="9" max="9" width="7.9140625" style="1" customWidth="1"/>
    <col min="10" max="10" width="8.9140625" style="1" customWidth="1"/>
    <col min="11" max="11" width="7.9140625" style="1" customWidth="1"/>
    <col min="12" max="16384" width="10.9140625" style="1"/>
  </cols>
  <sheetData>
    <row r="1" spans="1:11" s="15" customFormat="1" ht="16.55" customHeight="1">
      <c r="B1" s="791" t="s">
        <v>202</v>
      </c>
      <c r="C1" s="791"/>
      <c r="D1" s="791"/>
      <c r="E1" s="791"/>
      <c r="F1" s="791"/>
      <c r="G1" s="791"/>
      <c r="H1" s="791"/>
      <c r="I1" s="791"/>
    </row>
    <row r="2" spans="1:11" s="15" customFormat="1" ht="11.3" customHeight="1">
      <c r="A2" s="17"/>
      <c r="B2" s="17"/>
      <c r="C2" s="17"/>
      <c r="D2" s="17"/>
      <c r="E2" s="16"/>
      <c r="F2" s="380"/>
      <c r="G2" s="23"/>
      <c r="H2" s="23"/>
    </row>
    <row r="3" spans="1:11" s="15" customFormat="1" ht="15.75" customHeight="1">
      <c r="B3" s="791" t="s">
        <v>475</v>
      </c>
      <c r="C3" s="791"/>
      <c r="D3" s="791"/>
      <c r="E3" s="791"/>
      <c r="F3" s="791"/>
      <c r="G3" s="791"/>
      <c r="H3" s="791"/>
      <c r="I3" s="791"/>
    </row>
    <row r="4" spans="1:11" s="15" customFormat="1" ht="15.75" customHeight="1">
      <c r="B4" s="867" t="s">
        <v>718</v>
      </c>
      <c r="C4" s="867"/>
      <c r="D4" s="867"/>
      <c r="E4" s="867"/>
      <c r="F4" s="867"/>
      <c r="G4" s="867"/>
      <c r="H4" s="867"/>
      <c r="I4" s="867"/>
    </row>
    <row r="5" spans="1:11" s="15" customFormat="1" ht="15.75" customHeight="1">
      <c r="B5" s="808" t="s">
        <v>471</v>
      </c>
      <c r="C5" s="808"/>
      <c r="D5" s="808"/>
      <c r="E5" s="808"/>
      <c r="F5" s="808"/>
      <c r="G5" s="808"/>
      <c r="H5" s="808"/>
      <c r="I5" s="808"/>
    </row>
    <row r="6" spans="1:11" s="22" customFormat="1" ht="15.75" customHeight="1">
      <c r="B6" s="124" t="s">
        <v>476</v>
      </c>
      <c r="C6" s="147">
        <v>2018</v>
      </c>
      <c r="D6" s="147">
        <v>2019</v>
      </c>
      <c r="E6" s="147">
        <v>2020</v>
      </c>
      <c r="F6" s="194">
        <v>2021</v>
      </c>
      <c r="G6" s="194">
        <v>2022</v>
      </c>
      <c r="H6" s="194">
        <v>2023</v>
      </c>
      <c r="I6" s="194">
        <v>2024</v>
      </c>
      <c r="J6" s="92"/>
      <c r="K6" s="92"/>
    </row>
    <row r="7" spans="1:11" s="22" customFormat="1" ht="28.15" customHeight="1">
      <c r="B7" s="51" t="s">
        <v>212</v>
      </c>
      <c r="C7" s="65">
        <v>178988.753</v>
      </c>
      <c r="D7" s="65">
        <v>210065</v>
      </c>
      <c r="E7" s="65">
        <v>189863.11424</v>
      </c>
      <c r="F7" s="280">
        <v>169319.18</v>
      </c>
      <c r="G7" s="280">
        <v>166933.17013000001</v>
      </c>
      <c r="H7" s="280">
        <v>93485.99136</v>
      </c>
      <c r="I7" s="280">
        <v>222409.18711000003</v>
      </c>
      <c r="J7" s="11"/>
      <c r="K7" s="11"/>
    </row>
    <row r="8" spans="1:11" s="22" customFormat="1" ht="15.75" customHeight="1">
      <c r="B8" s="51" t="s">
        <v>213</v>
      </c>
      <c r="C8" s="65">
        <v>116325.951</v>
      </c>
      <c r="D8" s="65">
        <v>298256.8</v>
      </c>
      <c r="E8" s="65">
        <v>210122.08674999996</v>
      </c>
      <c r="F8" s="280">
        <v>228790.80032999997</v>
      </c>
      <c r="G8" s="280">
        <v>152294.36619</v>
      </c>
      <c r="H8" s="280">
        <v>220660.49992000003</v>
      </c>
      <c r="I8" s="280">
        <v>197207.28566999998</v>
      </c>
      <c r="J8" s="11"/>
    </row>
    <row r="9" spans="1:11" s="22" customFormat="1" ht="15.75" customHeight="1">
      <c r="B9" s="51" t="s">
        <v>214</v>
      </c>
      <c r="C9" s="65">
        <v>157653.57500000001</v>
      </c>
      <c r="D9" s="65">
        <v>120993</v>
      </c>
      <c r="E9" s="65">
        <v>236367.36278</v>
      </c>
      <c r="F9" s="280">
        <v>169998.05799999999</v>
      </c>
      <c r="G9" s="280">
        <v>134324.87856000001</v>
      </c>
      <c r="H9" s="280">
        <v>280541.33685000002</v>
      </c>
      <c r="I9" s="280">
        <v>198992.61025999999</v>
      </c>
      <c r="J9" s="193"/>
      <c r="K9" s="193"/>
    </row>
    <row r="10" spans="1:11" s="22" customFormat="1" ht="15.75" customHeight="1">
      <c r="B10" s="51" t="s">
        <v>215</v>
      </c>
      <c r="C10" s="65">
        <v>44290.14</v>
      </c>
      <c r="D10" s="65">
        <v>35949</v>
      </c>
      <c r="E10" s="65">
        <v>163687.78844</v>
      </c>
      <c r="F10" s="65">
        <v>124958.82113000001</v>
      </c>
      <c r="G10" s="280">
        <v>109000.40353999998</v>
      </c>
      <c r="H10" s="280">
        <v>132170.80716</v>
      </c>
      <c r="I10" s="280">
        <v>134060.05551999999</v>
      </c>
    </row>
    <row r="11" spans="1:11" s="22" customFormat="1" ht="15.75" customHeight="1">
      <c r="B11" s="51" t="s">
        <v>216</v>
      </c>
      <c r="C11" s="65">
        <v>73076.376999999993</v>
      </c>
      <c r="D11" s="65">
        <v>156074</v>
      </c>
      <c r="E11" s="65">
        <v>154544.45334000001</v>
      </c>
      <c r="F11" s="44">
        <v>137570.77900000001</v>
      </c>
      <c r="G11" s="280">
        <v>256508.59538999994</v>
      </c>
      <c r="H11" s="280">
        <v>152922.49033999999</v>
      </c>
      <c r="I11" s="280">
        <v>140056.35678</v>
      </c>
      <c r="J11" s="225"/>
      <c r="K11" s="92"/>
    </row>
    <row r="12" spans="1:11" s="22" customFormat="1" ht="15.75" customHeight="1">
      <c r="B12" s="51" t="s">
        <v>217</v>
      </c>
      <c r="C12" s="65">
        <v>170531.42981</v>
      </c>
      <c r="D12" s="65">
        <v>132890.9</v>
      </c>
      <c r="E12" s="65">
        <v>176351.1024</v>
      </c>
      <c r="F12" s="44">
        <v>157439.008</v>
      </c>
      <c r="G12" s="280">
        <v>261464.76532999999</v>
      </c>
      <c r="H12" s="280">
        <v>95084.19114000001</v>
      </c>
      <c r="I12" s="280">
        <v>190331.70991999996</v>
      </c>
      <c r="J12" s="92"/>
      <c r="K12" s="11"/>
    </row>
    <row r="13" spans="1:11" s="22" customFormat="1" ht="15.75" customHeight="1">
      <c r="B13" s="51" t="s">
        <v>218</v>
      </c>
      <c r="C13" s="65">
        <v>252816.71930000003</v>
      </c>
      <c r="D13" s="65">
        <v>260760</v>
      </c>
      <c r="E13" s="65">
        <v>314078.46445999999</v>
      </c>
      <c r="F13" s="44">
        <v>169547.18582999997</v>
      </c>
      <c r="G13" s="280">
        <v>166119.04785</v>
      </c>
      <c r="H13" s="280">
        <v>209258.77609</v>
      </c>
      <c r="I13" s="280">
        <v>272799.30929999996</v>
      </c>
    </row>
    <row r="14" spans="1:11" s="22" customFormat="1" ht="15.75" customHeight="1">
      <c r="B14" s="51" t="s">
        <v>219</v>
      </c>
      <c r="C14" s="65">
        <v>176338.86595999997</v>
      </c>
      <c r="D14" s="65">
        <v>211372</v>
      </c>
      <c r="E14" s="65">
        <v>320739.91644</v>
      </c>
      <c r="F14" s="44">
        <v>176857.652</v>
      </c>
      <c r="G14" s="280">
        <v>245864.79235999999</v>
      </c>
      <c r="H14" s="280">
        <v>225297.64019999999</v>
      </c>
      <c r="I14" s="280"/>
      <c r="J14" s="225"/>
    </row>
    <row r="15" spans="1:11" s="22" customFormat="1" ht="15.75" customHeight="1">
      <c r="B15" s="51" t="s">
        <v>220</v>
      </c>
      <c r="C15" s="65">
        <v>152839.46731000001</v>
      </c>
      <c r="D15" s="65">
        <v>225844</v>
      </c>
      <c r="E15" s="65">
        <v>269826.26050999999</v>
      </c>
      <c r="F15" s="44">
        <v>245239.02699000001</v>
      </c>
      <c r="G15" s="280">
        <v>212644.24451000002</v>
      </c>
      <c r="H15" s="280">
        <v>210694.35898999998</v>
      </c>
      <c r="I15" s="280"/>
      <c r="J15" s="92"/>
      <c r="K15" s="92"/>
    </row>
    <row r="16" spans="1:11" s="22" customFormat="1" ht="15.75" customHeight="1">
      <c r="B16" s="51" t="s">
        <v>221</v>
      </c>
      <c r="C16" s="65">
        <v>301372.16352</v>
      </c>
      <c r="D16" s="65">
        <v>231780</v>
      </c>
      <c r="E16" s="65">
        <v>349715.25824</v>
      </c>
      <c r="F16" s="44">
        <v>285503.50107</v>
      </c>
      <c r="G16" s="280">
        <v>204561.26246999996</v>
      </c>
      <c r="H16" s="280">
        <v>240687.17243999999</v>
      </c>
      <c r="I16" s="280"/>
    </row>
    <row r="17" spans="2:11" s="22" customFormat="1" ht="15.75" customHeight="1">
      <c r="B17" s="51" t="s">
        <v>206</v>
      </c>
      <c r="C17" s="65">
        <v>80243.48517</v>
      </c>
      <c r="D17" s="65">
        <v>214971</v>
      </c>
      <c r="E17" s="65">
        <v>211944.91768000001</v>
      </c>
      <c r="F17" s="44">
        <v>251377.48130000001</v>
      </c>
      <c r="G17" s="44">
        <v>251197.68708999999</v>
      </c>
      <c r="H17" s="44">
        <v>179170.22582999998</v>
      </c>
      <c r="I17" s="44"/>
      <c r="J17" s="92"/>
    </row>
    <row r="18" spans="2:11" s="22" customFormat="1" ht="15.75" customHeight="1">
      <c r="B18" s="51" t="s">
        <v>207</v>
      </c>
      <c r="C18" s="65">
        <v>214009.261</v>
      </c>
      <c r="D18" s="65">
        <v>267752</v>
      </c>
      <c r="E18" s="65">
        <v>190765.81400000001</v>
      </c>
      <c r="F18" s="44">
        <v>224585.245</v>
      </c>
      <c r="G18" s="44">
        <v>263316.20950999996</v>
      </c>
      <c r="H18" s="44">
        <v>298298.81791999988</v>
      </c>
      <c r="I18" s="44"/>
    </row>
    <row r="19" spans="2:11" s="22" customFormat="1" ht="15.75" customHeight="1">
      <c r="B19" s="51" t="s">
        <v>208</v>
      </c>
      <c r="C19" s="44">
        <v>1918486.1880699999</v>
      </c>
      <c r="D19" s="44">
        <v>2366707.7000000002</v>
      </c>
      <c r="E19" s="44">
        <v>2788006.5392800001</v>
      </c>
      <c r="F19" s="44">
        <v>2341186.7386499997</v>
      </c>
      <c r="G19" s="44">
        <f>SUM(G7:G18)</f>
        <v>2424229.4229299999</v>
      </c>
      <c r="H19" s="44">
        <f>SUM(H7:H18)</f>
        <v>2338272.3082399997</v>
      </c>
      <c r="I19" s="44">
        <f>SUM(I7:I18)</f>
        <v>1355856.51456</v>
      </c>
      <c r="J19" s="225"/>
      <c r="K19" s="225"/>
    </row>
    <row r="20" spans="2:11" ht="19" customHeight="1">
      <c r="B20" s="860" t="s">
        <v>477</v>
      </c>
      <c r="C20" s="861"/>
      <c r="D20" s="861"/>
      <c r="E20" s="861"/>
      <c r="F20" s="861"/>
      <c r="G20" s="861"/>
      <c r="H20" s="861"/>
      <c r="I20" s="862"/>
      <c r="J20" s="12"/>
    </row>
    <row r="21" spans="2:11" ht="19" customHeight="1">
      <c r="B21" s="151"/>
      <c r="C21" s="151"/>
      <c r="D21" s="151"/>
      <c r="E21" s="151"/>
      <c r="F21" s="151"/>
      <c r="G21" s="151"/>
      <c r="H21" s="151"/>
      <c r="I21" s="11"/>
      <c r="J21" s="12" t="s">
        <v>97</v>
      </c>
    </row>
    <row r="22" spans="2:11" ht="11.8">
      <c r="B22" s="1"/>
      <c r="C22" s="1"/>
      <c r="D22" s="1"/>
      <c r="E22" s="1"/>
      <c r="F22" s="1"/>
      <c r="J22" s="1" t="s">
        <v>97</v>
      </c>
    </row>
    <row r="23" spans="2:11" ht="11.95" customHeight="1">
      <c r="B23" s="1"/>
      <c r="C23" s="1"/>
      <c r="D23" s="1"/>
      <c r="E23" s="1"/>
      <c r="F23" s="1"/>
    </row>
    <row r="24" spans="2:11" ht="11.8">
      <c r="B24" s="1"/>
      <c r="C24" s="1"/>
      <c r="D24" s="1"/>
      <c r="E24" s="1"/>
      <c r="F24" s="1"/>
    </row>
    <row r="25" spans="2:11" ht="11.8">
      <c r="B25" s="1"/>
      <c r="C25" s="1"/>
      <c r="D25" s="1"/>
      <c r="E25" s="1"/>
      <c r="F25" s="1"/>
    </row>
    <row r="26" spans="2:11" ht="11.8">
      <c r="B26" s="1"/>
      <c r="C26" s="1"/>
      <c r="D26" s="1"/>
      <c r="E26" s="1"/>
      <c r="F26" s="1"/>
    </row>
    <row r="27" spans="2:11" ht="11.8">
      <c r="B27" s="1"/>
      <c r="C27" s="1"/>
      <c r="D27" s="1"/>
      <c r="E27" s="1"/>
      <c r="F27" s="1"/>
    </row>
    <row r="28" spans="2:11" ht="11.8">
      <c r="B28" s="1"/>
      <c r="C28" s="1"/>
      <c r="D28" s="1"/>
      <c r="E28" s="1"/>
      <c r="F28" s="1"/>
    </row>
    <row r="29" spans="2:11" ht="11.8">
      <c r="B29" s="1"/>
      <c r="C29" s="1"/>
      <c r="D29" s="1"/>
      <c r="E29" s="1"/>
      <c r="F29" s="1"/>
    </row>
    <row r="30" spans="2:11" ht="11.8">
      <c r="B30" s="1"/>
      <c r="C30" s="1"/>
      <c r="D30" s="1"/>
      <c r="E30" s="1"/>
      <c r="F30" s="1"/>
    </row>
    <row r="31" spans="2:11" ht="11.8">
      <c r="B31" s="1"/>
      <c r="C31" s="1"/>
      <c r="D31" s="1"/>
      <c r="E31" s="1"/>
      <c r="F31" s="1"/>
    </row>
    <row r="32" spans="2:11" ht="11.8">
      <c r="B32" s="1"/>
      <c r="C32" s="1"/>
      <c r="D32" s="1"/>
      <c r="E32" s="1"/>
      <c r="F32" s="1"/>
    </row>
    <row r="33" spans="2:11" ht="11.8">
      <c r="B33" s="1"/>
      <c r="C33" s="1"/>
      <c r="D33" s="1"/>
      <c r="E33" s="1"/>
      <c r="F33" s="1"/>
    </row>
    <row r="34" spans="2:11" ht="11.8">
      <c r="B34" s="1"/>
      <c r="C34" s="1"/>
      <c r="D34" s="1"/>
      <c r="E34" s="1"/>
      <c r="F34" s="1"/>
    </row>
    <row r="35" spans="2:11" ht="11.8">
      <c r="B35" s="1"/>
      <c r="C35" s="1"/>
      <c r="D35" s="1"/>
      <c r="E35" s="1"/>
      <c r="F35" s="1"/>
    </row>
    <row r="36" spans="2:11" ht="11.8">
      <c r="B36" s="1"/>
      <c r="C36" s="1"/>
      <c r="D36" s="1"/>
      <c r="E36" s="1"/>
      <c r="F36" s="1"/>
    </row>
    <row r="37" spans="2:11" ht="11.8">
      <c r="B37" s="1"/>
      <c r="C37" s="1"/>
      <c r="D37" s="1"/>
      <c r="E37" s="1"/>
      <c r="F37" s="1"/>
    </row>
    <row r="38" spans="2:11" ht="11.8">
      <c r="B38" s="1"/>
      <c r="C38" s="1"/>
      <c r="D38" s="1"/>
      <c r="E38" s="1"/>
      <c r="F38" s="1"/>
    </row>
    <row r="39" spans="2:11" ht="44.2" customHeight="1">
      <c r="B39" s="1"/>
      <c r="C39" s="1"/>
      <c r="D39" s="1"/>
      <c r="E39" s="1"/>
      <c r="F39" s="1"/>
      <c r="J39" s="12"/>
      <c r="K39" s="12"/>
    </row>
    <row r="40" spans="2:11" ht="11.8">
      <c r="B40" s="1"/>
      <c r="C40" s="1"/>
      <c r="D40" s="1"/>
      <c r="E40" s="1"/>
      <c r="F40" s="1"/>
    </row>
    <row r="41" spans="2:11" ht="11.8">
      <c r="B41" s="1"/>
      <c r="C41" s="1"/>
      <c r="D41" s="1"/>
      <c r="E41" s="1"/>
      <c r="F41" s="1"/>
    </row>
    <row r="42" spans="2:11" ht="11.8">
      <c r="B42" s="1"/>
      <c r="C42" s="1"/>
      <c r="D42" s="1"/>
      <c r="E42" s="1"/>
      <c r="F42" s="1"/>
    </row>
    <row r="43" spans="2:11" ht="11.8">
      <c r="B43" s="1"/>
      <c r="C43" s="1"/>
      <c r="D43" s="1"/>
      <c r="E43" s="1"/>
      <c r="F43" s="1"/>
    </row>
    <row r="44" spans="2:11" ht="5.25" customHeight="1">
      <c r="G44" s="146"/>
      <c r="H44" s="146"/>
      <c r="I44" s="146"/>
    </row>
    <row r="45" spans="2:11" ht="11.8">
      <c r="B45" s="1"/>
      <c r="C45" s="1"/>
      <c r="D45" s="1"/>
      <c r="E45" s="1"/>
      <c r="F45" s="1"/>
    </row>
    <row r="48" spans="2:11" ht="18" customHeight="1">
      <c r="B48" s="1"/>
      <c r="C48" s="1"/>
      <c r="D48" s="1"/>
      <c r="E48" s="1"/>
      <c r="F48" s="1"/>
    </row>
  </sheetData>
  <mergeCells count="5">
    <mergeCell ref="B20:I20"/>
    <mergeCell ref="B1:I1"/>
    <mergeCell ref="B3:I3"/>
    <mergeCell ref="B4:I4"/>
    <mergeCell ref="B5:I5"/>
  </mergeCells>
  <printOptions horizontalCentered="1"/>
  <pageMargins left="0.55118110236220474" right="0.43307086614173229" top="1.299212598425197" bottom="0.78740157480314965" header="0.51181102362204722" footer="0.59055118110236227"/>
  <pageSetup paperSize="126" scale="85" firstPageNumber="0" orientation="portrait" r:id="rId1"/>
  <headerFooter alignWithMargins="0">
    <oddFooter>&amp;C&amp;10&amp;A</oddFooter>
  </headerFooter>
  <ignoredErrors>
    <ignoredError sqref="G19 H19:I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64"/>
  <sheetViews>
    <sheetView zoomScaleNormal="100" workbookViewId="0">
      <selection activeCell="I14" sqref="I14"/>
    </sheetView>
  </sheetViews>
  <sheetFormatPr baseColWidth="10" defaultColWidth="10.9140625" defaultRowHeight="11.8"/>
  <cols>
    <col min="1" max="1" width="1.75" style="1" customWidth="1"/>
    <col min="2" max="2" width="9.08203125" style="1" customWidth="1"/>
    <col min="3" max="5" width="10.25" style="1" customWidth="1"/>
    <col min="6" max="6" width="11.33203125" style="1" customWidth="1"/>
    <col min="7" max="7" width="10.25" style="1" customWidth="1"/>
    <col min="8" max="8" width="2.25" style="1" customWidth="1"/>
    <col min="9" max="9" width="4.33203125" style="1" customWidth="1"/>
    <col min="10" max="10" width="4.4140625" style="1" customWidth="1"/>
    <col min="11" max="11" width="4.75" style="1" bestFit="1" customWidth="1"/>
    <col min="12" max="13" width="4.33203125" style="1" customWidth="1"/>
    <col min="14" max="14" width="6.9140625" style="1" customWidth="1"/>
    <col min="15" max="16384" width="10.9140625" style="1"/>
  </cols>
  <sheetData>
    <row r="1" spans="2:18" s="15" customFormat="1" ht="13.1">
      <c r="B1" s="791" t="s">
        <v>89</v>
      </c>
      <c r="C1" s="791"/>
      <c r="D1" s="791"/>
      <c r="E1" s="791"/>
      <c r="F1" s="791"/>
      <c r="G1" s="791"/>
    </row>
    <row r="2" spans="2:18" s="15" customFormat="1" ht="13.1">
      <c r="B2" s="17"/>
      <c r="C2" s="17"/>
      <c r="D2" s="17"/>
      <c r="E2" s="17"/>
      <c r="F2" s="17"/>
      <c r="G2" s="17"/>
    </row>
    <row r="3" spans="2:18" s="15" customFormat="1" ht="13.75" customHeight="1">
      <c r="B3" s="807" t="s">
        <v>741</v>
      </c>
      <c r="C3" s="807"/>
      <c r="D3" s="807"/>
      <c r="E3" s="807"/>
      <c r="F3" s="807"/>
      <c r="G3" s="807"/>
    </row>
    <row r="4" spans="2:18" s="15" customFormat="1" ht="12.8" customHeight="1">
      <c r="B4" s="808" t="s">
        <v>90</v>
      </c>
      <c r="C4" s="808"/>
      <c r="D4" s="808"/>
      <c r="E4" s="808"/>
      <c r="F4" s="808"/>
      <c r="G4" s="808"/>
      <c r="H4" s="23"/>
    </row>
    <row r="5" spans="2:18" s="14" customFormat="1" ht="29.95" customHeight="1">
      <c r="B5" s="157" t="s">
        <v>91</v>
      </c>
      <c r="C5" s="100" t="s">
        <v>92</v>
      </c>
      <c r="D5" s="100" t="s">
        <v>93</v>
      </c>
      <c r="E5" s="100" t="s">
        <v>94</v>
      </c>
      <c r="F5" s="100" t="s">
        <v>95</v>
      </c>
      <c r="G5" s="100" t="s">
        <v>96</v>
      </c>
      <c r="H5" s="22"/>
      <c r="I5" s="15"/>
      <c r="J5" s="22"/>
      <c r="K5" s="22"/>
      <c r="L5" s="22"/>
      <c r="M5" s="22"/>
      <c r="N5" s="22"/>
      <c r="O5" s="22"/>
      <c r="P5" s="22"/>
      <c r="Q5" s="22"/>
      <c r="R5" s="22"/>
    </row>
    <row r="6" spans="2:18" s="14" customFormat="1" ht="15.75" customHeight="1">
      <c r="B6" s="525">
        <v>45413</v>
      </c>
      <c r="C6" s="32">
        <v>257.8</v>
      </c>
      <c r="D6" s="32">
        <v>798.19</v>
      </c>
      <c r="E6" s="32">
        <v>802.37</v>
      </c>
      <c r="F6" s="32">
        <v>216</v>
      </c>
      <c r="G6" s="32">
        <v>253.61</v>
      </c>
      <c r="H6" s="22"/>
      <c r="I6" s="26"/>
      <c r="J6" s="22"/>
      <c r="K6" s="72"/>
      <c r="L6" s="72"/>
      <c r="M6" s="72"/>
      <c r="N6" s="72"/>
      <c r="O6" s="803"/>
      <c r="P6" s="804"/>
      <c r="Q6" s="22"/>
      <c r="R6" s="22"/>
    </row>
    <row r="7" spans="2:18" s="14" customFormat="1" ht="15.75" customHeight="1">
      <c r="B7" s="525">
        <v>45444</v>
      </c>
      <c r="C7" s="533">
        <v>259.56</v>
      </c>
      <c r="D7" s="533">
        <v>790.75</v>
      </c>
      <c r="E7" s="533">
        <v>798.04</v>
      </c>
      <c r="F7" s="533">
        <v>212.81</v>
      </c>
      <c r="G7" s="533">
        <v>252.27</v>
      </c>
      <c r="H7" s="22"/>
      <c r="I7" s="26"/>
      <c r="J7" s="22"/>
      <c r="K7" s="22"/>
      <c r="L7" s="22"/>
      <c r="M7" s="22"/>
      <c r="N7" s="22"/>
      <c r="O7" s="22"/>
      <c r="P7" s="22"/>
      <c r="Q7" s="22"/>
      <c r="R7" s="22"/>
    </row>
    <row r="8" spans="2:18" s="14" customFormat="1" ht="15.75" customHeight="1">
      <c r="B8" s="525">
        <v>45474</v>
      </c>
      <c r="C8" s="32">
        <v>260.99</v>
      </c>
      <c r="D8" s="32">
        <v>796.19</v>
      </c>
      <c r="E8" s="32">
        <v>799.94</v>
      </c>
      <c r="F8" s="32">
        <v>212.89</v>
      </c>
      <c r="G8" s="32">
        <v>257.24</v>
      </c>
      <c r="H8" s="22"/>
      <c r="I8" s="22" t="s">
        <v>97</v>
      </c>
      <c r="J8" s="22"/>
      <c r="K8" s="22"/>
      <c r="L8" s="22"/>
      <c r="M8" s="22"/>
      <c r="N8" s="22"/>
      <c r="O8" s="22"/>
      <c r="P8" s="22"/>
      <c r="Q8" s="22"/>
      <c r="R8" s="22"/>
    </row>
    <row r="9" spans="2:18" s="14" customFormat="1" ht="15.75" customHeight="1">
      <c r="B9" s="525">
        <v>45505</v>
      </c>
      <c r="C9" s="32">
        <v>262.36</v>
      </c>
      <c r="D9" s="533">
        <v>798.28</v>
      </c>
      <c r="E9" s="533">
        <v>804.02</v>
      </c>
      <c r="F9" s="32">
        <v>214.86</v>
      </c>
      <c r="G9" s="32">
        <v>256.62</v>
      </c>
      <c r="H9" s="94"/>
      <c r="I9" s="91"/>
      <c r="J9" s="22"/>
      <c r="K9" s="26"/>
      <c r="L9" s="26"/>
      <c r="M9" s="22"/>
      <c r="N9" s="22"/>
      <c r="O9" s="22" t="s">
        <v>97</v>
      </c>
      <c r="P9" s="22"/>
      <c r="Q9" s="22"/>
      <c r="R9" s="22"/>
    </row>
    <row r="10" spans="2:18" s="14" customFormat="1" ht="15.75" customHeight="1">
      <c r="B10" s="525">
        <v>45536</v>
      </c>
      <c r="C10" s="32"/>
      <c r="D10" s="32"/>
      <c r="E10" s="32"/>
      <c r="F10" s="32"/>
      <c r="G10" s="32"/>
      <c r="H10" s="268"/>
      <c r="I10" s="26"/>
      <c r="J10" s="442"/>
      <c r="K10" s="22"/>
      <c r="L10" s="22"/>
      <c r="M10" s="22"/>
      <c r="N10" s="22"/>
      <c r="O10" s="22"/>
      <c r="P10" s="22"/>
      <c r="Q10" s="22"/>
      <c r="R10" s="22"/>
    </row>
    <row r="11" spans="2:18" s="14" customFormat="1" ht="15.75" customHeight="1">
      <c r="B11" s="525">
        <v>45566</v>
      </c>
      <c r="C11" s="533"/>
      <c r="D11" s="533"/>
      <c r="E11" s="32"/>
      <c r="F11" s="32"/>
      <c r="G11" s="32"/>
      <c r="H11" s="22"/>
      <c r="I11" s="26"/>
      <c r="J11" s="442"/>
      <c r="K11" s="22"/>
      <c r="L11" s="22"/>
      <c r="M11" s="22"/>
      <c r="N11" s="22"/>
      <c r="O11" s="22"/>
      <c r="P11" s="22"/>
      <c r="Q11" s="22"/>
      <c r="R11" s="22"/>
    </row>
    <row r="12" spans="2:18" s="14" customFormat="1" ht="15.75" customHeight="1">
      <c r="B12" s="525">
        <v>45597</v>
      </c>
      <c r="C12" s="583"/>
      <c r="D12" s="583"/>
      <c r="E12" s="583"/>
      <c r="F12" s="583"/>
      <c r="G12" s="583"/>
      <c r="H12" s="22"/>
      <c r="I12" s="26"/>
      <c r="J12" s="22"/>
      <c r="K12" s="22"/>
      <c r="L12" s="22"/>
      <c r="M12" s="22"/>
      <c r="N12" s="22"/>
      <c r="O12" s="22"/>
      <c r="P12" s="22"/>
      <c r="Q12" s="22"/>
      <c r="R12" s="22"/>
    </row>
    <row r="13" spans="2:18" s="14" customFormat="1" ht="15.75" customHeight="1">
      <c r="B13" s="525">
        <v>45627</v>
      </c>
      <c r="C13" s="583"/>
      <c r="D13" s="583"/>
      <c r="E13" s="583"/>
      <c r="F13" s="583"/>
      <c r="G13" s="682"/>
      <c r="H13" s="22"/>
      <c r="I13" s="443" t="s">
        <v>97</v>
      </c>
      <c r="J13" s="444"/>
      <c r="K13" s="444"/>
      <c r="L13" s="444"/>
      <c r="M13" s="444"/>
      <c r="N13" s="445"/>
      <c r="O13" s="445"/>
      <c r="P13" s="445"/>
      <c r="Q13" s="445"/>
      <c r="R13" s="445"/>
    </row>
    <row r="14" spans="2:18" s="14" customFormat="1" ht="15.75" customHeight="1">
      <c r="B14" s="525">
        <v>45658</v>
      </c>
      <c r="C14" s="583"/>
      <c r="D14" s="583"/>
      <c r="E14" s="583"/>
      <c r="F14" s="583"/>
      <c r="G14" s="583"/>
      <c r="H14" s="22"/>
      <c r="I14" s="443"/>
      <c r="J14" s="444"/>
      <c r="K14" s="444"/>
      <c r="L14" s="444"/>
      <c r="M14" s="444"/>
      <c r="N14" s="446"/>
      <c r="O14" s="22"/>
      <c r="P14" s="22"/>
      <c r="Q14" s="94"/>
      <c r="R14" s="22"/>
    </row>
    <row r="15" spans="2:18" s="14" customFormat="1" ht="15.75" customHeight="1">
      <c r="B15" s="525">
        <v>45689</v>
      </c>
      <c r="C15" s="533"/>
      <c r="D15" s="533"/>
      <c r="E15" s="32"/>
      <c r="F15" s="32"/>
      <c r="G15" s="32"/>
      <c r="H15" s="22"/>
      <c r="I15" s="26"/>
      <c r="J15" s="22"/>
      <c r="K15" s="22"/>
      <c r="L15" s="22"/>
      <c r="M15" s="22"/>
      <c r="N15" s="365"/>
      <c r="O15" s="22"/>
      <c r="P15" s="22"/>
      <c r="Q15" s="22"/>
      <c r="R15" s="22"/>
    </row>
    <row r="16" spans="2:18" s="14" customFormat="1" ht="15.75" customHeight="1">
      <c r="B16" s="525">
        <v>45717</v>
      </c>
      <c r="C16" s="32"/>
      <c r="D16" s="32"/>
      <c r="E16" s="32"/>
      <c r="F16" s="32"/>
      <c r="G16" s="533"/>
      <c r="H16" s="22"/>
      <c r="I16" s="26"/>
      <c r="J16" s="92"/>
      <c r="K16" s="442"/>
      <c r="L16" s="22"/>
      <c r="M16" s="22"/>
      <c r="N16" s="22"/>
      <c r="O16" s="22"/>
      <c r="P16" s="22"/>
      <c r="Q16" s="22"/>
      <c r="R16" s="22"/>
    </row>
    <row r="17" spans="2:16" s="14" customFormat="1" ht="15.75" customHeight="1">
      <c r="B17" s="525">
        <v>45748</v>
      </c>
      <c r="C17" s="640"/>
      <c r="D17" s="640"/>
      <c r="E17" s="640"/>
      <c r="F17" s="640"/>
      <c r="G17" s="640"/>
      <c r="H17" s="446"/>
      <c r="I17" s="69"/>
      <c r="J17" s="22"/>
      <c r="K17" s="22"/>
      <c r="L17" s="22"/>
      <c r="M17" s="22"/>
      <c r="N17" s="22"/>
      <c r="O17" s="22"/>
      <c r="P17" s="22"/>
    </row>
    <row r="18" spans="2:16" s="14" customFormat="1" ht="20.95" customHeight="1">
      <c r="B18" s="809" t="s">
        <v>98</v>
      </c>
      <c r="C18" s="809"/>
      <c r="D18" s="809"/>
      <c r="E18" s="809"/>
      <c r="F18" s="809"/>
      <c r="G18" s="809"/>
      <c r="H18" s="447"/>
      <c r="I18" s="22"/>
      <c r="J18" s="39"/>
      <c r="K18" s="22"/>
      <c r="L18" s="22"/>
      <c r="M18" s="22"/>
      <c r="N18" s="22"/>
      <c r="O18" s="22"/>
      <c r="P18" s="22"/>
    </row>
    <row r="19" spans="2:16" s="14" customFormat="1" ht="25.55" customHeight="1">
      <c r="B19" s="809"/>
      <c r="C19" s="809"/>
      <c r="D19" s="809"/>
      <c r="E19" s="809"/>
      <c r="F19" s="809"/>
      <c r="G19" s="809"/>
      <c r="H19" s="442"/>
      <c r="I19" s="69"/>
      <c r="J19" s="22"/>
      <c r="K19" s="22"/>
      <c r="L19" s="22"/>
      <c r="M19" s="22"/>
      <c r="N19" s="22"/>
      <c r="O19" s="22"/>
      <c r="P19" s="22"/>
    </row>
    <row r="21" spans="2:16" ht="16.55" customHeight="1">
      <c r="J21" s="39"/>
      <c r="K21" s="22"/>
      <c r="L21" s="22"/>
      <c r="M21" s="22"/>
      <c r="N21" s="22"/>
      <c r="O21" s="22"/>
    </row>
    <row r="22" spans="2:16" ht="12.45">
      <c r="J22" s="39"/>
      <c r="K22" s="22"/>
      <c r="L22" s="22"/>
      <c r="M22" s="22"/>
      <c r="N22" s="22"/>
      <c r="O22" s="22"/>
    </row>
    <row r="23" spans="2:16" ht="15.05" customHeight="1">
      <c r="H23" s="4"/>
      <c r="I23" s="87"/>
      <c r="J23" s="39"/>
      <c r="K23" s="22"/>
      <c r="L23" s="22"/>
      <c r="M23" s="22"/>
      <c r="N23" s="22"/>
      <c r="O23" s="22"/>
    </row>
    <row r="24" spans="2:16" ht="10" customHeight="1">
      <c r="H24" s="4"/>
      <c r="J24" s="39"/>
      <c r="K24" s="22"/>
      <c r="L24" s="22"/>
      <c r="M24" s="22"/>
      <c r="N24" s="22"/>
      <c r="O24" s="22"/>
    </row>
    <row r="25" spans="2:16" ht="15.05" customHeight="1">
      <c r="H25" s="87"/>
      <c r="J25" s="39"/>
      <c r="K25" s="22"/>
      <c r="L25" s="22"/>
      <c r="M25" s="22"/>
      <c r="N25" s="22"/>
      <c r="O25" s="22"/>
    </row>
    <row r="26" spans="2:16" ht="15.05" customHeight="1">
      <c r="H26" s="4"/>
      <c r="J26" s="39"/>
      <c r="K26" s="22"/>
      <c r="L26" s="22"/>
      <c r="M26" s="22"/>
      <c r="N26" s="22"/>
      <c r="O26" s="22"/>
    </row>
    <row r="27" spans="2:16" ht="15.05" customHeight="1">
      <c r="H27" s="4"/>
      <c r="J27" s="39"/>
      <c r="K27" s="22"/>
      <c r="L27" s="22"/>
      <c r="M27" s="22"/>
      <c r="N27" s="22"/>
      <c r="O27" s="22"/>
    </row>
    <row r="28" spans="2:16" ht="15.05" customHeight="1">
      <c r="H28" s="5"/>
      <c r="J28" s="39"/>
      <c r="K28" s="22"/>
      <c r="L28" s="26"/>
      <c r="M28" s="22"/>
      <c r="N28" s="22"/>
      <c r="O28" s="22"/>
    </row>
    <row r="29" spans="2:16" ht="15.05" customHeight="1">
      <c r="H29" s="5"/>
      <c r="J29" s="39"/>
      <c r="K29" s="22"/>
      <c r="L29" s="22"/>
      <c r="M29" s="22"/>
      <c r="N29" s="22"/>
      <c r="O29" s="22"/>
    </row>
    <row r="30" spans="2:16" ht="15.05" customHeight="1">
      <c r="H30" s="5"/>
      <c r="J30" s="39"/>
      <c r="K30" s="22"/>
      <c r="L30" s="26"/>
      <c r="M30" s="26"/>
      <c r="N30" s="26"/>
      <c r="O30" s="22"/>
    </row>
    <row r="31" spans="2:16" ht="15.05" customHeight="1">
      <c r="H31" s="5"/>
      <c r="J31" s="39"/>
      <c r="K31" s="22"/>
      <c r="L31" s="26"/>
      <c r="M31" s="26"/>
      <c r="N31" s="22"/>
      <c r="O31" s="22"/>
      <c r="P31" s="9"/>
    </row>
    <row r="32" spans="2:16" ht="15.05" customHeight="1">
      <c r="H32" s="5"/>
      <c r="N32" s="9"/>
    </row>
    <row r="33" spans="2:11" ht="15.05" customHeight="1">
      <c r="H33" s="5"/>
    </row>
    <row r="34" spans="2:11" ht="15.05" customHeight="1">
      <c r="H34" s="5"/>
    </row>
    <row r="35" spans="2:11" ht="15.05" customHeight="1">
      <c r="H35" s="5"/>
      <c r="K35" s="12"/>
    </row>
    <row r="36" spans="2:11" ht="13.75" customHeight="1">
      <c r="B36" s="1" t="s">
        <v>99</v>
      </c>
      <c r="H36" s="5"/>
    </row>
    <row r="37" spans="2:11">
      <c r="B37" s="6"/>
      <c r="C37" s="4"/>
      <c r="D37" s="4"/>
      <c r="E37" s="4"/>
      <c r="F37" s="4"/>
      <c r="G37" s="4"/>
    </row>
    <row r="38" spans="2:11" ht="14.1" customHeight="1">
      <c r="B38" s="806"/>
      <c r="C38" s="806"/>
      <c r="D38" s="806"/>
      <c r="E38" s="806"/>
      <c r="F38" s="806"/>
      <c r="G38" s="806"/>
    </row>
    <row r="40" spans="2:11" ht="15.55" customHeight="1">
      <c r="B40" s="805"/>
      <c r="C40" s="805"/>
      <c r="D40" s="805"/>
      <c r="E40" s="805"/>
      <c r="F40" s="805"/>
      <c r="G40" s="805"/>
    </row>
    <row r="41" spans="2:11" ht="17.7">
      <c r="B41"/>
    </row>
    <row r="42" spans="2:11" ht="17.7">
      <c r="B42"/>
    </row>
    <row r="43" spans="2:11" ht="17.7">
      <c r="B43"/>
    </row>
    <row r="44" spans="2:11" ht="17.7">
      <c r="B44"/>
    </row>
    <row r="45" spans="2:11" ht="17.7">
      <c r="B45"/>
    </row>
    <row r="46" spans="2:11" ht="17.7">
      <c r="B46"/>
    </row>
    <row r="47" spans="2:11" ht="17.7">
      <c r="B47"/>
    </row>
    <row r="48" spans="2:11" ht="17.7">
      <c r="B48"/>
    </row>
    <row r="49" spans="2:9" ht="17.7">
      <c r="B49"/>
    </row>
    <row r="50" spans="2:9" ht="17.7">
      <c r="B50"/>
    </row>
    <row r="51" spans="2:9" ht="17.7">
      <c r="B51"/>
    </row>
    <row r="52" spans="2:9" ht="17.7">
      <c r="B52"/>
    </row>
    <row r="53" spans="2:9" ht="17.7">
      <c r="B53"/>
      <c r="I53"/>
    </row>
    <row r="54" spans="2:9" ht="29.95" customHeight="1">
      <c r="B54" s="94"/>
      <c r="I54" s="94"/>
    </row>
    <row r="55" spans="2:9" ht="17.7">
      <c r="B55"/>
    </row>
    <row r="56" spans="2:9" ht="17.7">
      <c r="B56"/>
    </row>
    <row r="57" spans="2:9" ht="17.7">
      <c r="B57"/>
    </row>
    <row r="58" spans="2:9" ht="17.7">
      <c r="B58"/>
    </row>
    <row r="59" spans="2:9" ht="17.7">
      <c r="B59"/>
    </row>
    <row r="60" spans="2:9" ht="17.7">
      <c r="B60"/>
    </row>
    <row r="61" spans="2:9" ht="17.7">
      <c r="B61"/>
    </row>
    <row r="62" spans="2:9" ht="17.7">
      <c r="B62"/>
    </row>
    <row r="63" spans="2:9" ht="17.7">
      <c r="B63"/>
    </row>
    <row r="64" spans="2:9" ht="17.7">
      <c r="B64"/>
    </row>
  </sheetData>
  <customSheetViews>
    <customSheetView guid="{5CDC6F58-B038-4A0E-A13D-C643B013E119}" topLeftCell="A2">
      <selection activeCell="D39" sqref="D39"/>
      <pageMargins left="0" right="0" top="0" bottom="0" header="0" footer="0"/>
      <pageSetup orientation="portrait" r:id="rId1"/>
      <headerFooter>
        <oddFooter>&amp;C&amp;10&amp;A</oddFooter>
      </headerFooter>
    </customSheetView>
  </customSheetViews>
  <mergeCells count="8">
    <mergeCell ref="O6:P6"/>
    <mergeCell ref="B40:G40"/>
    <mergeCell ref="B38:G38"/>
    <mergeCell ref="B1:G1"/>
    <mergeCell ref="B3:G3"/>
    <mergeCell ref="B4:G4"/>
    <mergeCell ref="B18:G18"/>
    <mergeCell ref="B19:G19"/>
  </mergeCells>
  <pageMargins left="0.70866141732283472" right="0.70866141732283472" top="0.74803149606299213" bottom="0.74803149606299213" header="0.31496062992125984" footer="0.31496062992125984"/>
  <pageSetup paperSize="126" scale="99"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pageSetUpPr fitToPage="1"/>
  </sheetPr>
  <dimension ref="B1:AG40"/>
  <sheetViews>
    <sheetView topLeftCell="B1" zoomScale="90" zoomScaleNormal="90" zoomScalePageLayoutView="90" workbookViewId="0">
      <selection activeCell="T28" sqref="T28"/>
    </sheetView>
  </sheetViews>
  <sheetFormatPr baseColWidth="10" defaultColWidth="10.9140625" defaultRowHeight="11.8"/>
  <cols>
    <col min="1" max="1" width="1.5" style="515" customWidth="1"/>
    <col min="2" max="2" width="11.08203125" style="515" customWidth="1"/>
    <col min="3" max="3" width="7" style="515" customWidth="1"/>
    <col min="4" max="4" width="7.4140625" style="515" customWidth="1"/>
    <col min="5" max="6" width="6.4140625" style="515" customWidth="1"/>
    <col min="7" max="7" width="6" style="515" customWidth="1"/>
    <col min="8" max="8" width="6.1640625" style="515" customWidth="1"/>
    <col min="9" max="10" width="6" style="515" customWidth="1"/>
    <col min="11" max="11" width="5.4140625" style="515" customWidth="1"/>
    <col min="12" max="12" width="6" style="515" customWidth="1"/>
    <col min="13" max="14" width="6.1640625" style="515" customWidth="1"/>
    <col min="15" max="15" width="7.08203125" style="515" customWidth="1"/>
    <col min="16" max="17" width="7" style="515" customWidth="1"/>
    <col min="18" max="18" width="6.58203125" style="531" bestFit="1" customWidth="1"/>
    <col min="19" max="19" width="10.9140625" style="531" customWidth="1"/>
    <col min="20" max="23" width="10.9140625" style="339" customWidth="1"/>
    <col min="24" max="24" width="10.9140625" style="531" customWidth="1"/>
    <col min="25" max="33" width="10.9140625" style="531"/>
    <col min="34" max="16384" width="10.9140625" style="515"/>
  </cols>
  <sheetData>
    <row r="1" spans="2:33" s="512" customFormat="1" ht="13.1">
      <c r="B1" s="791" t="s">
        <v>209</v>
      </c>
      <c r="C1" s="791"/>
      <c r="D1" s="791"/>
      <c r="E1" s="791"/>
      <c r="F1" s="791"/>
      <c r="G1" s="791"/>
      <c r="H1" s="791"/>
      <c r="I1" s="791"/>
      <c r="J1" s="791"/>
      <c r="K1" s="791"/>
      <c r="L1" s="791"/>
      <c r="M1" s="791"/>
      <c r="N1" s="791"/>
      <c r="O1" s="791"/>
      <c r="P1" s="791"/>
      <c r="Q1" s="791"/>
      <c r="R1" s="791"/>
      <c r="S1" s="537"/>
      <c r="T1" s="282"/>
      <c r="U1" s="282"/>
      <c r="V1" s="282"/>
      <c r="W1" s="282"/>
      <c r="X1" s="537"/>
      <c r="Y1" s="537"/>
      <c r="Z1" s="537"/>
      <c r="AA1" s="537"/>
      <c r="AB1" s="537"/>
      <c r="AC1" s="537"/>
      <c r="AD1" s="537"/>
      <c r="AE1" s="537"/>
      <c r="AF1" s="537"/>
      <c r="AG1" s="537"/>
    </row>
    <row r="2" spans="2:33" s="512" customFormat="1" ht="17.7">
      <c r="B2" s="17"/>
      <c r="C2" s="17"/>
      <c r="D2" s="17"/>
      <c r="E2" s="17"/>
      <c r="F2" s="17"/>
      <c r="G2" s="17"/>
      <c r="H2" s="17"/>
      <c r="I2" s="17"/>
      <c r="J2" s="17"/>
      <c r="K2" s="17"/>
      <c r="L2" s="17"/>
      <c r="M2" s="17"/>
      <c r="N2" s="17"/>
      <c r="O2" s="23"/>
      <c r="P2" s="23"/>
      <c r="Q2" s="23"/>
      <c r="R2" s="566"/>
      <c r="S2" s="592"/>
      <c r="T2" s="505"/>
      <c r="U2" s="505"/>
      <c r="V2" s="711"/>
      <c r="W2" s="282"/>
      <c r="X2" s="537"/>
      <c r="Y2" s="537"/>
      <c r="Z2" s="537"/>
      <c r="AA2" s="537"/>
      <c r="AB2" s="537"/>
      <c r="AC2" s="537"/>
      <c r="AD2" s="537"/>
      <c r="AE2" s="537"/>
      <c r="AF2" s="537"/>
      <c r="AG2" s="537"/>
    </row>
    <row r="3" spans="2:33" s="512" customFormat="1" ht="13.1">
      <c r="B3" s="791" t="s">
        <v>478</v>
      </c>
      <c r="C3" s="791"/>
      <c r="D3" s="791"/>
      <c r="E3" s="791"/>
      <c r="F3" s="791"/>
      <c r="G3" s="791"/>
      <c r="H3" s="791"/>
      <c r="I3" s="791"/>
      <c r="J3" s="791"/>
      <c r="K3" s="791"/>
      <c r="L3" s="791"/>
      <c r="M3" s="791"/>
      <c r="N3" s="791"/>
      <c r="O3" s="791"/>
      <c r="P3" s="791"/>
      <c r="Q3" s="791"/>
      <c r="R3" s="791"/>
      <c r="S3" s="537"/>
      <c r="T3" s="282"/>
      <c r="U3" s="282"/>
      <c r="V3" s="282"/>
      <c r="W3" s="282"/>
      <c r="X3" s="537"/>
      <c r="Y3" s="537"/>
      <c r="Z3" s="537"/>
      <c r="AA3" s="537"/>
      <c r="AB3" s="537"/>
      <c r="AC3" s="537"/>
      <c r="AD3" s="537"/>
      <c r="AE3" s="537"/>
      <c r="AF3" s="537"/>
      <c r="AG3" s="537"/>
    </row>
    <row r="4" spans="2:33" s="512" customFormat="1" ht="13.1">
      <c r="B4" s="1008" t="s">
        <v>714</v>
      </c>
      <c r="C4" s="1008"/>
      <c r="D4" s="1008"/>
      <c r="E4" s="1008"/>
      <c r="F4" s="1008"/>
      <c r="G4" s="1008"/>
      <c r="H4" s="1008"/>
      <c r="I4" s="1008"/>
      <c r="J4" s="1008"/>
      <c r="K4" s="1008"/>
      <c r="L4" s="1008"/>
      <c r="M4" s="1008"/>
      <c r="N4" s="1008"/>
      <c r="O4" s="1008"/>
      <c r="P4" s="1008"/>
      <c r="Q4" s="1008"/>
      <c r="R4" s="1008"/>
      <c r="S4" s="537"/>
      <c r="T4" s="282"/>
      <c r="U4" s="282"/>
      <c r="V4" s="282"/>
      <c r="W4" s="282"/>
      <c r="X4" s="537"/>
      <c r="Y4" s="537"/>
      <c r="Z4" s="537"/>
      <c r="AA4" s="537"/>
      <c r="AB4" s="537"/>
      <c r="AC4" s="537"/>
      <c r="AD4" s="537"/>
      <c r="AE4" s="537"/>
      <c r="AF4" s="537"/>
      <c r="AG4" s="537"/>
    </row>
    <row r="5" spans="2:33" s="512" customFormat="1" ht="13.1">
      <c r="B5" s="1009" t="s">
        <v>471</v>
      </c>
      <c r="C5" s="1009"/>
      <c r="D5" s="1009"/>
      <c r="E5" s="1009"/>
      <c r="F5" s="1009"/>
      <c r="G5" s="1009"/>
      <c r="H5" s="1009"/>
      <c r="I5" s="1009"/>
      <c r="J5" s="1009"/>
      <c r="K5" s="1009"/>
      <c r="L5" s="1009"/>
      <c r="M5" s="1009"/>
      <c r="N5" s="1009"/>
      <c r="O5" s="1009"/>
      <c r="P5" s="1009"/>
      <c r="Q5" s="1009"/>
      <c r="R5" s="1009"/>
      <c r="S5" s="537"/>
      <c r="T5" s="282"/>
      <c r="U5" s="282"/>
      <c r="V5" s="282"/>
      <c r="W5" s="282"/>
      <c r="X5" s="537"/>
      <c r="Y5" s="537"/>
      <c r="Z5" s="537"/>
      <c r="AA5" s="537"/>
      <c r="AB5" s="537"/>
      <c r="AC5" s="537"/>
      <c r="AD5" s="537"/>
      <c r="AE5" s="537"/>
      <c r="AF5" s="537"/>
      <c r="AG5" s="537"/>
    </row>
    <row r="6" spans="2:33" s="513" customFormat="1" ht="15.75" customHeight="1">
      <c r="B6" s="1011" t="s">
        <v>479</v>
      </c>
      <c r="C6" s="1012" t="s">
        <v>118</v>
      </c>
      <c r="D6" s="1013"/>
      <c r="E6" s="1014"/>
      <c r="F6" s="703"/>
      <c r="G6" s="1012" t="s">
        <v>125</v>
      </c>
      <c r="H6" s="1013"/>
      <c r="I6" s="1014"/>
      <c r="J6" s="703"/>
      <c r="K6" s="1012" t="s">
        <v>480</v>
      </c>
      <c r="L6" s="1013"/>
      <c r="M6" s="1014"/>
      <c r="N6" s="703"/>
      <c r="O6" s="1012" t="s">
        <v>208</v>
      </c>
      <c r="P6" s="1013"/>
      <c r="Q6" s="1013"/>
      <c r="R6" s="1014"/>
      <c r="S6" s="343"/>
      <c r="T6" s="275"/>
      <c r="U6" s="275"/>
      <c r="V6" s="275"/>
      <c r="W6" s="275"/>
      <c r="X6" s="343"/>
      <c r="Y6" s="343"/>
      <c r="Z6" s="343"/>
      <c r="AA6" s="343"/>
      <c r="AB6" s="343"/>
      <c r="AC6" s="343"/>
      <c r="AD6" s="343"/>
      <c r="AE6" s="343"/>
      <c r="AF6" s="343"/>
      <c r="AG6" s="343"/>
    </row>
    <row r="7" spans="2:33" s="513" customFormat="1" ht="15.75" customHeight="1">
      <c r="B7" s="1011"/>
      <c r="C7" s="375">
        <v>2021</v>
      </c>
      <c r="D7" s="375">
        <v>2022</v>
      </c>
      <c r="E7" s="375">
        <v>2023</v>
      </c>
      <c r="F7" s="375">
        <v>2024</v>
      </c>
      <c r="G7" s="375">
        <v>2021</v>
      </c>
      <c r="H7" s="375">
        <v>2022</v>
      </c>
      <c r="I7" s="375">
        <v>2023</v>
      </c>
      <c r="J7" s="375">
        <v>2024</v>
      </c>
      <c r="K7" s="375">
        <v>2021</v>
      </c>
      <c r="L7" s="375">
        <v>2022</v>
      </c>
      <c r="M7" s="375">
        <v>2023</v>
      </c>
      <c r="N7" s="375">
        <v>2024</v>
      </c>
      <c r="O7" s="375">
        <v>2021</v>
      </c>
      <c r="P7" s="375">
        <v>2022</v>
      </c>
      <c r="Q7" s="375">
        <v>2023</v>
      </c>
      <c r="R7" s="375">
        <v>2024</v>
      </c>
      <c r="S7" s="343"/>
      <c r="T7" s="275"/>
      <c r="U7" s="275"/>
      <c r="V7" s="275"/>
      <c r="W7" s="275"/>
      <c r="X7" s="343"/>
      <c r="Y7" s="343"/>
      <c r="Z7" s="343"/>
      <c r="AA7" s="343"/>
      <c r="AB7" s="343"/>
      <c r="AC7" s="343"/>
      <c r="AD7" s="343"/>
      <c r="AE7" s="343"/>
      <c r="AF7" s="343"/>
      <c r="AG7" s="343"/>
    </row>
    <row r="8" spans="2:33" s="513" customFormat="1" ht="15.75" customHeight="1">
      <c r="B8" s="516" t="s">
        <v>212</v>
      </c>
      <c r="C8" s="517">
        <v>51019.17</v>
      </c>
      <c r="D8" s="517">
        <v>166462.09</v>
      </c>
      <c r="E8" s="517">
        <v>5976.66</v>
      </c>
      <c r="F8" s="517">
        <v>42574.43</v>
      </c>
      <c r="G8" s="517">
        <v>20.8</v>
      </c>
      <c r="H8" s="517">
        <v>82.841170000000005</v>
      </c>
      <c r="I8" s="517">
        <v>146.51235</v>
      </c>
      <c r="J8" s="517">
        <v>5.0008800000000004</v>
      </c>
      <c r="K8" s="517">
        <v>118254.86</v>
      </c>
      <c r="L8" s="517"/>
      <c r="M8" s="517">
        <v>87329.7</v>
      </c>
      <c r="N8" s="517">
        <v>174294.913</v>
      </c>
      <c r="O8" s="517">
        <v>169319.18</v>
      </c>
      <c r="P8" s="517">
        <v>166933.17012999998</v>
      </c>
      <c r="Q8" s="517">
        <v>93485.99136</v>
      </c>
      <c r="R8" s="517">
        <v>222409.18711000003</v>
      </c>
      <c r="S8" s="343"/>
      <c r="T8" s="275"/>
      <c r="U8" s="275"/>
      <c r="V8" s="275"/>
      <c r="W8" s="275"/>
      <c r="X8" s="343"/>
      <c r="Y8" s="343"/>
      <c r="Z8" s="343"/>
      <c r="AA8" s="343"/>
      <c r="AB8" s="343"/>
      <c r="AC8" s="343"/>
      <c r="AD8" s="343"/>
      <c r="AE8" s="343"/>
      <c r="AF8" s="343"/>
      <c r="AG8" s="343"/>
    </row>
    <row r="9" spans="2:33" s="513" customFormat="1" ht="15.75" customHeight="1">
      <c r="B9" s="516" t="s">
        <v>213</v>
      </c>
      <c r="C9" s="517">
        <v>59130.37</v>
      </c>
      <c r="D9" s="517">
        <v>151536.58625999998</v>
      </c>
      <c r="E9" s="517">
        <v>44998.49</v>
      </c>
      <c r="F9" s="517">
        <v>113100.91</v>
      </c>
      <c r="G9" s="517">
        <v>120126.537</v>
      </c>
      <c r="H9" s="517">
        <v>62.430039999999998</v>
      </c>
      <c r="I9" s="517">
        <v>61.688660000000006</v>
      </c>
      <c r="J9" s="517">
        <v>60</v>
      </c>
      <c r="K9" s="517">
        <v>49219.49</v>
      </c>
      <c r="L9" s="517"/>
      <c r="M9" s="517">
        <v>83075.202999999994</v>
      </c>
      <c r="N9" s="517">
        <v>83879.938999999998</v>
      </c>
      <c r="O9" s="517">
        <v>228790.80032999997</v>
      </c>
      <c r="P9" s="517">
        <v>152294.36619</v>
      </c>
      <c r="Q9" s="517">
        <v>220660.49992000003</v>
      </c>
      <c r="R9" s="517">
        <v>197207.28566999998</v>
      </c>
      <c r="S9" s="343"/>
      <c r="T9" s="275"/>
      <c r="U9" s="275"/>
      <c r="V9" s="275"/>
      <c r="W9" s="275"/>
      <c r="X9" s="343"/>
      <c r="Y9" s="343"/>
      <c r="Z9" s="343"/>
      <c r="AA9" s="343"/>
      <c r="AB9" s="343"/>
      <c r="AC9" s="343"/>
      <c r="AD9" s="343"/>
      <c r="AE9" s="343"/>
      <c r="AF9" s="343"/>
      <c r="AG9" s="343"/>
    </row>
    <row r="10" spans="2:33" s="513" customFormat="1" ht="15.75" customHeight="1">
      <c r="B10" s="516" t="s">
        <v>214</v>
      </c>
      <c r="C10" s="517">
        <v>57169.987000000001</v>
      </c>
      <c r="D10" s="517">
        <v>133513.89000000001</v>
      </c>
      <c r="E10" s="517">
        <v>124224.29</v>
      </c>
      <c r="F10" s="517">
        <v>190463.75</v>
      </c>
      <c r="G10" s="517">
        <v>105132.518</v>
      </c>
      <c r="H10" s="517"/>
      <c r="I10" s="517">
        <v>42.183999999999997</v>
      </c>
      <c r="J10" s="517"/>
      <c r="K10" s="517">
        <v>7584.2340000000004</v>
      </c>
      <c r="L10" s="517"/>
      <c r="M10" s="517">
        <v>123191.336</v>
      </c>
      <c r="N10" s="517">
        <v>8469.598</v>
      </c>
      <c r="O10" s="517">
        <v>169998.05799999999</v>
      </c>
      <c r="P10" s="517">
        <v>134324.87856000001</v>
      </c>
      <c r="Q10" s="517">
        <v>280541.33685000002</v>
      </c>
      <c r="R10" s="517">
        <v>198992.61025999999</v>
      </c>
      <c r="S10" s="343"/>
      <c r="T10" s="275" t="s">
        <v>118</v>
      </c>
      <c r="U10" s="275" t="s">
        <v>481</v>
      </c>
      <c r="V10" s="275" t="s">
        <v>480</v>
      </c>
      <c r="W10" s="275" t="s">
        <v>210</v>
      </c>
      <c r="X10" s="343"/>
      <c r="Y10" s="343"/>
      <c r="Z10" s="343"/>
      <c r="AA10" s="343"/>
      <c r="AB10" s="343"/>
      <c r="AC10" s="343"/>
      <c r="AD10" s="343"/>
      <c r="AE10" s="343"/>
      <c r="AF10" s="343"/>
      <c r="AG10" s="343"/>
    </row>
    <row r="11" spans="2:33" s="513" customFormat="1" ht="15.75" customHeight="1">
      <c r="B11" s="516" t="s">
        <v>215</v>
      </c>
      <c r="C11" s="517">
        <v>123896.69899999999</v>
      </c>
      <c r="D11" s="517">
        <v>108940.674</v>
      </c>
      <c r="E11" s="517">
        <v>124583.49</v>
      </c>
      <c r="F11" s="517">
        <v>131322.62471</v>
      </c>
      <c r="G11" s="517">
        <v>1000</v>
      </c>
      <c r="H11" s="517"/>
      <c r="I11" s="517">
        <v>7480.3702000000003</v>
      </c>
      <c r="J11" s="517">
        <v>71.532740000000004</v>
      </c>
      <c r="K11" s="517"/>
      <c r="L11" s="517"/>
      <c r="M11" s="517"/>
      <c r="N11" s="517">
        <v>54.07</v>
      </c>
      <c r="O11" s="517">
        <v>124958.82113000001</v>
      </c>
      <c r="P11" s="517">
        <v>109000.40353999998</v>
      </c>
      <c r="Q11" s="517">
        <v>132170.80716</v>
      </c>
      <c r="R11" s="517">
        <v>134060.05551999999</v>
      </c>
      <c r="S11" s="343"/>
      <c r="T11" s="712">
        <f>F21</f>
        <v>0.72681850834326678</v>
      </c>
      <c r="U11" s="713">
        <f>J21</f>
        <v>2.0703929728957881E-4</v>
      </c>
      <c r="V11" s="713">
        <f>N21</f>
        <v>0.19670113845825973</v>
      </c>
      <c r="W11" s="713">
        <f>100%-T11-U11-V11</f>
        <v>7.6273313901183887E-2</v>
      </c>
      <c r="X11" s="343"/>
      <c r="Y11" s="343"/>
      <c r="Z11" s="343"/>
      <c r="AA11" s="343"/>
      <c r="AB11" s="343"/>
      <c r="AC11" s="343"/>
      <c r="AD11" s="343"/>
      <c r="AE11" s="343"/>
      <c r="AF11" s="343"/>
      <c r="AG11" s="343"/>
    </row>
    <row r="12" spans="2:33" s="513" customFormat="1" ht="15.75" customHeight="1">
      <c r="B12" s="516" t="s">
        <v>216</v>
      </c>
      <c r="C12" s="517">
        <v>135667.22500000001</v>
      </c>
      <c r="D12" s="517">
        <v>256144.83687999999</v>
      </c>
      <c r="E12" s="517">
        <v>146393.51</v>
      </c>
      <c r="F12" s="517">
        <v>97251.720099999991</v>
      </c>
      <c r="G12" s="517">
        <v>84.369</v>
      </c>
      <c r="H12" s="517">
        <v>62.595999999999997</v>
      </c>
      <c r="I12" s="517">
        <v>2161.6361100000004</v>
      </c>
      <c r="J12" s="517"/>
      <c r="K12" s="517"/>
      <c r="L12" s="517"/>
      <c r="M12" s="517">
        <v>4223.46</v>
      </c>
      <c r="N12" s="517"/>
      <c r="O12" s="517">
        <v>137570.77900000001</v>
      </c>
      <c r="P12" s="517">
        <v>256508.59538999994</v>
      </c>
      <c r="Q12" s="517">
        <v>152922.49033999999</v>
      </c>
      <c r="R12" s="517">
        <v>140056.35678</v>
      </c>
      <c r="S12" s="343"/>
      <c r="T12" s="275" t="s">
        <v>97</v>
      </c>
      <c r="U12" s="275"/>
      <c r="V12" s="275"/>
      <c r="W12" s="275"/>
      <c r="X12" s="343"/>
      <c r="Y12" s="343"/>
      <c r="Z12" s="343"/>
      <c r="AA12" s="343"/>
      <c r="AB12" s="343"/>
      <c r="AC12" s="343"/>
      <c r="AD12" s="343"/>
      <c r="AE12" s="343"/>
      <c r="AF12" s="343"/>
      <c r="AG12" s="343"/>
    </row>
    <row r="13" spans="2:33" s="513" customFormat="1" ht="15.75" customHeight="1">
      <c r="B13" s="516" t="s">
        <v>217</v>
      </c>
      <c r="C13" s="517">
        <v>154370.228</v>
      </c>
      <c r="D13" s="517">
        <v>248938.62</v>
      </c>
      <c r="E13" s="517">
        <v>90556.002539999987</v>
      </c>
      <c r="F13" s="517">
        <v>144186.52262999999</v>
      </c>
      <c r="G13" s="517"/>
      <c r="H13" s="517">
        <v>42.184330000000003</v>
      </c>
      <c r="I13" s="517">
        <v>4500.0000600000003</v>
      </c>
      <c r="J13" s="517">
        <v>78.182140000000004</v>
      </c>
      <c r="K13" s="517"/>
      <c r="L13" s="517"/>
      <c r="M13" s="517"/>
      <c r="N13" s="517"/>
      <c r="O13" s="517">
        <v>157439.008</v>
      </c>
      <c r="P13" s="517">
        <v>261464.76532999999</v>
      </c>
      <c r="Q13" s="517">
        <v>95084.19114000001</v>
      </c>
      <c r="R13" s="517">
        <v>190331.70991999996</v>
      </c>
      <c r="S13" s="343"/>
      <c r="T13" s="275"/>
      <c r="U13" s="275"/>
      <c r="V13" s="275"/>
      <c r="W13" s="275"/>
      <c r="X13" s="343"/>
      <c r="Y13" s="343"/>
      <c r="Z13" s="343"/>
      <c r="AA13" s="343"/>
      <c r="AB13" s="343"/>
      <c r="AC13" s="343"/>
      <c r="AD13" s="343"/>
      <c r="AE13" s="343"/>
      <c r="AF13" s="343"/>
      <c r="AG13" s="343"/>
    </row>
    <row r="14" spans="2:33" s="513" customFormat="1" ht="15.75" customHeight="1">
      <c r="B14" s="516" t="s">
        <v>218</v>
      </c>
      <c r="C14" s="517">
        <v>167630.196</v>
      </c>
      <c r="D14" s="517">
        <v>165890.01999999999</v>
      </c>
      <c r="E14" s="517">
        <v>202728.86077999999</v>
      </c>
      <c r="F14" s="517">
        <v>266561.652</v>
      </c>
      <c r="G14" s="517">
        <v>42.185000000000002</v>
      </c>
      <c r="H14" s="517">
        <v>167.37759999999997</v>
      </c>
      <c r="I14" s="517">
        <v>6492.7627999999995</v>
      </c>
      <c r="J14" s="517">
        <v>65.999820000000014</v>
      </c>
      <c r="K14" s="517"/>
      <c r="L14" s="517"/>
      <c r="M14" s="517"/>
      <c r="N14" s="517"/>
      <c r="O14" s="517">
        <v>169547.18582999997</v>
      </c>
      <c r="P14" s="517">
        <v>166119.04785</v>
      </c>
      <c r="Q14" s="517">
        <v>209258.77609</v>
      </c>
      <c r="R14" s="517">
        <v>272799.30929999996</v>
      </c>
      <c r="S14" s="343"/>
      <c r="T14" s="275" t="s">
        <v>97</v>
      </c>
      <c r="U14" s="275"/>
      <c r="V14" s="275"/>
      <c r="W14" s="275"/>
      <c r="X14" s="343"/>
      <c r="Y14" s="343"/>
      <c r="Z14" s="343"/>
      <c r="AA14" s="343"/>
      <c r="AB14" s="343"/>
      <c r="AC14" s="343"/>
      <c r="AD14" s="343"/>
      <c r="AE14" s="343"/>
      <c r="AF14" s="343"/>
      <c r="AG14" s="343"/>
    </row>
    <row r="15" spans="2:33" s="513" customFormat="1" ht="15.75" customHeight="1">
      <c r="B15" s="516" t="s">
        <v>219</v>
      </c>
      <c r="C15" s="517">
        <v>175239.367</v>
      </c>
      <c r="D15" s="517">
        <v>211718.39799999999</v>
      </c>
      <c r="E15" s="517">
        <v>224899.39</v>
      </c>
      <c r="F15" s="517"/>
      <c r="G15" s="517">
        <v>41.731000000000002</v>
      </c>
      <c r="H15" s="517">
        <v>42.356880000000004</v>
      </c>
      <c r="I15" s="517"/>
      <c r="J15" s="517"/>
      <c r="K15" s="517"/>
      <c r="L15" s="517">
        <v>34027</v>
      </c>
      <c r="M15" s="517">
        <v>280</v>
      </c>
      <c r="N15" s="517"/>
      <c r="O15" s="517">
        <v>176857.652</v>
      </c>
      <c r="P15" s="517">
        <v>245864.79235999999</v>
      </c>
      <c r="Q15" s="517">
        <v>225297.64019999999</v>
      </c>
      <c r="R15" s="517"/>
      <c r="S15" s="343"/>
      <c r="T15" s="275"/>
      <c r="U15" s="275"/>
      <c r="V15" s="275"/>
      <c r="W15" s="275"/>
      <c r="X15" s="343"/>
      <c r="Y15" s="343"/>
      <c r="Z15" s="343"/>
      <c r="AA15" s="343"/>
      <c r="AB15" s="343"/>
      <c r="AC15" s="343"/>
      <c r="AD15" s="343"/>
      <c r="AE15" s="343"/>
      <c r="AF15" s="343"/>
      <c r="AG15" s="343"/>
    </row>
    <row r="16" spans="2:33" s="513" customFormat="1" ht="15.75" customHeight="1">
      <c r="B16" s="516" t="s">
        <v>220</v>
      </c>
      <c r="C16" s="517">
        <v>243003.389</v>
      </c>
      <c r="D16" s="517">
        <v>113075.77</v>
      </c>
      <c r="E16" s="517">
        <v>181800.1501</v>
      </c>
      <c r="F16" s="517"/>
      <c r="G16" s="517"/>
      <c r="H16" s="517">
        <v>84.367999999999995</v>
      </c>
      <c r="I16" s="517"/>
      <c r="J16" s="517"/>
      <c r="K16" s="517">
        <v>28</v>
      </c>
      <c r="L16" s="517">
        <v>97387.01</v>
      </c>
      <c r="M16" s="517">
        <v>28772</v>
      </c>
      <c r="N16" s="517"/>
      <c r="O16" s="517">
        <v>245239.02699000001</v>
      </c>
      <c r="P16" s="517">
        <v>212644.24451000002</v>
      </c>
      <c r="Q16" s="517">
        <v>210694.35898999998</v>
      </c>
      <c r="R16" s="517"/>
      <c r="S16" s="343" t="s">
        <v>97</v>
      </c>
      <c r="T16" s="275"/>
      <c r="U16" s="275"/>
      <c r="V16" s="275"/>
      <c r="W16" s="275"/>
      <c r="X16" s="343"/>
      <c r="Y16" s="343"/>
      <c r="Z16" s="343"/>
      <c r="AA16" s="343"/>
      <c r="AB16" s="343"/>
      <c r="AC16" s="343"/>
      <c r="AD16" s="343"/>
      <c r="AE16" s="343"/>
      <c r="AF16" s="343"/>
      <c r="AG16" s="343"/>
    </row>
    <row r="17" spans="2:33" s="513" customFormat="1" ht="15.75" customHeight="1">
      <c r="B17" s="516" t="s">
        <v>221</v>
      </c>
      <c r="C17" s="517">
        <v>282329.10600000003</v>
      </c>
      <c r="D17" s="517">
        <v>47442</v>
      </c>
      <c r="E17" s="517">
        <v>89837.760030000005</v>
      </c>
      <c r="F17" s="517"/>
      <c r="G17" s="517"/>
      <c r="H17" s="517">
        <v>42.470920000000007</v>
      </c>
      <c r="I17" s="517"/>
      <c r="J17" s="517"/>
      <c r="K17" s="517">
        <v>0</v>
      </c>
      <c r="L17" s="517">
        <v>156898.73000000001</v>
      </c>
      <c r="M17" s="517">
        <v>150624.435</v>
      </c>
      <c r="N17" s="517"/>
      <c r="O17" s="517">
        <v>285503.50107</v>
      </c>
      <c r="P17" s="517">
        <v>204561.26246999996</v>
      </c>
      <c r="Q17" s="517">
        <v>240687.17243999999</v>
      </c>
      <c r="R17" s="517"/>
      <c r="S17" s="343"/>
      <c r="T17" s="275"/>
      <c r="U17" s="275"/>
      <c r="V17" s="275"/>
      <c r="W17" s="275"/>
      <c r="X17" s="343"/>
      <c r="Y17" s="343"/>
      <c r="Z17" s="343"/>
      <c r="AA17" s="343"/>
      <c r="AB17" s="343"/>
      <c r="AC17" s="343"/>
      <c r="AD17" s="343"/>
      <c r="AE17" s="343"/>
      <c r="AF17" s="343"/>
      <c r="AG17" s="343"/>
    </row>
    <row r="18" spans="2:33" s="513" customFormat="1" ht="15.75" customHeight="1">
      <c r="B18" s="516" t="s">
        <v>206</v>
      </c>
      <c r="C18" s="517">
        <v>249068.67</v>
      </c>
      <c r="D18" s="517">
        <v>22489.426800000001</v>
      </c>
      <c r="E18" s="517">
        <v>11205.26</v>
      </c>
      <c r="F18" s="517"/>
      <c r="G18" s="517">
        <v>40.823999999999998</v>
      </c>
      <c r="H18" s="517">
        <v>127.24897</v>
      </c>
      <c r="I18" s="517">
        <v>20.983320000000003</v>
      </c>
      <c r="J18" s="517"/>
      <c r="K18" s="517">
        <v>0</v>
      </c>
      <c r="L18" s="517">
        <v>228454.01</v>
      </c>
      <c r="M18" s="517">
        <v>167727.94</v>
      </c>
      <c r="N18" s="517"/>
      <c r="O18" s="517">
        <v>251377.48130000001</v>
      </c>
      <c r="P18" s="517">
        <v>251197.68708999999</v>
      </c>
      <c r="Q18" s="517">
        <v>179170.22582999998</v>
      </c>
      <c r="R18" s="517"/>
      <c r="S18" s="593"/>
      <c r="T18" s="530"/>
      <c r="U18" s="530"/>
      <c r="V18" s="530"/>
      <c r="W18" s="275"/>
      <c r="X18" s="343"/>
      <c r="Y18" s="343"/>
      <c r="Z18" s="343"/>
      <c r="AA18" s="343"/>
      <c r="AB18" s="343"/>
      <c r="AC18" s="343"/>
      <c r="AD18" s="343"/>
      <c r="AE18" s="343"/>
      <c r="AF18" s="343"/>
      <c r="AG18" s="343"/>
    </row>
    <row r="19" spans="2:33" s="513" customFormat="1" ht="15.75" customHeight="1">
      <c r="B19" s="516" t="s">
        <v>207</v>
      </c>
      <c r="C19" s="517">
        <v>222700.34599999999</v>
      </c>
      <c r="D19" s="517">
        <v>45201.63</v>
      </c>
      <c r="E19" s="517">
        <v>90273.15</v>
      </c>
      <c r="F19" s="517"/>
      <c r="G19" s="517">
        <v>62.43</v>
      </c>
      <c r="H19" s="517">
        <v>148.79145000000005</v>
      </c>
      <c r="I19" s="517">
        <v>81.068880000000007</v>
      </c>
      <c r="J19" s="517"/>
      <c r="K19" s="517">
        <v>56</v>
      </c>
      <c r="L19" s="517">
        <v>217874.51500000001</v>
      </c>
      <c r="M19" s="517">
        <v>201409.93</v>
      </c>
      <c r="N19" s="517"/>
      <c r="O19" s="517">
        <v>224585.245</v>
      </c>
      <c r="P19" s="517">
        <v>263316.20950999996</v>
      </c>
      <c r="Q19" s="517">
        <v>298298.81791999988</v>
      </c>
      <c r="R19" s="517"/>
      <c r="S19" s="343"/>
      <c r="T19" s="275"/>
      <c r="U19" s="275"/>
      <c r="V19" s="275"/>
      <c r="W19" s="275"/>
      <c r="X19" s="343"/>
      <c r="Y19" s="343"/>
      <c r="Z19" s="343"/>
      <c r="AA19" s="343"/>
      <c r="AB19" s="343"/>
      <c r="AC19" s="343"/>
      <c r="AD19" s="343"/>
      <c r="AE19" s="343"/>
      <c r="AF19" s="343"/>
      <c r="AG19" s="343"/>
    </row>
    <row r="20" spans="2:33" s="513" customFormat="1" ht="15.75" customHeight="1">
      <c r="B20" s="516" t="s">
        <v>208</v>
      </c>
      <c r="C20" s="517">
        <f>SUM(C8:C19)</f>
        <v>1921224.753</v>
      </c>
      <c r="D20" s="517">
        <f t="shared" ref="D20:O20" si="0">SUM(D8:D19)</f>
        <v>1671353.9419399998</v>
      </c>
      <c r="E20" s="517">
        <f t="shared" si="0"/>
        <v>1337477.01345</v>
      </c>
      <c r="F20" s="517">
        <f t="shared" si="0"/>
        <v>985461.60944000003</v>
      </c>
      <c r="G20" s="517">
        <f t="shared" si="0"/>
        <v>226551.39399999997</v>
      </c>
      <c r="H20" s="517">
        <f t="shared" si="0"/>
        <v>862.66535999999996</v>
      </c>
      <c r="I20" s="517">
        <f t="shared" si="0"/>
        <v>20987.20638</v>
      </c>
      <c r="J20" s="517">
        <f t="shared" si="0"/>
        <v>280.71557999999999</v>
      </c>
      <c r="K20" s="517">
        <f t="shared" si="0"/>
        <v>175142.584</v>
      </c>
      <c r="L20" s="517">
        <f t="shared" si="0"/>
        <v>734641.26500000001</v>
      </c>
      <c r="M20" s="517">
        <f>SUM(M8:M19)</f>
        <v>846634.00399999996</v>
      </c>
      <c r="N20" s="517">
        <f>SUM(N8:N19)</f>
        <v>266698.52</v>
      </c>
      <c r="O20" s="517">
        <f t="shared" si="0"/>
        <v>2341186.7386499997</v>
      </c>
      <c r="P20" s="517">
        <f>SUM(P8:P19)</f>
        <v>2424229.4229299999</v>
      </c>
      <c r="Q20" s="517">
        <f>SUM(Q8:Q19)</f>
        <v>2338272.3082399997</v>
      </c>
      <c r="R20" s="517">
        <f>SUM(R8:R19)</f>
        <v>1355856.51456</v>
      </c>
      <c r="S20" s="11"/>
      <c r="T20" s="275"/>
      <c r="U20" s="275"/>
      <c r="V20" s="275"/>
      <c r="W20" s="275"/>
      <c r="X20" s="343"/>
      <c r="Y20" s="343"/>
      <c r="Z20" s="343"/>
      <c r="AA20" s="343"/>
      <c r="AB20" s="343"/>
      <c r="AC20" s="343"/>
      <c r="AD20" s="343"/>
      <c r="AE20" s="343"/>
      <c r="AF20" s="343"/>
      <c r="AG20" s="343"/>
    </row>
    <row r="21" spans="2:33" s="513" customFormat="1" ht="15.75" customHeight="1">
      <c r="B21" s="518" t="s">
        <v>482</v>
      </c>
      <c r="C21" s="519">
        <f>C20/$O20</f>
        <v>0.82062003909514591</v>
      </c>
      <c r="D21" s="520">
        <f>D20/P20</f>
        <v>0.68943719853047114</v>
      </c>
      <c r="E21" s="520">
        <f>E20/Q20</f>
        <v>0.57199369326522498</v>
      </c>
      <c r="F21" s="520">
        <f>F20/R20</f>
        <v>0.72681850834326678</v>
      </c>
      <c r="G21" s="520">
        <f>G20/$O20</f>
        <v>9.676775895742365E-2</v>
      </c>
      <c r="H21" s="520">
        <f>H20/P20</f>
        <v>3.5585136944561767E-4</v>
      </c>
      <c r="I21" s="520">
        <f>I20/Q20</f>
        <v>8.9755185082771288E-3</v>
      </c>
      <c r="J21" s="520">
        <f>J20/R20</f>
        <v>2.0703929728957881E-4</v>
      </c>
      <c r="K21" s="519">
        <f>K20/O20</f>
        <v>7.4809318329298505E-2</v>
      </c>
      <c r="L21" s="519">
        <f>L20/P20</f>
        <v>0.30304114703470991</v>
      </c>
      <c r="M21" s="519">
        <f>M20/Q20</f>
        <v>0.36207673546681785</v>
      </c>
      <c r="N21" s="519">
        <f>N20/R20</f>
        <v>0.19670113845825973</v>
      </c>
      <c r="O21" s="521">
        <f>+O20/O20</f>
        <v>1</v>
      </c>
      <c r="P21" s="521">
        <f>P20/P20</f>
        <v>1</v>
      </c>
      <c r="Q21" s="521">
        <f>Q20/Q20</f>
        <v>1</v>
      </c>
      <c r="R21" s="521">
        <f>R20/R20</f>
        <v>1</v>
      </c>
      <c r="S21" s="343"/>
      <c r="T21" s="275"/>
      <c r="U21" s="275"/>
      <c r="V21" s="275"/>
      <c r="W21" s="275"/>
      <c r="X21" s="343"/>
      <c r="Y21" s="343"/>
      <c r="Z21" s="343"/>
      <c r="AA21" s="343"/>
      <c r="AB21" s="343"/>
      <c r="AC21" s="343"/>
      <c r="AD21" s="343"/>
      <c r="AE21" s="343"/>
      <c r="AF21" s="343"/>
      <c r="AG21" s="343"/>
    </row>
    <row r="22" spans="2:33" s="513" customFormat="1" ht="28.5" customHeight="1">
      <c r="B22" s="1015" t="s">
        <v>483</v>
      </c>
      <c r="C22" s="1016"/>
      <c r="D22" s="1016"/>
      <c r="E22" s="1016"/>
      <c r="F22" s="1016"/>
      <c r="G22" s="1016"/>
      <c r="H22" s="1016"/>
      <c r="I22" s="1016"/>
      <c r="J22" s="1016"/>
      <c r="K22" s="1016"/>
      <c r="L22" s="1016"/>
      <c r="M22" s="1016"/>
      <c r="N22" s="1016"/>
      <c r="O22" s="1016"/>
      <c r="P22" s="1016"/>
      <c r="Q22" s="1016"/>
      <c r="R22" s="1017"/>
      <c r="S22" s="343"/>
      <c r="T22" s="275"/>
      <c r="U22" s="275"/>
      <c r="V22" s="275"/>
      <c r="W22" s="275"/>
      <c r="X22" s="343"/>
      <c r="Y22" s="343"/>
      <c r="Z22" s="343"/>
      <c r="AA22" s="343"/>
      <c r="AB22" s="343"/>
      <c r="AC22" s="343"/>
      <c r="AD22" s="343"/>
      <c r="AE22" s="343"/>
      <c r="AF22" s="343"/>
      <c r="AG22" s="343"/>
    </row>
    <row r="23" spans="2:33" ht="15.05" customHeight="1">
      <c r="B23" s="514"/>
      <c r="C23" s="514"/>
      <c r="D23" s="514"/>
      <c r="E23" s="514"/>
      <c r="F23" s="514"/>
      <c r="G23" s="514"/>
      <c r="H23" s="514"/>
      <c r="I23" s="514"/>
      <c r="J23" s="514"/>
      <c r="K23" s="514"/>
      <c r="L23" s="514"/>
      <c r="M23" s="514"/>
      <c r="N23" s="514"/>
      <c r="O23" s="514"/>
      <c r="P23" s="514"/>
      <c r="Q23" s="514"/>
    </row>
    <row r="24" spans="2:33" ht="15.05" customHeight="1"/>
    <row r="25" spans="2:33" ht="15.05" customHeight="1"/>
    <row r="26" spans="2:33" ht="15.05" customHeight="1"/>
    <row r="27" spans="2:33" ht="15.05" customHeight="1"/>
    <row r="28" spans="2:33" ht="56.95" customHeight="1">
      <c r="S28" s="594"/>
    </row>
    <row r="29" spans="2:33" ht="15.05" customHeight="1"/>
    <row r="30" spans="2:33" ht="15.05" customHeight="1"/>
    <row r="31" spans="2:33" ht="15.05" customHeight="1"/>
    <row r="32" spans="2:33" ht="15.05" customHeight="1"/>
    <row r="33" spans="2:17" ht="15.05" customHeight="1"/>
    <row r="34" spans="2:17" ht="15.05" customHeight="1"/>
    <row r="35" spans="2:17" ht="15.05" customHeight="1">
      <c r="D35" s="515" t="s">
        <v>484</v>
      </c>
    </row>
    <row r="36" spans="2:17" ht="15.05" customHeight="1"/>
    <row r="37" spans="2:17" ht="15.05" customHeight="1"/>
    <row r="38" spans="2:17" ht="15.05" customHeight="1"/>
    <row r="40" spans="2:17">
      <c r="B40" s="1010" t="s">
        <v>483</v>
      </c>
      <c r="C40" s="1010"/>
      <c r="D40" s="1010"/>
      <c r="E40" s="1010"/>
      <c r="F40" s="1010"/>
      <c r="G40" s="1010"/>
      <c r="H40" s="1010"/>
      <c r="I40" s="1010"/>
      <c r="J40" s="1010"/>
      <c r="K40" s="1010"/>
      <c r="L40" s="1010"/>
      <c r="M40" s="1010"/>
      <c r="N40" s="1010"/>
      <c r="O40" s="1010"/>
      <c r="P40" s="1010"/>
      <c r="Q40" s="702"/>
    </row>
  </sheetData>
  <mergeCells count="11">
    <mergeCell ref="B1:R1"/>
    <mergeCell ref="B3:R3"/>
    <mergeCell ref="B4:R4"/>
    <mergeCell ref="B5:R5"/>
    <mergeCell ref="B40:P40"/>
    <mergeCell ref="B6:B7"/>
    <mergeCell ref="C6:E6"/>
    <mergeCell ref="G6:I6"/>
    <mergeCell ref="K6:M6"/>
    <mergeCell ref="O6:R6"/>
    <mergeCell ref="B22:R22"/>
  </mergeCells>
  <pageMargins left="0.70866141732283472" right="0.70866141732283472" top="0.74803149606299213" bottom="0.74803149606299213" header="0.31496062992125984" footer="0.31496062992125984"/>
  <pageSetup paperSize="126" scale="52" orientation="portrait" r:id="rId1"/>
  <headerFooter>
    <oddFooter>&amp;C&amp;11&amp;A</oddFooter>
  </headerFooter>
  <ignoredErrors>
    <ignoredError sqref="C20:D20 E20 M20 I20 Q20:R20 O20:P20 G20:H20 K20:L20 F20 N20 J20" formulaRange="1"/>
    <ignoredError sqref="G21" formula="1" formulaRange="1"/>
    <ignoredError sqref="R21" evalError="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pageSetUpPr fitToPage="1"/>
  </sheetPr>
  <dimension ref="B1:Q38"/>
  <sheetViews>
    <sheetView topLeftCell="A13" zoomScaleNormal="100" workbookViewId="0">
      <selection activeCell="H28" sqref="H28"/>
    </sheetView>
  </sheetViews>
  <sheetFormatPr baseColWidth="10" defaultColWidth="10.9140625" defaultRowHeight="11.8"/>
  <cols>
    <col min="1" max="1" width="4.4140625" style="1" customWidth="1"/>
    <col min="2" max="6" width="10.6640625" style="1" customWidth="1"/>
    <col min="7" max="16384" width="10.9140625" style="1"/>
  </cols>
  <sheetData>
    <row r="1" spans="2:17" s="22" customFormat="1" ht="12.8" customHeight="1">
      <c r="B1" s="814" t="s">
        <v>225</v>
      </c>
      <c r="C1" s="814"/>
      <c r="D1" s="814"/>
      <c r="E1" s="814"/>
      <c r="F1" s="814"/>
    </row>
    <row r="2" spans="2:17" s="22" customFormat="1" ht="12.45">
      <c r="B2" s="38"/>
      <c r="C2" s="38"/>
      <c r="D2" s="38"/>
      <c r="E2" s="38"/>
      <c r="F2" s="38"/>
    </row>
    <row r="3" spans="2:17" s="22" customFormat="1" ht="13.1">
      <c r="B3" s="813" t="s">
        <v>485</v>
      </c>
      <c r="C3" s="813"/>
      <c r="D3" s="813"/>
      <c r="E3" s="813"/>
      <c r="F3" s="813"/>
    </row>
    <row r="4" spans="2:17" s="22" customFormat="1" ht="13.1">
      <c r="B4" s="1018" t="s">
        <v>720</v>
      </c>
      <c r="C4" s="1018"/>
      <c r="D4" s="1018"/>
      <c r="E4" s="1018"/>
      <c r="F4" s="1018"/>
    </row>
    <row r="5" spans="2:17" s="22" customFormat="1" ht="15.05" customHeight="1">
      <c r="B5" s="813" t="s">
        <v>471</v>
      </c>
      <c r="C5" s="813"/>
      <c r="D5" s="813"/>
      <c r="E5" s="813"/>
      <c r="F5" s="813"/>
    </row>
    <row r="6" spans="2:17" s="22" customFormat="1" ht="60.05" customHeight="1">
      <c r="B6" s="147" t="s">
        <v>486</v>
      </c>
      <c r="C6" s="114" t="s">
        <v>487</v>
      </c>
      <c r="D6" s="114">
        <v>11042300</v>
      </c>
      <c r="E6" s="487" t="s">
        <v>488</v>
      </c>
      <c r="F6" s="114" t="s">
        <v>489</v>
      </c>
    </row>
    <row r="7" spans="2:17" s="22" customFormat="1" ht="39.799999999999997" customHeight="1">
      <c r="B7" s="147" t="s">
        <v>193</v>
      </c>
      <c r="C7" s="114" t="s">
        <v>490</v>
      </c>
      <c r="D7" s="114" t="s">
        <v>491</v>
      </c>
      <c r="E7" s="114" t="s">
        <v>492</v>
      </c>
      <c r="F7" s="114" t="s">
        <v>493</v>
      </c>
    </row>
    <row r="8" spans="2:17" s="22" customFormat="1" ht="15.75" customHeight="1">
      <c r="B8" s="335" t="s">
        <v>494</v>
      </c>
      <c r="C8" s="148">
        <v>1590526.189</v>
      </c>
      <c r="D8" s="148">
        <v>6718.7069999999994</v>
      </c>
      <c r="E8" s="148">
        <v>53655.113000000005</v>
      </c>
      <c r="F8" s="148">
        <v>104092</v>
      </c>
      <c r="L8" s="22" t="s">
        <v>97</v>
      </c>
      <c r="M8" s="92"/>
      <c r="N8" s="92"/>
      <c r="O8" s="92"/>
      <c r="P8" s="92"/>
      <c r="Q8" s="92"/>
    </row>
    <row r="9" spans="2:17" s="22" customFormat="1" ht="15.75" customHeight="1">
      <c r="B9" s="336" t="s">
        <v>495</v>
      </c>
      <c r="C9" s="148">
        <v>1918486.1880699999</v>
      </c>
      <c r="D9" s="148">
        <v>5892.6107100000008</v>
      </c>
      <c r="E9" s="148">
        <v>49561.083280000006</v>
      </c>
      <c r="F9" s="148">
        <v>107022.41454</v>
      </c>
      <c r="G9" s="22" t="s">
        <v>97</v>
      </c>
      <c r="M9" s="92"/>
      <c r="N9" s="92"/>
      <c r="O9" s="92"/>
      <c r="P9" s="92"/>
      <c r="Q9" s="92"/>
    </row>
    <row r="10" spans="2:17" s="22" customFormat="1" ht="15.75" customHeight="1">
      <c r="B10" s="336" t="s">
        <v>496</v>
      </c>
      <c r="C10" s="148">
        <v>2366708</v>
      </c>
      <c r="D10" s="148">
        <v>9269.3809999999994</v>
      </c>
      <c r="E10" s="148">
        <v>30978.243129999999</v>
      </c>
      <c r="F10" s="148">
        <v>41359.577440000001</v>
      </c>
      <c r="G10" s="22" t="s">
        <v>97</v>
      </c>
      <c r="H10" s="92" t="s">
        <v>97</v>
      </c>
      <c r="J10" s="22" t="s">
        <v>97</v>
      </c>
    </row>
    <row r="11" spans="2:17" s="22" customFormat="1" ht="15.75" customHeight="1">
      <c r="B11" s="336" t="s">
        <v>497</v>
      </c>
      <c r="C11" s="148">
        <v>2788006.5392800001</v>
      </c>
      <c r="D11" s="148">
        <v>38067.715980000001</v>
      </c>
      <c r="E11" s="148">
        <v>14745.50964</v>
      </c>
      <c r="F11" s="148">
        <v>42658.128199999999</v>
      </c>
      <c r="H11" s="92"/>
    </row>
    <row r="12" spans="2:17" s="22" customFormat="1" ht="15.75" customHeight="1">
      <c r="B12" s="336" t="s">
        <v>498</v>
      </c>
      <c r="C12" s="148">
        <v>2341186.7386499997</v>
      </c>
      <c r="D12" s="148">
        <v>150229.49423000001</v>
      </c>
      <c r="E12" s="148">
        <v>24343.472229999999</v>
      </c>
      <c r="F12" s="148">
        <v>56254.025810000006</v>
      </c>
      <c r="H12" s="92" t="s">
        <v>387</v>
      </c>
    </row>
    <row r="13" spans="2:17" s="22" customFormat="1" ht="15.75" customHeight="1">
      <c r="B13" s="336" t="s">
        <v>499</v>
      </c>
      <c r="C13" s="148">
        <v>2424229.4229299999</v>
      </c>
      <c r="D13" s="148">
        <v>162981.81414000003</v>
      </c>
      <c r="E13" s="148">
        <v>3911.4281300000002</v>
      </c>
      <c r="F13" s="148">
        <v>43082.701150000001</v>
      </c>
      <c r="H13" s="92"/>
    </row>
    <row r="14" spans="2:17" s="22" customFormat="1" ht="15.75" customHeight="1">
      <c r="B14" s="336" t="s">
        <v>513</v>
      </c>
      <c r="C14" s="148">
        <v>2338272.3082399997</v>
      </c>
      <c r="D14" s="148">
        <v>68908.853419999999</v>
      </c>
      <c r="E14" s="148">
        <v>722.4989300000002</v>
      </c>
      <c r="F14" s="148">
        <v>13437.83087</v>
      </c>
      <c r="H14" s="92"/>
    </row>
    <row r="15" spans="2:17" s="22" customFormat="1" ht="15.75" customHeight="1">
      <c r="B15" s="336" t="s">
        <v>719</v>
      </c>
      <c r="C15" s="148">
        <v>1355856.51456</v>
      </c>
      <c r="D15" s="148">
        <v>39172.910199999998</v>
      </c>
      <c r="E15" s="148">
        <v>5747.21</v>
      </c>
      <c r="F15" s="148">
        <v>7935.9789799999999</v>
      </c>
      <c r="H15" s="92"/>
    </row>
    <row r="16" spans="2:17" ht="34.700000000000003" customHeight="1">
      <c r="B16" s="816" t="s">
        <v>781</v>
      </c>
      <c r="C16" s="816"/>
      <c r="D16" s="816"/>
      <c r="E16" s="816"/>
      <c r="F16" s="816"/>
    </row>
    <row r="17" spans="3:6" s="21" customFormat="1" ht="19" customHeight="1">
      <c r="C17" s="136"/>
      <c r="D17" s="136"/>
      <c r="E17" s="136"/>
      <c r="F17" s="136"/>
    </row>
    <row r="18" spans="3:6" s="21" customFormat="1" ht="11.95" customHeight="1">
      <c r="C18" s="113"/>
      <c r="D18" s="113"/>
      <c r="E18" s="113"/>
    </row>
    <row r="19" spans="3:6" s="21" customFormat="1" ht="11.95" customHeight="1">
      <c r="C19" s="113"/>
      <c r="D19" s="113"/>
      <c r="E19" s="113"/>
    </row>
    <row r="34" spans="2:6">
      <c r="B34" s="29"/>
      <c r="C34" s="29"/>
      <c r="D34" s="29"/>
      <c r="E34" s="29"/>
      <c r="F34" s="29"/>
    </row>
    <row r="35" spans="2:6">
      <c r="B35" s="29"/>
      <c r="C35" s="29"/>
      <c r="D35" s="29"/>
      <c r="E35" s="29"/>
      <c r="F35" s="29"/>
    </row>
    <row r="36" spans="2:6">
      <c r="B36" s="29"/>
      <c r="C36" s="29"/>
      <c r="D36" s="29"/>
      <c r="E36" s="29"/>
      <c r="F36" s="29"/>
    </row>
    <row r="37" spans="2:6" ht="16.55" customHeight="1">
      <c r="B37" s="47"/>
      <c r="C37" s="29"/>
      <c r="D37" s="29"/>
      <c r="E37" s="29"/>
      <c r="F37" s="29"/>
    </row>
    <row r="38" spans="2:6">
      <c r="B38" s="29"/>
      <c r="C38" s="29"/>
      <c r="D38" s="29"/>
      <c r="E38" s="29"/>
      <c r="F38" s="29"/>
    </row>
  </sheetData>
  <mergeCells count="5">
    <mergeCell ref="B1:F1"/>
    <mergeCell ref="B3:F3"/>
    <mergeCell ref="B4:F4"/>
    <mergeCell ref="B5:F5"/>
    <mergeCell ref="B16:F16"/>
  </mergeCells>
  <printOptions horizontalCentered="1"/>
  <pageMargins left="0.19685039370078741" right="0.27559055118110237" top="1.2204724409448819" bottom="0.78740157480314965" header="0.51181102362204722" footer="0.59055118110236227"/>
  <pageSetup paperSize="126" firstPageNumber="0" orientation="portrait" r:id="rId1"/>
  <headerFooter alignWithMargins="0">
    <oddFooter>&amp;C&amp;10&amp;A</oddFooter>
  </headerFooter>
  <ignoredErrors>
    <ignoredError sqref="B8:B14"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pageSetUpPr fitToPage="1"/>
  </sheetPr>
  <dimension ref="C1:AA39"/>
  <sheetViews>
    <sheetView zoomScale="90" zoomScaleNormal="90" workbookViewId="0">
      <selection activeCell="L13" sqref="L13"/>
    </sheetView>
  </sheetViews>
  <sheetFormatPr baseColWidth="10" defaultColWidth="10.9140625" defaultRowHeight="11.8"/>
  <cols>
    <col min="1" max="1" width="1" style="1" customWidth="1"/>
    <col min="2" max="2" width="1.75" style="1" customWidth="1"/>
    <col min="3" max="7" width="11.75" style="1" customWidth="1"/>
    <col min="8" max="8" width="2.1640625" style="1" customWidth="1"/>
    <col min="9" max="16384" width="10.9140625" style="1"/>
  </cols>
  <sheetData>
    <row r="1" spans="3:27" s="38" customFormat="1" ht="18" customHeight="1">
      <c r="C1" s="814" t="s">
        <v>230</v>
      </c>
      <c r="D1" s="814"/>
      <c r="E1" s="814"/>
      <c r="F1" s="814"/>
      <c r="G1" s="814"/>
      <c r="H1" s="97"/>
    </row>
    <row r="2" spans="3:27" s="38" customFormat="1" ht="12.45"/>
    <row r="3" spans="3:27" s="38" customFormat="1" ht="29.95" customHeight="1">
      <c r="C3" s="814" t="s">
        <v>500</v>
      </c>
      <c r="D3" s="814"/>
      <c r="E3" s="814"/>
      <c r="F3" s="814"/>
      <c r="G3" s="814"/>
      <c r="H3" s="31"/>
    </row>
    <row r="4" spans="3:27" s="38" customFormat="1" ht="18" customHeight="1">
      <c r="C4" s="1018" t="s">
        <v>720</v>
      </c>
      <c r="D4" s="1018"/>
      <c r="E4" s="1018"/>
      <c r="F4" s="1018"/>
      <c r="G4" s="1018"/>
      <c r="H4" s="149"/>
    </row>
    <row r="5" spans="3:27" s="38" customFormat="1" ht="17.2" customHeight="1">
      <c r="C5" s="1018" t="s">
        <v>501</v>
      </c>
      <c r="D5" s="1018"/>
      <c r="E5" s="1018"/>
      <c r="F5" s="1018"/>
      <c r="G5" s="1018"/>
      <c r="H5" s="149"/>
    </row>
    <row r="6" spans="3:27" s="22" customFormat="1" ht="44.2" customHeight="1">
      <c r="C6" s="100" t="str">
        <f>'38'!B6</f>
        <v>Código aduanas</v>
      </c>
      <c r="D6" s="100" t="str">
        <f>'38'!C6</f>
        <v>10059000 10059020 10059090</v>
      </c>
      <c r="E6" s="100">
        <f>'38'!D6</f>
        <v>11042300</v>
      </c>
      <c r="F6" s="100" t="str">
        <f>'38'!E6</f>
        <v>10070090 10079010 10079090</v>
      </c>
      <c r="G6" s="100" t="str">
        <f>'38'!F6</f>
        <v>23099060 23099080</v>
      </c>
      <c r="H6" s="97"/>
    </row>
    <row r="7" spans="3:27" s="22" customFormat="1" ht="37.5" customHeight="1">
      <c r="C7" s="124" t="s">
        <v>193</v>
      </c>
      <c r="D7" s="100" t="str">
        <f>'38'!C7</f>
        <v>Maíz grano</v>
      </c>
      <c r="E7" s="100" t="str">
        <f>'38'!D7</f>
        <v>Maíz partido</v>
      </c>
      <c r="F7" s="100" t="str">
        <f>'38'!E7</f>
        <v>Sorgo</v>
      </c>
      <c r="G7" s="100" t="str">
        <f>'38'!F7</f>
        <v>Preparaciones que contienen maíz</v>
      </c>
      <c r="H7" s="97"/>
      <c r="I7" s="22" t="s">
        <v>97</v>
      </c>
    </row>
    <row r="8" spans="3:27" s="22" customFormat="1" ht="15.75" customHeight="1">
      <c r="C8" s="488">
        <v>2017</v>
      </c>
      <c r="D8" s="65">
        <v>186</v>
      </c>
      <c r="E8" s="65">
        <v>287</v>
      </c>
      <c r="F8" s="65">
        <v>178</v>
      </c>
      <c r="G8" s="65">
        <v>351</v>
      </c>
      <c r="H8" s="150"/>
      <c r="K8" s="92"/>
      <c r="N8" s="92"/>
      <c r="O8" s="92"/>
      <c r="P8" s="92"/>
      <c r="Q8" s="92"/>
      <c r="R8" s="92"/>
      <c r="S8" s="92"/>
      <c r="T8" s="92"/>
      <c r="U8" s="92"/>
      <c r="V8" s="92"/>
      <c r="W8" s="92"/>
      <c r="X8" s="92"/>
      <c r="Y8" s="92"/>
      <c r="Z8" s="92"/>
      <c r="AA8" s="92"/>
    </row>
    <row r="9" spans="3:27" s="22" customFormat="1" ht="15.75" customHeight="1">
      <c r="C9" s="488" t="s">
        <v>495</v>
      </c>
      <c r="D9" s="65">
        <v>199.70353882694357</v>
      </c>
      <c r="E9" s="65">
        <v>342.94811407654373</v>
      </c>
      <c r="F9" s="65">
        <v>169.25566820801745</v>
      </c>
      <c r="G9" s="65">
        <v>399.55360741689088</v>
      </c>
      <c r="H9" s="150"/>
      <c r="I9" s="22" t="s">
        <v>97</v>
      </c>
      <c r="K9" s="92" t="s">
        <v>97</v>
      </c>
      <c r="L9" s="92"/>
      <c r="N9" s="92"/>
      <c r="O9" s="92"/>
      <c r="P9" s="92"/>
      <c r="Q9" s="92"/>
      <c r="R9" s="92"/>
      <c r="S9" s="92"/>
      <c r="T9" s="92"/>
      <c r="U9" s="92"/>
      <c r="V9" s="92"/>
      <c r="W9" s="92"/>
      <c r="X9" s="92"/>
      <c r="Y9" s="92"/>
      <c r="Z9" s="92"/>
      <c r="AA9" s="92"/>
    </row>
    <row r="10" spans="3:27" s="22" customFormat="1" ht="15.75" customHeight="1">
      <c r="C10" s="337" t="s">
        <v>502</v>
      </c>
      <c r="D10" s="65">
        <v>186.92843269842436</v>
      </c>
      <c r="E10" s="65">
        <v>345.8535247035349</v>
      </c>
      <c r="F10" s="65">
        <v>207.776432</v>
      </c>
      <c r="G10" s="65">
        <v>393.02788645411334</v>
      </c>
      <c r="H10" s="150"/>
      <c r="I10" s="22" t="s">
        <v>97</v>
      </c>
      <c r="L10" s="92"/>
    </row>
    <row r="11" spans="3:27" s="22" customFormat="1" ht="15.75" customHeight="1">
      <c r="C11" s="337" t="s">
        <v>497</v>
      </c>
      <c r="D11" s="338">
        <v>201.97715188307643</v>
      </c>
      <c r="E11" s="338">
        <v>257.31901991061619</v>
      </c>
      <c r="F11" s="340">
        <v>200.62101157614845</v>
      </c>
      <c r="G11" s="338">
        <v>382.46888508762504</v>
      </c>
      <c r="H11" s="150"/>
      <c r="L11" s="92"/>
    </row>
    <row r="12" spans="3:27" s="22" customFormat="1" ht="15.75" customHeight="1">
      <c r="C12" s="337" t="s">
        <v>498</v>
      </c>
      <c r="D12" s="338">
        <v>293.54630539626538</v>
      </c>
      <c r="E12" s="338">
        <v>264.49502859820183</v>
      </c>
      <c r="F12" s="340">
        <v>268.66382933764186</v>
      </c>
      <c r="G12" s="338">
        <v>470.49695920919117</v>
      </c>
      <c r="H12" s="150"/>
      <c r="I12" s="22" t="s">
        <v>97</v>
      </c>
      <c r="L12" s="92"/>
    </row>
    <row r="13" spans="3:27" s="22" customFormat="1" ht="15.75" customHeight="1">
      <c r="C13" s="337" t="s">
        <v>499</v>
      </c>
      <c r="D13" s="338">
        <v>341.48139511554126</v>
      </c>
      <c r="E13" s="338">
        <v>303.66467405574264</v>
      </c>
      <c r="F13" s="338">
        <v>366.10312433062313</v>
      </c>
      <c r="G13" s="338">
        <v>549.10492152931909</v>
      </c>
      <c r="H13" s="150"/>
      <c r="I13" s="22" t="s">
        <v>97</v>
      </c>
      <c r="L13" s="92"/>
    </row>
    <row r="14" spans="3:27" s="22" customFormat="1" ht="15.75" customHeight="1">
      <c r="C14" s="337" t="s">
        <v>513</v>
      </c>
      <c r="D14" s="338">
        <v>290.65090832276752</v>
      </c>
      <c r="E14" s="338">
        <v>355.98486539434037</v>
      </c>
      <c r="F14" s="338">
        <v>317.83579588277337</v>
      </c>
      <c r="G14" s="338">
        <v>642.85437459062803</v>
      </c>
      <c r="H14" s="150"/>
      <c r="I14" s="22" t="s">
        <v>97</v>
      </c>
      <c r="L14" s="92"/>
    </row>
    <row r="15" spans="3:27" s="22" customFormat="1" ht="15.75" customHeight="1">
      <c r="C15" s="337" t="s">
        <v>719</v>
      </c>
      <c r="D15" s="338">
        <v>238.18958852878777</v>
      </c>
      <c r="E15" s="338">
        <v>312.33653769672048</v>
      </c>
      <c r="F15" s="338">
        <v>242.21553480643539</v>
      </c>
      <c r="G15" s="338">
        <v>612.46290822459491</v>
      </c>
      <c r="H15" s="150"/>
      <c r="L15" s="92"/>
    </row>
    <row r="16" spans="3:27" ht="38.299999999999997" customHeight="1">
      <c r="C16" s="816" t="s">
        <v>782</v>
      </c>
      <c r="D16" s="816"/>
      <c r="E16" s="816"/>
      <c r="F16" s="816"/>
      <c r="G16" s="816"/>
      <c r="H16" s="151"/>
      <c r="I16" s="274"/>
    </row>
    <row r="17" ht="19.5" customHeight="1"/>
    <row r="38" spans="3:7" ht="7.55" customHeight="1"/>
    <row r="39" spans="3:7" ht="17.2" customHeight="1">
      <c r="C39" s="880" t="s">
        <v>503</v>
      </c>
      <c r="D39" s="1019"/>
      <c r="E39" s="1019"/>
      <c r="F39" s="1019"/>
      <c r="G39" s="1019"/>
    </row>
  </sheetData>
  <mergeCells count="6">
    <mergeCell ref="C39:G39"/>
    <mergeCell ref="C1:G1"/>
    <mergeCell ref="C3:G3"/>
    <mergeCell ref="C4:G4"/>
    <mergeCell ref="C5:G5"/>
    <mergeCell ref="C16:G16"/>
  </mergeCells>
  <printOptions horizontalCentered="1"/>
  <pageMargins left="0.19685039370078741" right="0.27559055118110237" top="1.2204724409448819" bottom="0.78740157480314965" header="0.51181102362204722" footer="0.59055118110236227"/>
  <pageSetup paperSize="126" firstPageNumber="0" orientation="portrait" r:id="rId1"/>
  <headerFooter alignWithMargins="0">
    <oddFooter>&amp;C&amp;10&amp;A</oddFooter>
  </headerFooter>
  <ignoredErrors>
    <ignoredError sqref="C9:C14"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pageSetUpPr fitToPage="1"/>
  </sheetPr>
  <dimension ref="B1:N80"/>
  <sheetViews>
    <sheetView zoomScaleNormal="100" workbookViewId="0">
      <selection activeCell="M35" sqref="M35"/>
    </sheetView>
  </sheetViews>
  <sheetFormatPr baseColWidth="10" defaultColWidth="10.9140625" defaultRowHeight="11.95" customHeight="1"/>
  <cols>
    <col min="1" max="1" width="3.25" style="1" customWidth="1"/>
    <col min="2" max="8" width="8.83203125" style="1" customWidth="1"/>
    <col min="9" max="9" width="7.75" style="1" customWidth="1"/>
    <col min="10" max="16384" width="10.9140625" style="1"/>
  </cols>
  <sheetData>
    <row r="1" spans="2:14" s="15" customFormat="1" ht="13.1">
      <c r="B1" s="791" t="s">
        <v>238</v>
      </c>
      <c r="C1" s="791"/>
      <c r="D1" s="791"/>
      <c r="E1" s="791"/>
      <c r="F1" s="791"/>
      <c r="G1" s="791"/>
      <c r="H1" s="791"/>
      <c r="I1" s="791"/>
    </row>
    <row r="2" spans="2:14" s="15" customFormat="1" ht="13.1"/>
    <row r="3" spans="2:14" s="15" customFormat="1" ht="13.1">
      <c r="B3" s="791" t="s">
        <v>504</v>
      </c>
      <c r="C3" s="791"/>
      <c r="D3" s="791"/>
      <c r="E3" s="791"/>
      <c r="F3" s="791"/>
      <c r="G3" s="791"/>
      <c r="H3" s="791"/>
      <c r="I3" s="791"/>
    </row>
    <row r="4" spans="2:14" s="15" customFormat="1" ht="13.1">
      <c r="B4" s="791" t="s">
        <v>721</v>
      </c>
      <c r="C4" s="791"/>
      <c r="D4" s="791"/>
      <c r="E4" s="791"/>
      <c r="F4" s="791"/>
      <c r="G4" s="791"/>
      <c r="H4" s="791"/>
      <c r="I4" s="791"/>
    </row>
    <row r="5" spans="2:14" s="15" customFormat="1" ht="13.1">
      <c r="B5" s="808" t="s">
        <v>505</v>
      </c>
      <c r="C5" s="808"/>
      <c r="D5" s="808"/>
      <c r="E5" s="808"/>
      <c r="F5" s="808"/>
      <c r="G5" s="808"/>
      <c r="H5" s="808"/>
      <c r="I5" s="808"/>
    </row>
    <row r="6" spans="2:14" s="22" customFormat="1" ht="15.75" customHeight="1">
      <c r="B6" s="130"/>
      <c r="C6" s="124">
        <v>2018</v>
      </c>
      <c r="D6" s="124">
        <v>2019</v>
      </c>
      <c r="E6" s="194">
        <v>2020</v>
      </c>
      <c r="F6" s="194">
        <v>2021</v>
      </c>
      <c r="G6" s="124">
        <v>2022</v>
      </c>
      <c r="H6" s="124">
        <v>2023</v>
      </c>
      <c r="I6" s="124">
        <v>2024</v>
      </c>
      <c r="J6" s="489"/>
    </row>
    <row r="7" spans="2:14" s="22" customFormat="1" ht="15.75" customHeight="1">
      <c r="B7" s="51" t="s">
        <v>212</v>
      </c>
      <c r="C7" s="402">
        <v>12520.689655172413</v>
      </c>
      <c r="D7" s="402">
        <v>16500</v>
      </c>
      <c r="E7" s="402">
        <v>14667</v>
      </c>
      <c r="F7" s="402"/>
      <c r="G7" s="402"/>
      <c r="H7" s="402"/>
      <c r="I7" s="402"/>
      <c r="J7" s="350"/>
      <c r="K7" s="205"/>
      <c r="L7" s="205"/>
      <c r="M7" s="205"/>
      <c r="N7" s="205"/>
    </row>
    <row r="8" spans="2:14" s="22" customFormat="1" ht="15.75" customHeight="1">
      <c r="B8" s="51" t="s">
        <v>213</v>
      </c>
      <c r="C8" s="402">
        <v>12833.333333333334</v>
      </c>
      <c r="D8" s="402"/>
      <c r="E8" s="402">
        <v>14667</v>
      </c>
      <c r="F8" s="402"/>
      <c r="G8" s="402"/>
      <c r="H8" s="402"/>
      <c r="I8" s="402"/>
      <c r="J8" s="351"/>
      <c r="K8" s="205"/>
      <c r="L8" s="205"/>
      <c r="M8" s="205"/>
      <c r="N8" s="205"/>
    </row>
    <row r="9" spans="2:14" s="22" customFormat="1" ht="15.75" customHeight="1">
      <c r="B9" s="51" t="s">
        <v>214</v>
      </c>
      <c r="C9" s="402">
        <v>12913</v>
      </c>
      <c r="D9" s="402">
        <v>13061.904761904761</v>
      </c>
      <c r="E9" s="402">
        <v>15658.064516129034</v>
      </c>
      <c r="F9" s="402">
        <v>20766.666666666668</v>
      </c>
      <c r="G9" s="402">
        <v>30508.333333333332</v>
      </c>
      <c r="H9" s="129">
        <v>27500</v>
      </c>
      <c r="I9" s="129"/>
      <c r="J9" s="205"/>
      <c r="K9" s="205"/>
      <c r="L9" s="205"/>
      <c r="M9" s="605"/>
      <c r="N9" s="205"/>
    </row>
    <row r="10" spans="2:14" s="22" customFormat="1" ht="15.75" customHeight="1">
      <c r="B10" s="490" t="s">
        <v>215</v>
      </c>
      <c r="C10" s="402">
        <v>12711</v>
      </c>
      <c r="D10" s="402">
        <v>12764.516129032258</v>
      </c>
      <c r="E10" s="402">
        <v>16630</v>
      </c>
      <c r="F10" s="402">
        <v>20484.313725490196</v>
      </c>
      <c r="G10" s="402">
        <v>30635.616438356163</v>
      </c>
      <c r="H10" s="129">
        <v>23800</v>
      </c>
      <c r="I10" s="129">
        <v>21909.090909090908</v>
      </c>
      <c r="J10" s="606"/>
      <c r="K10" s="205"/>
      <c r="L10" s="205"/>
      <c r="M10" s="605"/>
      <c r="N10" s="205"/>
    </row>
    <row r="11" spans="2:14" s="22" customFormat="1" ht="15.75" customHeight="1">
      <c r="B11" s="51" t="s">
        <v>216</v>
      </c>
      <c r="C11" s="402">
        <v>13074</v>
      </c>
      <c r="D11" s="402">
        <v>12740</v>
      </c>
      <c r="E11" s="402">
        <v>16008</v>
      </c>
      <c r="F11" s="402">
        <v>20700</v>
      </c>
      <c r="G11" s="129">
        <v>30819.512195121952</v>
      </c>
      <c r="H11" s="129">
        <v>20622.580645161292</v>
      </c>
      <c r="I11" s="129">
        <v>21934.920634920636</v>
      </c>
      <c r="J11" s="205"/>
      <c r="K11" s="205"/>
      <c r="L11" s="205"/>
      <c r="M11" s="205"/>
      <c r="N11" s="205"/>
    </row>
    <row r="12" spans="2:14" s="22" customFormat="1" ht="15.75" customHeight="1">
      <c r="B12" s="51" t="s">
        <v>217</v>
      </c>
      <c r="C12" s="402">
        <v>13359.259259259257</v>
      </c>
      <c r="D12" s="402">
        <v>13095.283018867925</v>
      </c>
      <c r="E12" s="402">
        <v>15900</v>
      </c>
      <c r="F12" s="402">
        <v>21105</v>
      </c>
      <c r="G12" s="129">
        <v>30119.23076923077</v>
      </c>
      <c r="H12" s="402">
        <v>19850</v>
      </c>
      <c r="I12" s="402">
        <v>21438.888888888891</v>
      </c>
      <c r="J12" s="205"/>
      <c r="K12" s="205"/>
      <c r="L12" s="605"/>
      <c r="M12" s="205"/>
      <c r="N12" s="205"/>
    </row>
    <row r="13" spans="2:14" s="22" customFormat="1" ht="15.75" customHeight="1">
      <c r="B13" s="51" t="s">
        <v>218</v>
      </c>
      <c r="C13" s="402">
        <v>13311</v>
      </c>
      <c r="D13" s="402">
        <v>14412.765957446809</v>
      </c>
      <c r="E13" s="402">
        <v>15500</v>
      </c>
      <c r="F13" s="402">
        <v>22454.545454545456</v>
      </c>
      <c r="G13" s="129">
        <v>30428.571428571428</v>
      </c>
      <c r="H13" s="402">
        <v>19000</v>
      </c>
      <c r="I13" s="402">
        <v>21616.666666666668</v>
      </c>
      <c r="J13" s="205"/>
      <c r="K13" s="205"/>
      <c r="L13" s="205"/>
      <c r="M13" s="205"/>
      <c r="N13" s="205"/>
    </row>
    <row r="14" spans="2:14" s="22" customFormat="1" ht="15.75" customHeight="1">
      <c r="B14" s="51" t="s">
        <v>219</v>
      </c>
      <c r="C14" s="402">
        <v>13489</v>
      </c>
      <c r="D14" s="402">
        <v>14592.307692307691</v>
      </c>
      <c r="E14" s="402">
        <v>15500</v>
      </c>
      <c r="F14" s="402">
        <v>23875</v>
      </c>
      <c r="G14" s="568">
        <v>31000</v>
      </c>
      <c r="H14" s="402">
        <v>19000</v>
      </c>
      <c r="I14" s="402"/>
      <c r="J14" s="205"/>
      <c r="K14" s="205"/>
      <c r="L14" s="205"/>
      <c r="M14" s="205"/>
      <c r="N14" s="205"/>
    </row>
    <row r="15" spans="2:14" s="22" customFormat="1" ht="15.75" customHeight="1">
      <c r="B15" s="51" t="s">
        <v>220</v>
      </c>
      <c r="C15" s="491">
        <v>13654</v>
      </c>
      <c r="D15" s="491">
        <v>15066.666666666666</v>
      </c>
      <c r="E15" s="402">
        <v>16475</v>
      </c>
      <c r="F15" s="402">
        <v>23722.222222222223</v>
      </c>
      <c r="G15" s="568">
        <v>32000</v>
      </c>
      <c r="H15" s="402"/>
      <c r="I15" s="402"/>
      <c r="J15" s="205"/>
      <c r="K15" s="205"/>
      <c r="L15" s="205"/>
      <c r="M15" s="205"/>
      <c r="N15" s="205"/>
    </row>
    <row r="16" spans="2:14" s="22" customFormat="1" ht="15.75" customHeight="1">
      <c r="B16" s="51" t="s">
        <v>221</v>
      </c>
      <c r="C16" s="402">
        <v>13760</v>
      </c>
      <c r="D16" s="402">
        <v>14657.142857142855</v>
      </c>
      <c r="E16" s="402">
        <v>18000</v>
      </c>
      <c r="F16" s="402">
        <v>24605.263157894737</v>
      </c>
      <c r="G16" s="568">
        <v>32400</v>
      </c>
      <c r="H16" s="402"/>
      <c r="I16" s="402"/>
      <c r="J16" s="205"/>
      <c r="K16" s="205"/>
      <c r="L16" s="205"/>
      <c r="M16" s="205"/>
      <c r="N16" s="205"/>
    </row>
    <row r="17" spans="2:14" s="22" customFormat="1" ht="15.75" customHeight="1">
      <c r="B17" s="51" t="s">
        <v>206</v>
      </c>
      <c r="C17" s="402">
        <v>14340</v>
      </c>
      <c r="D17" s="402">
        <v>15112.5</v>
      </c>
      <c r="E17" s="402">
        <v>19000</v>
      </c>
      <c r="F17" s="402">
        <v>27000</v>
      </c>
      <c r="G17" s="568">
        <v>32500</v>
      </c>
      <c r="H17" s="402"/>
      <c r="I17" s="402"/>
      <c r="J17" s="205"/>
      <c r="K17" s="205"/>
      <c r="L17" s="205"/>
      <c r="M17" s="205"/>
      <c r="N17" s="205"/>
    </row>
    <row r="18" spans="2:14" s="22" customFormat="1" ht="15.75" customHeight="1">
      <c r="B18" s="51" t="s">
        <v>207</v>
      </c>
      <c r="C18" s="402">
        <v>15260</v>
      </c>
      <c r="D18" s="402">
        <v>15688.888888888889</v>
      </c>
      <c r="E18" s="402"/>
      <c r="F18" s="402"/>
      <c r="G18" s="50"/>
      <c r="H18" s="402"/>
      <c r="I18" s="402"/>
      <c r="J18" s="205"/>
      <c r="K18" s="205"/>
      <c r="L18" s="205"/>
      <c r="M18" s="205"/>
      <c r="N18" s="205"/>
    </row>
    <row r="19" spans="2:14" s="22" customFormat="1" ht="65.150000000000006" customHeight="1">
      <c r="B19" s="860" t="s">
        <v>506</v>
      </c>
      <c r="C19" s="861"/>
      <c r="D19" s="861"/>
      <c r="E19" s="861"/>
      <c r="F19" s="861"/>
      <c r="G19" s="861"/>
      <c r="H19" s="861"/>
      <c r="I19" s="862"/>
      <c r="J19" s="489"/>
    </row>
    <row r="20" spans="2:14" s="22" customFormat="1" ht="12.45">
      <c r="B20" s="47"/>
      <c r="C20" s="38"/>
      <c r="D20" s="38"/>
      <c r="E20" s="38"/>
      <c r="F20" s="38"/>
      <c r="G20" s="38"/>
      <c r="H20" s="38"/>
      <c r="J20" s="489"/>
    </row>
    <row r="21" spans="2:14" s="22" customFormat="1" ht="12.45">
      <c r="B21" s="47"/>
      <c r="C21" s="38"/>
      <c r="D21" s="38"/>
      <c r="E21" s="38"/>
      <c r="F21" s="38"/>
      <c r="G21" s="38"/>
      <c r="H21" s="38"/>
      <c r="J21" s="489"/>
    </row>
    <row r="22" spans="2:14" ht="12.45">
      <c r="J22" s="489"/>
      <c r="K22" s="22"/>
    </row>
    <row r="23" spans="2:14" ht="12.45">
      <c r="J23" s="489"/>
      <c r="K23" s="22"/>
    </row>
    <row r="24" spans="2:14" ht="12.45">
      <c r="J24" s="489"/>
      <c r="K24" s="22"/>
    </row>
    <row r="25" spans="2:14" ht="11.95" customHeight="1">
      <c r="J25" s="489"/>
      <c r="K25" s="22"/>
    </row>
    <row r="26" spans="2:14" ht="11.95" customHeight="1">
      <c r="J26" s="489"/>
      <c r="K26" s="22"/>
    </row>
    <row r="27" spans="2:14" ht="11.95" customHeight="1">
      <c r="J27" s="489"/>
      <c r="K27" s="22"/>
    </row>
    <row r="28" spans="2:14" ht="11.95" customHeight="1">
      <c r="J28" s="489"/>
      <c r="K28" s="22"/>
    </row>
    <row r="29" spans="2:14" ht="11.95" customHeight="1">
      <c r="J29" s="489"/>
      <c r="K29" s="22"/>
    </row>
    <row r="30" spans="2:14" ht="11.95" customHeight="1">
      <c r="J30" s="489"/>
      <c r="K30" s="22"/>
    </row>
    <row r="31" spans="2:14" ht="11.95" customHeight="1">
      <c r="J31" s="489"/>
      <c r="K31" s="22"/>
      <c r="L31" s="1" t="s">
        <v>97</v>
      </c>
    </row>
    <row r="32" spans="2:14" ht="11.95" customHeight="1">
      <c r="J32" s="489"/>
      <c r="K32" s="22"/>
    </row>
    <row r="33" spans="2:11" ht="11.95" customHeight="1">
      <c r="J33" s="489"/>
      <c r="K33" s="22"/>
    </row>
    <row r="34" spans="2:11" ht="11.95" customHeight="1">
      <c r="J34" s="489"/>
      <c r="K34" s="22"/>
    </row>
    <row r="35" spans="2:11" ht="11.95" customHeight="1">
      <c r="J35" s="489"/>
      <c r="K35" s="22"/>
    </row>
    <row r="36" spans="2:11" ht="11.95" customHeight="1">
      <c r="J36" s="489"/>
      <c r="K36" s="22"/>
    </row>
    <row r="37" spans="2:11" ht="11.95" customHeight="1">
      <c r="J37" s="489"/>
      <c r="K37" s="22"/>
    </row>
    <row r="38" spans="2:11" ht="11.95" customHeight="1">
      <c r="J38" s="489"/>
      <c r="K38" s="22"/>
    </row>
    <row r="39" spans="2:11" ht="11.95" customHeight="1">
      <c r="J39" s="489"/>
      <c r="K39" s="22"/>
    </row>
    <row r="40" spans="2:11" ht="11.95" customHeight="1">
      <c r="J40" s="489"/>
      <c r="K40" s="22"/>
    </row>
    <row r="41" spans="2:11" ht="11.95" customHeight="1">
      <c r="J41" s="489"/>
      <c r="K41" s="22"/>
    </row>
    <row r="42" spans="2:11" ht="2.95" customHeight="1">
      <c r="J42" s="489"/>
      <c r="K42" s="22"/>
    </row>
    <row r="43" spans="2:11" ht="19" customHeight="1">
      <c r="B43" s="880" t="s">
        <v>507</v>
      </c>
      <c r="C43" s="880"/>
      <c r="D43" s="880"/>
      <c r="E43" s="880"/>
      <c r="F43" s="880"/>
      <c r="G43" s="880"/>
      <c r="H43" s="151"/>
      <c r="J43" s="489"/>
      <c r="K43" s="22"/>
    </row>
    <row r="44" spans="2:11" ht="11.95" customHeight="1">
      <c r="J44" s="489"/>
      <c r="K44" s="22"/>
    </row>
    <row r="45" spans="2:11" ht="11.95" customHeight="1">
      <c r="J45" s="489"/>
      <c r="K45" s="22"/>
    </row>
    <row r="46" spans="2:11" ht="11.95" customHeight="1">
      <c r="J46" s="489"/>
      <c r="K46" s="22"/>
    </row>
    <row r="47" spans="2:11" ht="11.95" customHeight="1">
      <c r="J47" s="489"/>
      <c r="K47" s="22"/>
    </row>
    <row r="48" spans="2:11" ht="11.95" customHeight="1">
      <c r="J48" s="489"/>
      <c r="K48" s="22"/>
    </row>
    <row r="49" spans="10:11" ht="11.95" customHeight="1">
      <c r="J49" s="489"/>
      <c r="K49" s="22"/>
    </row>
    <row r="50" spans="10:11" ht="11.95" customHeight="1">
      <c r="J50" s="489"/>
      <c r="K50" s="22"/>
    </row>
    <row r="51" spans="10:11" ht="11.95" customHeight="1">
      <c r="J51" s="489"/>
      <c r="K51" s="22"/>
    </row>
    <row r="52" spans="10:11" ht="11.95" customHeight="1">
      <c r="J52" s="489"/>
      <c r="K52" s="22"/>
    </row>
    <row r="53" spans="10:11" ht="11.95" customHeight="1">
      <c r="J53" s="489"/>
      <c r="K53" s="22"/>
    </row>
    <row r="54" spans="10:11" ht="11.95" customHeight="1">
      <c r="J54" s="489"/>
      <c r="K54" s="22"/>
    </row>
    <row r="55" spans="10:11" ht="11.95" customHeight="1">
      <c r="J55" s="489"/>
      <c r="K55" s="22"/>
    </row>
    <row r="56" spans="10:11" ht="11.95" customHeight="1">
      <c r="J56" s="489"/>
      <c r="K56" s="22"/>
    </row>
    <row r="57" spans="10:11" ht="11.95" customHeight="1">
      <c r="J57" s="489"/>
      <c r="K57" s="22"/>
    </row>
    <row r="58" spans="10:11" ht="11.95" customHeight="1">
      <c r="J58" s="489"/>
      <c r="K58" s="22"/>
    </row>
    <row r="59" spans="10:11" ht="11.95" customHeight="1">
      <c r="J59" s="489"/>
      <c r="K59" s="22"/>
    </row>
    <row r="60" spans="10:11" ht="11.95" customHeight="1">
      <c r="J60" s="489"/>
      <c r="K60" s="22"/>
    </row>
    <row r="61" spans="10:11" ht="11.95" customHeight="1">
      <c r="J61" s="489"/>
      <c r="K61" s="22"/>
    </row>
    <row r="62" spans="10:11" ht="11.95" customHeight="1">
      <c r="J62" s="489"/>
      <c r="K62" s="22"/>
    </row>
    <row r="63" spans="10:11" ht="11.95" customHeight="1">
      <c r="J63" s="489"/>
      <c r="K63" s="22"/>
    </row>
    <row r="64" spans="10:11" ht="11.95" customHeight="1">
      <c r="J64" s="152"/>
      <c r="K64" s="22"/>
    </row>
    <row r="65" spans="10:11" ht="11.95" customHeight="1">
      <c r="J65" s="152"/>
      <c r="K65" s="22"/>
    </row>
    <row r="66" spans="10:11" ht="11.95" customHeight="1">
      <c r="J66" s="152"/>
      <c r="K66" s="22"/>
    </row>
    <row r="67" spans="10:11" ht="11.95" customHeight="1">
      <c r="J67" s="152"/>
      <c r="K67" s="22"/>
    </row>
    <row r="68" spans="10:11" ht="11.95" customHeight="1">
      <c r="J68" s="152"/>
      <c r="K68" s="22"/>
    </row>
    <row r="69" spans="10:11" ht="11.95" customHeight="1">
      <c r="J69" s="152"/>
      <c r="K69" s="22"/>
    </row>
    <row r="70" spans="10:11" ht="11.95" customHeight="1">
      <c r="J70" s="152"/>
      <c r="K70" s="22"/>
    </row>
    <row r="71" spans="10:11" ht="11.95" customHeight="1">
      <c r="J71" s="152"/>
      <c r="K71" s="22"/>
    </row>
    <row r="72" spans="10:11" ht="11.95" customHeight="1">
      <c r="J72" s="152"/>
      <c r="K72" s="22"/>
    </row>
    <row r="73" spans="10:11" ht="11.95" customHeight="1">
      <c r="J73" s="152"/>
      <c r="K73" s="22"/>
    </row>
    <row r="74" spans="10:11" ht="11.95" customHeight="1">
      <c r="J74" s="152"/>
      <c r="K74" s="22"/>
    </row>
    <row r="75" spans="10:11" ht="11.95" customHeight="1">
      <c r="J75" s="152"/>
      <c r="K75" s="22"/>
    </row>
    <row r="76" spans="10:11" ht="11.95" customHeight="1">
      <c r="J76" s="152"/>
      <c r="K76" s="22"/>
    </row>
    <row r="77" spans="10:11" ht="11.95" customHeight="1">
      <c r="J77" s="152"/>
      <c r="K77" s="22"/>
    </row>
    <row r="78" spans="10:11" ht="11.95" customHeight="1">
      <c r="J78" s="152"/>
      <c r="K78" s="22"/>
    </row>
    <row r="79" spans="10:11" ht="11.95" customHeight="1">
      <c r="J79" s="152"/>
      <c r="K79" s="22"/>
    </row>
    <row r="80" spans="10:11" ht="11.95" customHeight="1">
      <c r="J80" s="152"/>
      <c r="K80" s="22"/>
    </row>
  </sheetData>
  <mergeCells count="6">
    <mergeCell ref="B43:G43"/>
    <mergeCell ref="B19:I19"/>
    <mergeCell ref="B1:I1"/>
    <mergeCell ref="B3:I3"/>
    <mergeCell ref="B4:I4"/>
    <mergeCell ref="B5:I5"/>
  </mergeCells>
  <pageMargins left="0.70866141732283472" right="0.70866141732283472" top="0.74803149606299213" bottom="0.74803149606299213" header="0.31496062992125984" footer="0.31496062992125984"/>
  <pageSetup paperSize="126" scale="77" orientation="portrait" r:id="rId1"/>
  <headerFooter>
    <oddFooter>&amp;C&amp;11&amp;A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C21"/>
  <sheetViews>
    <sheetView zoomScale="90" zoomScaleNormal="90" zoomScalePageLayoutView="90" workbookViewId="0">
      <selection activeCell="AB15" sqref="AB15"/>
    </sheetView>
  </sheetViews>
  <sheetFormatPr baseColWidth="10" defaultColWidth="10.9140625" defaultRowHeight="17.7"/>
  <cols>
    <col min="1" max="1" width="1.75" customWidth="1"/>
    <col min="2" max="2" width="7" customWidth="1"/>
    <col min="3" max="25" width="4.6640625" customWidth="1"/>
    <col min="26" max="26" width="4.33203125" customWidth="1"/>
  </cols>
  <sheetData>
    <row r="1" spans="2:29">
      <c r="B1" s="791" t="s">
        <v>247</v>
      </c>
      <c r="C1" s="791"/>
      <c r="D1" s="791"/>
      <c r="E1" s="791"/>
      <c r="F1" s="791"/>
      <c r="G1" s="791"/>
      <c r="H1" s="791"/>
      <c r="I1" s="791"/>
      <c r="J1" s="791"/>
      <c r="K1" s="791"/>
      <c r="L1" s="791"/>
      <c r="M1" s="791"/>
      <c r="N1" s="791"/>
      <c r="O1" s="791"/>
      <c r="P1" s="791"/>
      <c r="Q1" s="791"/>
      <c r="R1" s="791"/>
      <c r="S1" s="791"/>
      <c r="T1" s="791"/>
      <c r="U1" s="791"/>
      <c r="V1" s="791"/>
      <c r="W1" s="791"/>
      <c r="X1" s="791"/>
      <c r="Y1" s="791"/>
      <c r="Z1" s="791"/>
    </row>
    <row r="2" spans="2:29">
      <c r="B2" s="17"/>
      <c r="C2" s="17"/>
      <c r="D2" s="17"/>
      <c r="E2" s="17"/>
      <c r="F2" s="17"/>
      <c r="G2" s="17"/>
      <c r="H2" s="17"/>
      <c r="I2" s="17"/>
      <c r="J2" s="17"/>
      <c r="K2" s="17"/>
      <c r="L2" s="17"/>
      <c r="M2" s="17"/>
      <c r="N2" s="17"/>
      <c r="O2" s="17"/>
      <c r="P2" s="17"/>
      <c r="Q2" s="17"/>
      <c r="R2" s="17"/>
      <c r="S2" s="17"/>
      <c r="T2" s="17"/>
      <c r="U2" s="17"/>
      <c r="V2" s="17"/>
      <c r="W2" s="17"/>
      <c r="X2" s="17"/>
      <c r="Y2" s="17"/>
    </row>
    <row r="3" spans="2:29">
      <c r="B3" s="791" t="s">
        <v>508</v>
      </c>
      <c r="C3" s="791"/>
      <c r="D3" s="791"/>
      <c r="E3" s="791"/>
      <c r="F3" s="791"/>
      <c r="G3" s="791"/>
      <c r="H3" s="791"/>
      <c r="I3" s="791"/>
      <c r="J3" s="791"/>
      <c r="K3" s="791"/>
      <c r="L3" s="791"/>
      <c r="M3" s="791"/>
      <c r="N3" s="791"/>
      <c r="O3" s="791"/>
      <c r="P3" s="791"/>
      <c r="Q3" s="791"/>
      <c r="R3" s="791"/>
      <c r="S3" s="791"/>
      <c r="T3" s="791"/>
      <c r="U3" s="791"/>
      <c r="V3" s="791"/>
      <c r="W3" s="791"/>
      <c r="X3" s="791"/>
      <c r="Y3" s="791"/>
      <c r="Z3" s="791"/>
    </row>
    <row r="4" spans="2:29">
      <c r="B4" s="808" t="s">
        <v>509</v>
      </c>
      <c r="C4" s="808"/>
      <c r="D4" s="808"/>
      <c r="E4" s="808"/>
      <c r="F4" s="808"/>
      <c r="G4" s="808"/>
      <c r="H4" s="808"/>
      <c r="I4" s="808"/>
      <c r="J4" s="808"/>
      <c r="K4" s="808"/>
      <c r="L4" s="808"/>
      <c r="M4" s="808"/>
      <c r="N4" s="808"/>
      <c r="O4" s="808"/>
      <c r="P4" s="808"/>
      <c r="Q4" s="808"/>
      <c r="R4" s="808"/>
      <c r="S4" s="808"/>
      <c r="T4" s="808"/>
      <c r="U4" s="808"/>
      <c r="V4" s="808"/>
      <c r="W4" s="808"/>
      <c r="X4" s="808"/>
      <c r="Y4" s="808"/>
      <c r="Z4" s="808"/>
    </row>
    <row r="5" spans="2:29" ht="41.25" customHeight="1">
      <c r="B5" s="1023" t="s">
        <v>479</v>
      </c>
      <c r="C5" s="911" t="s">
        <v>510</v>
      </c>
      <c r="D5" s="912"/>
      <c r="E5" s="912"/>
      <c r="F5" s="913"/>
      <c r="G5" s="911" t="s">
        <v>511</v>
      </c>
      <c r="H5" s="912"/>
      <c r="I5" s="912"/>
      <c r="J5" s="913"/>
      <c r="K5" s="911" t="s">
        <v>259</v>
      </c>
      <c r="L5" s="912"/>
      <c r="M5" s="912"/>
      <c r="N5" s="913"/>
      <c r="O5" s="911" t="s">
        <v>512</v>
      </c>
      <c r="P5" s="912"/>
      <c r="Q5" s="912"/>
      <c r="R5" s="913"/>
      <c r="S5" s="911" t="s">
        <v>261</v>
      </c>
      <c r="T5" s="912"/>
      <c r="U5" s="912"/>
      <c r="V5" s="913"/>
      <c r="W5" s="911" t="s">
        <v>164</v>
      </c>
      <c r="X5" s="912"/>
      <c r="Y5" s="912"/>
      <c r="Z5" s="913"/>
    </row>
    <row r="6" spans="2:29" ht="15.75" customHeight="1">
      <c r="B6" s="1023"/>
      <c r="C6" s="286">
        <v>2021</v>
      </c>
      <c r="D6" s="286">
        <v>2022</v>
      </c>
      <c r="E6" s="286" t="s">
        <v>513</v>
      </c>
      <c r="F6" s="286" t="s">
        <v>722</v>
      </c>
      <c r="G6" s="286">
        <v>2021</v>
      </c>
      <c r="H6" s="286">
        <v>2022</v>
      </c>
      <c r="I6" s="286" t="s">
        <v>513</v>
      </c>
      <c r="J6" s="286" t="s">
        <v>722</v>
      </c>
      <c r="K6" s="286">
        <v>2021</v>
      </c>
      <c r="L6" s="286">
        <v>2022</v>
      </c>
      <c r="M6" s="286" t="s">
        <v>513</v>
      </c>
      <c r="N6" s="286" t="s">
        <v>722</v>
      </c>
      <c r="O6" s="286">
        <v>2021</v>
      </c>
      <c r="P6" s="286">
        <v>2022</v>
      </c>
      <c r="Q6" s="286" t="s">
        <v>513</v>
      </c>
      <c r="R6" s="286" t="s">
        <v>722</v>
      </c>
      <c r="S6" s="286">
        <v>2021</v>
      </c>
      <c r="T6" s="286">
        <v>2022</v>
      </c>
      <c r="U6" s="286" t="s">
        <v>513</v>
      </c>
      <c r="V6" s="286" t="s">
        <v>722</v>
      </c>
      <c r="W6" s="286">
        <v>2021</v>
      </c>
      <c r="X6" s="286">
        <v>2022</v>
      </c>
      <c r="Y6" s="286" t="s">
        <v>513</v>
      </c>
      <c r="Z6" s="286" t="s">
        <v>722</v>
      </c>
    </row>
    <row r="7" spans="2:29" ht="15.75" customHeight="1">
      <c r="B7" s="51" t="s">
        <v>212</v>
      </c>
      <c r="C7" s="581" t="s">
        <v>514</v>
      </c>
      <c r="D7" s="581" t="s">
        <v>514</v>
      </c>
      <c r="E7" s="581" t="s">
        <v>514</v>
      </c>
      <c r="F7" s="581"/>
      <c r="G7" s="581" t="s">
        <v>514</v>
      </c>
      <c r="H7" s="581" t="s">
        <v>514</v>
      </c>
      <c r="I7" s="581" t="s">
        <v>514</v>
      </c>
      <c r="J7" s="581"/>
      <c r="K7" s="581" t="s">
        <v>514</v>
      </c>
      <c r="L7" s="581" t="s">
        <v>514</v>
      </c>
      <c r="M7" s="581" t="s">
        <v>514</v>
      </c>
      <c r="N7" s="581"/>
      <c r="O7" s="581" t="s">
        <v>514</v>
      </c>
      <c r="P7" s="581" t="s">
        <v>514</v>
      </c>
      <c r="Q7" s="581" t="s">
        <v>514</v>
      </c>
      <c r="R7" s="581"/>
      <c r="S7" s="581" t="s">
        <v>514</v>
      </c>
      <c r="T7" s="581" t="s">
        <v>514</v>
      </c>
      <c r="U7" s="581" t="s">
        <v>514</v>
      </c>
      <c r="V7" s="581"/>
      <c r="W7" s="581"/>
      <c r="X7" s="581"/>
      <c r="Y7" s="581"/>
      <c r="Z7" s="581" t="s">
        <v>514</v>
      </c>
      <c r="AC7" t="s">
        <v>97</v>
      </c>
    </row>
    <row r="8" spans="2:29" ht="15.75" customHeight="1">
      <c r="B8" s="51" t="s">
        <v>213</v>
      </c>
      <c r="C8" s="581" t="s">
        <v>514</v>
      </c>
      <c r="D8" s="581" t="s">
        <v>514</v>
      </c>
      <c r="E8" s="581" t="s">
        <v>514</v>
      </c>
      <c r="F8" s="581"/>
      <c r="G8" s="581" t="s">
        <v>514</v>
      </c>
      <c r="H8" s="581" t="s">
        <v>514</v>
      </c>
      <c r="I8" s="581" t="s">
        <v>514</v>
      </c>
      <c r="J8" s="581"/>
      <c r="K8" s="581" t="s">
        <v>514</v>
      </c>
      <c r="L8" s="581" t="s">
        <v>514</v>
      </c>
      <c r="M8" s="581" t="s">
        <v>514</v>
      </c>
      <c r="N8" s="581"/>
      <c r="O8" s="581" t="s">
        <v>514</v>
      </c>
      <c r="P8" s="581" t="s">
        <v>514</v>
      </c>
      <c r="Q8" s="581" t="s">
        <v>514</v>
      </c>
      <c r="R8" s="581"/>
      <c r="S8" s="581" t="s">
        <v>514</v>
      </c>
      <c r="T8" s="581" t="s">
        <v>514</v>
      </c>
      <c r="U8" s="581" t="s">
        <v>514</v>
      </c>
      <c r="V8" s="581"/>
      <c r="W8" s="581"/>
      <c r="X8" s="581"/>
      <c r="Y8" s="581"/>
      <c r="Z8" s="581" t="s">
        <v>514</v>
      </c>
    </row>
    <row r="9" spans="2:29" ht="15.75" customHeight="1">
      <c r="B9" s="51" t="s">
        <v>214</v>
      </c>
      <c r="C9" s="581" t="s">
        <v>514</v>
      </c>
      <c r="D9" s="581" t="s">
        <v>514</v>
      </c>
      <c r="E9" s="581">
        <v>275</v>
      </c>
      <c r="F9" s="581"/>
      <c r="G9" s="581">
        <v>216.5</v>
      </c>
      <c r="H9" s="581">
        <v>308.125</v>
      </c>
      <c r="I9" s="581" t="s">
        <v>514</v>
      </c>
      <c r="J9" s="581"/>
      <c r="K9" s="581" t="s">
        <v>514</v>
      </c>
      <c r="L9" s="581">
        <v>298</v>
      </c>
      <c r="M9" s="581" t="s">
        <v>514</v>
      </c>
      <c r="N9" s="581"/>
      <c r="O9" s="581" t="s">
        <v>514</v>
      </c>
      <c r="P9" s="581" t="s">
        <v>514</v>
      </c>
      <c r="Q9" s="581" t="s">
        <v>514</v>
      </c>
      <c r="R9" s="581"/>
      <c r="S9" s="581">
        <v>190</v>
      </c>
      <c r="T9" s="581" t="s">
        <v>514</v>
      </c>
      <c r="U9" s="581" t="s">
        <v>514</v>
      </c>
      <c r="V9" s="581"/>
      <c r="W9" s="581">
        <v>207.66666666666669</v>
      </c>
      <c r="X9" s="581">
        <v>305.08333333333331</v>
      </c>
      <c r="Y9" s="581">
        <v>275</v>
      </c>
      <c r="Z9" s="581"/>
      <c r="AC9" t="s">
        <v>97</v>
      </c>
    </row>
    <row r="10" spans="2:29" ht="15.75" customHeight="1">
      <c r="B10" s="51" t="s">
        <v>215</v>
      </c>
      <c r="C10" s="581">
        <v>210</v>
      </c>
      <c r="D10" s="581">
        <v>310</v>
      </c>
      <c r="E10" s="581">
        <v>263</v>
      </c>
      <c r="F10" s="581">
        <v>231.5</v>
      </c>
      <c r="G10" s="581">
        <v>210.5625</v>
      </c>
      <c r="H10" s="581">
        <v>307.5</v>
      </c>
      <c r="I10" s="581">
        <v>250</v>
      </c>
      <c r="J10" s="581">
        <v>223.26666666666668</v>
      </c>
      <c r="K10" s="581">
        <v>200.83333333333331</v>
      </c>
      <c r="L10" s="581">
        <v>304.92857142857139</v>
      </c>
      <c r="M10" s="581">
        <v>240</v>
      </c>
      <c r="N10" s="581">
        <v>215</v>
      </c>
      <c r="O10" s="581">
        <v>198.66666666666669</v>
      </c>
      <c r="P10" s="581">
        <v>303.33333333333331</v>
      </c>
      <c r="Q10" s="581">
        <v>233.33333333333331</v>
      </c>
      <c r="R10" s="581">
        <v>207</v>
      </c>
      <c r="S10" s="581">
        <v>195.71428571428572</v>
      </c>
      <c r="T10" s="581">
        <v>305</v>
      </c>
      <c r="U10" s="581">
        <v>233.33333333333331</v>
      </c>
      <c r="V10" s="581">
        <v>210</v>
      </c>
      <c r="W10" s="581">
        <v>204.84313725490196</v>
      </c>
      <c r="X10" s="581">
        <v>306.18181818181819</v>
      </c>
      <c r="Y10" s="581">
        <v>243.96666666666667</v>
      </c>
      <c r="Z10" s="581">
        <v>219.09090909090909</v>
      </c>
    </row>
    <row r="11" spans="2:29" ht="15.75" customHeight="1">
      <c r="B11" s="51" t="s">
        <v>216</v>
      </c>
      <c r="C11" s="581">
        <v>210</v>
      </c>
      <c r="D11" s="581">
        <v>312.2</v>
      </c>
      <c r="E11" s="581" t="s">
        <v>514</v>
      </c>
      <c r="F11" s="581">
        <v>233</v>
      </c>
      <c r="G11" s="581">
        <v>210.63157894736844</v>
      </c>
      <c r="H11" s="581">
        <v>308.75</v>
      </c>
      <c r="I11" s="581">
        <v>208.625</v>
      </c>
      <c r="J11" s="581">
        <v>224.6</v>
      </c>
      <c r="K11" s="581">
        <v>205.7</v>
      </c>
      <c r="L11" s="581">
        <v>306</v>
      </c>
      <c r="M11" s="581">
        <v>210.90909090909091</v>
      </c>
      <c r="N11" s="581">
        <v>217.2</v>
      </c>
      <c r="O11" s="581">
        <v>205.05555555555554</v>
      </c>
      <c r="P11" s="581">
        <v>308.39999999999998</v>
      </c>
      <c r="Q11" s="581">
        <v>193.75</v>
      </c>
      <c r="R11" s="581">
        <v>210.125</v>
      </c>
      <c r="S11" s="581">
        <v>204.35714285714286</v>
      </c>
      <c r="T11" s="581">
        <v>308.81818181818181</v>
      </c>
      <c r="U11" s="581">
        <v>193.75</v>
      </c>
      <c r="V11" s="581">
        <v>210</v>
      </c>
      <c r="W11" s="581">
        <v>207</v>
      </c>
      <c r="X11" s="581">
        <v>308.19512195121951</v>
      </c>
      <c r="Y11" s="581">
        <v>206.22580645161293</v>
      </c>
      <c r="Z11" s="581">
        <v>219.34920634920636</v>
      </c>
      <c r="AA11" t="s">
        <v>97</v>
      </c>
      <c r="AB11" t="s">
        <v>97</v>
      </c>
    </row>
    <row r="12" spans="2:29" ht="15.75" customHeight="1">
      <c r="B12" s="51" t="s">
        <v>217</v>
      </c>
      <c r="C12" s="581">
        <v>210</v>
      </c>
      <c r="D12" s="402">
        <v>305</v>
      </c>
      <c r="E12" s="402" t="s">
        <v>514</v>
      </c>
      <c r="F12" s="402">
        <v>218.25</v>
      </c>
      <c r="G12" s="402">
        <v>220.42857142857142</v>
      </c>
      <c r="H12" s="402">
        <v>317.5</v>
      </c>
      <c r="I12" s="402">
        <v>207</v>
      </c>
      <c r="J12" s="402">
        <v>216.11111111111109</v>
      </c>
      <c r="K12" s="402">
        <v>206.88888888888891</v>
      </c>
      <c r="L12" s="402" t="s">
        <v>514</v>
      </c>
      <c r="M12" s="402" t="s">
        <v>514</v>
      </c>
      <c r="N12" s="402">
        <v>214.25</v>
      </c>
      <c r="O12" s="402">
        <v>209.38461538461539</v>
      </c>
      <c r="P12" s="402">
        <v>312.5</v>
      </c>
      <c r="Q12" s="402" t="s">
        <v>514</v>
      </c>
      <c r="R12" s="402">
        <v>210</v>
      </c>
      <c r="S12" s="402">
        <v>207.45454545454544</v>
      </c>
      <c r="T12" s="402">
        <v>300</v>
      </c>
      <c r="U12" s="402">
        <v>190</v>
      </c>
      <c r="V12" s="402">
        <v>213.90909090909091</v>
      </c>
      <c r="W12" s="402">
        <v>211.05</v>
      </c>
      <c r="X12" s="402">
        <v>301.19230769230768</v>
      </c>
      <c r="Y12" s="402">
        <v>198.5</v>
      </c>
      <c r="Z12" s="402">
        <v>214.38888888888891</v>
      </c>
      <c r="AA12" t="s">
        <v>97</v>
      </c>
    </row>
    <row r="13" spans="2:29" ht="15.75" customHeight="1">
      <c r="B13" s="51" t="s">
        <v>218</v>
      </c>
      <c r="C13" s="402" t="s">
        <v>514</v>
      </c>
      <c r="D13" s="402" t="s">
        <v>514</v>
      </c>
      <c r="E13" s="402" t="s">
        <v>514</v>
      </c>
      <c r="F13" s="402" t="s">
        <v>514</v>
      </c>
      <c r="G13" s="402">
        <v>245</v>
      </c>
      <c r="H13" s="402" t="s">
        <v>514</v>
      </c>
      <c r="I13" s="402" t="s">
        <v>514</v>
      </c>
      <c r="J13" s="402">
        <v>220</v>
      </c>
      <c r="K13" s="402">
        <v>206</v>
      </c>
      <c r="L13" s="402">
        <v>308.75</v>
      </c>
      <c r="M13" s="402" t="s">
        <v>514</v>
      </c>
      <c r="N13" s="402" t="s">
        <v>514</v>
      </c>
      <c r="O13" s="402">
        <v>218</v>
      </c>
      <c r="P13" s="402">
        <v>309.44444444444446</v>
      </c>
      <c r="Q13" s="402" t="s">
        <v>514</v>
      </c>
      <c r="R13" s="402" t="s">
        <v>514</v>
      </c>
      <c r="S13" s="402">
        <v>205.33333333333331</v>
      </c>
      <c r="T13" s="402" t="s">
        <v>514</v>
      </c>
      <c r="U13" s="402">
        <v>190</v>
      </c>
      <c r="V13" s="402">
        <v>215.4</v>
      </c>
      <c r="W13" s="402">
        <v>224.54545454545456</v>
      </c>
      <c r="X13" s="402">
        <v>304.28571428571428</v>
      </c>
      <c r="Y13" s="402">
        <v>190</v>
      </c>
      <c r="Z13" s="402">
        <v>216.16666666666669</v>
      </c>
      <c r="AB13" t="s">
        <v>97</v>
      </c>
    </row>
    <row r="14" spans="2:29" ht="15.75" customHeight="1">
      <c r="B14" s="51" t="s">
        <v>219</v>
      </c>
      <c r="C14" s="402" t="s">
        <v>514</v>
      </c>
      <c r="D14" s="402" t="s">
        <v>514</v>
      </c>
      <c r="E14" s="402" t="s">
        <v>514</v>
      </c>
      <c r="F14" s="402"/>
      <c r="G14" s="402">
        <v>245</v>
      </c>
      <c r="H14" s="402" t="s">
        <v>514</v>
      </c>
      <c r="I14" s="402" t="s">
        <v>514</v>
      </c>
      <c r="J14" s="402"/>
      <c r="K14" s="402" t="s">
        <v>514</v>
      </c>
      <c r="L14" s="402">
        <v>310</v>
      </c>
      <c r="M14" s="402" t="s">
        <v>514</v>
      </c>
      <c r="N14" s="402"/>
      <c r="O14" s="402">
        <v>235</v>
      </c>
      <c r="P14" s="402">
        <v>310</v>
      </c>
      <c r="Q14" s="402" t="s">
        <v>514</v>
      </c>
      <c r="R14" s="402"/>
      <c r="S14" s="402">
        <v>220</v>
      </c>
      <c r="T14" s="402" t="s">
        <v>514</v>
      </c>
      <c r="U14" s="402">
        <v>190</v>
      </c>
      <c r="V14" s="402"/>
      <c r="W14" s="402">
        <v>238.75</v>
      </c>
      <c r="X14" s="402">
        <v>310</v>
      </c>
      <c r="Y14" s="402">
        <v>190</v>
      </c>
      <c r="Z14" s="402"/>
      <c r="AA14" t="s">
        <v>97</v>
      </c>
    </row>
    <row r="15" spans="2:29" ht="15.75" customHeight="1">
      <c r="B15" s="51" t="s">
        <v>220</v>
      </c>
      <c r="C15" s="581" t="s">
        <v>514</v>
      </c>
      <c r="D15" s="581" t="s">
        <v>514</v>
      </c>
      <c r="E15" s="581"/>
      <c r="F15" s="581"/>
      <c r="G15" s="581">
        <v>245</v>
      </c>
      <c r="H15" s="581">
        <v>323.33333333333331</v>
      </c>
      <c r="I15" s="581"/>
      <c r="J15" s="581"/>
      <c r="K15" s="581" t="s">
        <v>514</v>
      </c>
      <c r="L15" s="581" t="s">
        <v>514</v>
      </c>
      <c r="M15" s="581"/>
      <c r="N15" s="581"/>
      <c r="O15" s="581">
        <v>235</v>
      </c>
      <c r="P15" s="581">
        <v>315</v>
      </c>
      <c r="Q15" s="581"/>
      <c r="R15" s="581"/>
      <c r="S15" s="581">
        <v>221.66666666666669</v>
      </c>
      <c r="T15" s="581" t="s">
        <v>514</v>
      </c>
      <c r="U15" s="581"/>
      <c r="V15" s="581"/>
      <c r="W15" s="581">
        <v>237.22222222222223</v>
      </c>
      <c r="X15" s="581">
        <v>320</v>
      </c>
      <c r="Y15" s="581"/>
      <c r="Z15" s="581"/>
      <c r="AA15" t="s">
        <v>97</v>
      </c>
    </row>
    <row r="16" spans="2:29" ht="15.75" customHeight="1">
      <c r="B16" s="51" t="s">
        <v>221</v>
      </c>
      <c r="C16" s="581" t="s">
        <v>514</v>
      </c>
      <c r="D16" s="581" t="s">
        <v>514</v>
      </c>
      <c r="E16" s="581"/>
      <c r="F16" s="581"/>
      <c r="G16" s="581">
        <v>250</v>
      </c>
      <c r="H16" s="581">
        <v>327.5</v>
      </c>
      <c r="I16" s="581"/>
      <c r="J16" s="581"/>
      <c r="K16" s="581">
        <v>248.75</v>
      </c>
      <c r="L16" s="581" t="s">
        <v>514</v>
      </c>
      <c r="M16" s="581"/>
      <c r="N16" s="581"/>
      <c r="O16" s="581">
        <v>250</v>
      </c>
      <c r="P16" s="581">
        <v>315</v>
      </c>
      <c r="Q16" s="581"/>
      <c r="R16" s="581"/>
      <c r="S16" s="581">
        <v>225</v>
      </c>
      <c r="T16" s="581" t="s">
        <v>514</v>
      </c>
      <c r="U16" s="581"/>
      <c r="V16" s="581"/>
      <c r="W16" s="581">
        <v>246.05263157894737</v>
      </c>
      <c r="X16" s="581">
        <v>324</v>
      </c>
      <c r="Y16" s="581"/>
      <c r="Z16" s="581"/>
      <c r="AA16" t="s">
        <v>97</v>
      </c>
    </row>
    <row r="17" spans="2:29" ht="15.75" customHeight="1">
      <c r="B17" s="51" t="s">
        <v>206</v>
      </c>
      <c r="C17" s="581" t="s">
        <v>514</v>
      </c>
      <c r="D17" s="581" t="s">
        <v>514</v>
      </c>
      <c r="E17" s="581"/>
      <c r="F17" s="581"/>
      <c r="G17" s="581" t="s">
        <v>514</v>
      </c>
      <c r="H17" s="581">
        <v>330</v>
      </c>
      <c r="I17" s="581"/>
      <c r="J17" s="581"/>
      <c r="K17" s="581" t="s">
        <v>514</v>
      </c>
      <c r="L17" s="581" t="s">
        <v>514</v>
      </c>
      <c r="M17" s="581"/>
      <c r="N17" s="581"/>
      <c r="O17" s="581">
        <v>280</v>
      </c>
      <c r="P17" s="581">
        <v>315</v>
      </c>
      <c r="Q17" s="581"/>
      <c r="R17" s="581"/>
      <c r="S17" s="581">
        <v>250</v>
      </c>
      <c r="T17" s="581" t="s">
        <v>514</v>
      </c>
      <c r="U17" s="581"/>
      <c r="V17" s="581"/>
      <c r="W17" s="581">
        <v>270</v>
      </c>
      <c r="X17" s="581">
        <v>325</v>
      </c>
      <c r="Y17" s="581"/>
      <c r="Z17" s="581"/>
    </row>
    <row r="18" spans="2:29" ht="15.75" customHeight="1">
      <c r="B18" s="51" t="s">
        <v>207</v>
      </c>
      <c r="C18" s="402" t="s">
        <v>514</v>
      </c>
      <c r="D18" s="402"/>
      <c r="E18" s="402"/>
      <c r="F18" s="402"/>
      <c r="G18" s="402" t="s">
        <v>514</v>
      </c>
      <c r="H18" s="402"/>
      <c r="I18" s="402"/>
      <c r="J18" s="402"/>
      <c r="K18" s="402" t="s">
        <v>514</v>
      </c>
      <c r="L18" s="402"/>
      <c r="M18" s="402"/>
      <c r="N18" s="402"/>
      <c r="O18" s="402" t="s">
        <v>514</v>
      </c>
      <c r="P18" s="402"/>
      <c r="Q18" s="402"/>
      <c r="R18" s="402"/>
      <c r="S18" s="402" t="s">
        <v>514</v>
      </c>
      <c r="T18" s="402"/>
      <c r="U18" s="402"/>
      <c r="V18" s="402"/>
      <c r="W18" s="402" t="s">
        <v>514</v>
      </c>
      <c r="X18" s="402"/>
      <c r="Y18" s="402"/>
      <c r="Z18" s="402"/>
    </row>
    <row r="19" spans="2:29" ht="56.3" customHeight="1">
      <c r="B19" s="1020" t="s">
        <v>515</v>
      </c>
      <c r="C19" s="1021"/>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2"/>
      <c r="AC19" t="s">
        <v>97</v>
      </c>
    </row>
    <row r="20" spans="2:29">
      <c r="B20" s="1"/>
      <c r="C20" s="153"/>
      <c r="D20" s="153"/>
      <c r="E20" s="153"/>
      <c r="F20" s="153"/>
      <c r="G20" s="153"/>
      <c r="H20" s="153"/>
      <c r="I20" s="153"/>
      <c r="J20" s="153"/>
      <c r="K20" s="153"/>
      <c r="L20" s="153"/>
      <c r="M20" s="153"/>
      <c r="N20" s="153"/>
      <c r="O20" s="153"/>
      <c r="P20" s="153"/>
      <c r="Q20" s="153"/>
      <c r="R20" s="153"/>
      <c r="S20" s="153"/>
      <c r="T20" s="153"/>
      <c r="U20" s="153"/>
      <c r="V20" s="153"/>
      <c r="W20" s="153"/>
      <c r="X20" s="153"/>
      <c r="Y20" s="153"/>
    </row>
    <row r="21" spans="2:29">
      <c r="C21" s="1"/>
      <c r="D21" s="154"/>
      <c r="E21" s="154"/>
      <c r="F21" s="154"/>
      <c r="G21" s="1"/>
      <c r="H21" s="154"/>
      <c r="I21" s="154"/>
      <c r="J21" s="154"/>
      <c r="K21" s="1"/>
      <c r="L21" s="154"/>
      <c r="M21" s="154"/>
      <c r="N21" s="154"/>
      <c r="O21" s="154"/>
      <c r="P21" s="154"/>
      <c r="Q21" s="154"/>
      <c r="R21" s="154"/>
      <c r="S21" s="1"/>
      <c r="T21" s="154"/>
      <c r="U21" s="154"/>
      <c r="V21" s="154"/>
      <c r="W21" s="1"/>
      <c r="X21" s="154"/>
      <c r="Y21" s="154"/>
    </row>
  </sheetData>
  <mergeCells count="11">
    <mergeCell ref="W5:Z5"/>
    <mergeCell ref="B1:Z1"/>
    <mergeCell ref="B3:Z3"/>
    <mergeCell ref="B4:Z4"/>
    <mergeCell ref="B19:Z19"/>
    <mergeCell ref="B5:B6"/>
    <mergeCell ref="C5:F5"/>
    <mergeCell ref="G5:J5"/>
    <mergeCell ref="K5:N5"/>
    <mergeCell ref="O5:R5"/>
    <mergeCell ref="S5:V5"/>
  </mergeCells>
  <pageMargins left="0.70866141732283472" right="0.70866141732283472" top="0.74803149606299213" bottom="0.74803149606299213" header="0.31496062992125984" footer="0.31496062992125984"/>
  <pageSetup paperSize="126" scale="49" orientation="portrait" r:id="rId1"/>
  <headerFooter>
    <oddFooter>&amp;C&amp;11&amp;A</oddFooter>
  </headerFooter>
  <ignoredErrors>
    <ignoredError sqref="E6 X6 Y6:Z6 S6:U6 O6:Q6 K6:M6 I6 W6 F6:H6 J6 N6 R6 V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pageSetUpPr fitToPage="1"/>
  </sheetPr>
  <dimension ref="B1:X143"/>
  <sheetViews>
    <sheetView topLeftCell="A47" zoomScale="90" zoomScaleNormal="90" zoomScaleSheetLayoutView="75" workbookViewId="0">
      <selection activeCell="I64" sqref="I64"/>
    </sheetView>
  </sheetViews>
  <sheetFormatPr baseColWidth="10" defaultColWidth="10.9140625" defaultRowHeight="11.8"/>
  <cols>
    <col min="1" max="1" width="0.4140625" style="1" customWidth="1"/>
    <col min="2" max="2" width="10" style="4" customWidth="1"/>
    <col min="3" max="7" width="11.1640625" style="1" customWidth="1"/>
    <col min="8" max="24" width="10.9140625" style="531"/>
    <col min="25" max="16384" width="10.9140625" style="1"/>
  </cols>
  <sheetData>
    <row r="1" spans="2:24" s="18" customFormat="1" ht="13.1">
      <c r="B1" s="791" t="s">
        <v>250</v>
      </c>
      <c r="C1" s="791"/>
      <c r="D1" s="791"/>
      <c r="E1" s="791"/>
      <c r="F1" s="791"/>
      <c r="G1" s="791"/>
      <c r="H1" s="535"/>
      <c r="I1" s="535"/>
      <c r="J1" s="535"/>
      <c r="K1" s="535"/>
      <c r="L1" s="535"/>
      <c r="M1" s="535"/>
      <c r="N1" s="535"/>
      <c r="O1" s="535"/>
      <c r="P1" s="535"/>
      <c r="Q1" s="535"/>
      <c r="R1" s="535"/>
      <c r="S1" s="535"/>
      <c r="T1" s="535"/>
      <c r="U1" s="535"/>
      <c r="V1" s="535"/>
      <c r="W1" s="535"/>
      <c r="X1" s="535"/>
    </row>
    <row r="2" spans="2:24" s="18" customFormat="1" ht="13.1">
      <c r="B2" s="17"/>
      <c r="C2" s="15"/>
      <c r="D2" s="15"/>
      <c r="E2" s="15"/>
      <c r="F2" s="15"/>
      <c r="G2" s="15"/>
      <c r="H2" s="535"/>
      <c r="I2" s="535"/>
      <c r="J2" s="535"/>
      <c r="K2" s="535"/>
      <c r="L2" s="535"/>
      <c r="M2" s="535"/>
      <c r="N2" s="535"/>
      <c r="O2" s="535"/>
      <c r="P2" s="535"/>
      <c r="Q2" s="535"/>
      <c r="R2" s="535"/>
      <c r="S2" s="535"/>
      <c r="T2" s="535"/>
      <c r="U2" s="535"/>
      <c r="V2" s="535"/>
      <c r="W2" s="535"/>
      <c r="X2" s="535"/>
    </row>
    <row r="3" spans="2:24" s="18" customFormat="1" ht="13.1">
      <c r="B3" s="791" t="s">
        <v>55</v>
      </c>
      <c r="C3" s="791"/>
      <c r="D3" s="791"/>
      <c r="E3" s="791"/>
      <c r="F3" s="791"/>
      <c r="G3" s="791"/>
      <c r="H3" s="535"/>
      <c r="I3" s="535"/>
      <c r="J3" s="535"/>
      <c r="K3" s="535"/>
      <c r="L3" s="535"/>
      <c r="M3" s="535"/>
      <c r="N3" s="535"/>
      <c r="O3" s="535"/>
      <c r="P3" s="535"/>
      <c r="Q3" s="535"/>
      <c r="R3" s="535"/>
      <c r="S3" s="535"/>
      <c r="T3" s="535"/>
      <c r="U3" s="535"/>
      <c r="V3" s="535"/>
      <c r="W3" s="535"/>
      <c r="X3" s="535"/>
    </row>
    <row r="4" spans="2:24" s="18" customFormat="1" ht="13.1">
      <c r="B4" s="791" t="s">
        <v>516</v>
      </c>
      <c r="C4" s="791"/>
      <c r="D4" s="791"/>
      <c r="E4" s="791"/>
      <c r="F4" s="791"/>
      <c r="G4" s="791"/>
      <c r="H4" s="535"/>
      <c r="I4" s="535"/>
      <c r="J4" s="535"/>
      <c r="K4" s="535"/>
      <c r="L4" s="535"/>
      <c r="M4" s="535"/>
      <c r="N4" s="535"/>
      <c r="O4" s="535"/>
      <c r="P4" s="535"/>
      <c r="Q4" s="535"/>
      <c r="R4" s="535"/>
      <c r="S4" s="535"/>
      <c r="T4" s="535"/>
      <c r="U4" s="535"/>
      <c r="V4" s="535"/>
      <c r="W4" s="535"/>
      <c r="X4" s="535"/>
    </row>
    <row r="5" spans="2:24" s="18" customFormat="1" ht="52.4">
      <c r="B5" s="463" t="s">
        <v>211</v>
      </c>
      <c r="C5" s="362" t="s">
        <v>517</v>
      </c>
      <c r="D5" s="362" t="s">
        <v>518</v>
      </c>
      <c r="E5" s="362" t="s">
        <v>519</v>
      </c>
      <c r="F5" s="362" t="s">
        <v>520</v>
      </c>
      <c r="G5" s="362" t="s">
        <v>521</v>
      </c>
      <c r="H5" s="535"/>
      <c r="I5" s="535"/>
      <c r="J5" s="535"/>
      <c r="K5" s="535"/>
      <c r="L5" s="535"/>
      <c r="M5" s="535"/>
      <c r="N5" s="535"/>
      <c r="O5" s="535"/>
      <c r="P5" s="535"/>
      <c r="Q5" s="535"/>
      <c r="R5" s="535"/>
      <c r="S5" s="535"/>
      <c r="T5" s="535"/>
      <c r="U5" s="535"/>
      <c r="V5" s="535"/>
      <c r="W5" s="535"/>
      <c r="X5" s="535"/>
    </row>
    <row r="6" spans="2:24" ht="15.75" customHeight="1">
      <c r="B6" s="492">
        <v>44197</v>
      </c>
      <c r="C6" s="129">
        <v>184869.58</v>
      </c>
      <c r="D6" s="129">
        <v>177879.99039999998</v>
      </c>
      <c r="E6" s="129"/>
      <c r="F6" s="129">
        <v>211783.83736774194</v>
      </c>
      <c r="G6" s="129">
        <v>204608.6494516129</v>
      </c>
      <c r="H6" s="543"/>
      <c r="I6" s="543"/>
    </row>
    <row r="7" spans="2:24" ht="15.75" customHeight="1">
      <c r="B7" s="492">
        <v>44228</v>
      </c>
      <c r="C7" s="129">
        <v>179089.39290000001</v>
      </c>
      <c r="D7" s="129">
        <v>182803.71109999999</v>
      </c>
      <c r="E7" s="129"/>
      <c r="F7" s="129">
        <v>207290.11847500002</v>
      </c>
      <c r="G7" s="129">
        <v>210700.34007499999</v>
      </c>
      <c r="H7" s="543"/>
      <c r="I7" s="543"/>
    </row>
    <row r="8" spans="2:24" ht="15.75" customHeight="1">
      <c r="B8" s="492">
        <v>44256</v>
      </c>
      <c r="C8" s="129">
        <v>171009.28909999999</v>
      </c>
      <c r="D8" s="129">
        <v>182130.01380000002</v>
      </c>
      <c r="E8" s="129">
        <v>207666.66666666669</v>
      </c>
      <c r="F8" s="129">
        <v>200314.10971612902</v>
      </c>
      <c r="G8" s="129">
        <v>219557.6423870968</v>
      </c>
      <c r="H8" s="543"/>
      <c r="I8" s="543"/>
    </row>
    <row r="9" spans="2:24" ht="15.75" customHeight="1">
      <c r="B9" s="492">
        <v>44287</v>
      </c>
      <c r="C9" s="129">
        <v>181563.52499999999</v>
      </c>
      <c r="D9" s="129">
        <v>195253.34399999998</v>
      </c>
      <c r="E9" s="129">
        <v>204843.13725490196</v>
      </c>
      <c r="F9" s="129">
        <v>214592.74980000002</v>
      </c>
      <c r="G9" s="129">
        <v>223486.54144</v>
      </c>
      <c r="H9" s="543"/>
      <c r="I9" s="543"/>
    </row>
    <row r="10" spans="2:24" ht="15.75" customHeight="1">
      <c r="B10" s="492">
        <v>44317</v>
      </c>
      <c r="C10" s="129">
        <v>192388.54860000001</v>
      </c>
      <c r="D10" s="129">
        <v>222666.7212</v>
      </c>
      <c r="E10" s="129">
        <v>207000</v>
      </c>
      <c r="F10" s="129">
        <v>229326.1886774193</v>
      </c>
      <c r="G10" s="129">
        <v>253766.05066451611</v>
      </c>
      <c r="H10" s="543"/>
      <c r="I10" s="543"/>
    </row>
    <row r="11" spans="2:24" ht="15.75" customHeight="1">
      <c r="B11" s="492">
        <v>44348</v>
      </c>
      <c r="C11" s="129">
        <v>180596.0478</v>
      </c>
      <c r="D11" s="129">
        <v>220533.9516</v>
      </c>
      <c r="E11" s="129">
        <v>211050</v>
      </c>
      <c r="F11" s="129">
        <v>221365.48629333329</v>
      </c>
      <c r="G11" s="129">
        <v>261293.41720666667</v>
      </c>
      <c r="H11" s="543"/>
      <c r="I11" s="543"/>
    </row>
    <row r="12" spans="2:24" ht="15.75" customHeight="1">
      <c r="B12" s="492">
        <v>44378</v>
      </c>
      <c r="C12" s="129">
        <v>177929.32400000002</v>
      </c>
      <c r="D12" s="129">
        <v>212749.74000000002</v>
      </c>
      <c r="E12" s="129">
        <v>224545.45454545456</v>
      </c>
      <c r="F12" s="129">
        <v>218950.94433548389</v>
      </c>
      <c r="G12" s="129">
        <v>253709.40120645161</v>
      </c>
      <c r="H12" s="543"/>
      <c r="I12" s="543"/>
    </row>
    <row r="13" spans="2:24" ht="15.75" customHeight="1">
      <c r="B13" s="492">
        <v>44409</v>
      </c>
      <c r="C13" s="129">
        <v>185521.557</v>
      </c>
      <c r="D13" s="129">
        <v>204455.82940000002</v>
      </c>
      <c r="E13" s="129">
        <v>238750</v>
      </c>
      <c r="F13" s="129">
        <v>229297.24854838711</v>
      </c>
      <c r="G13" s="129">
        <v>260123.74867419357</v>
      </c>
      <c r="H13" s="543"/>
      <c r="I13" s="543"/>
    </row>
    <row r="14" spans="2:24" ht="15.75" customHeight="1">
      <c r="B14" s="492">
        <v>44440</v>
      </c>
      <c r="C14" s="129">
        <v>188502.19650000002</v>
      </c>
      <c r="D14" s="129">
        <v>219102.948</v>
      </c>
      <c r="E14" s="129">
        <v>237222.22222222222</v>
      </c>
      <c r="F14" s="129">
        <v>240269.99028666667</v>
      </c>
      <c r="G14" s="129">
        <v>273469.78865666664</v>
      </c>
      <c r="H14" s="543"/>
      <c r="I14" s="543"/>
    </row>
    <row r="15" spans="2:24" ht="15.75" customHeight="1">
      <c r="B15" s="492">
        <v>44470</v>
      </c>
      <c r="C15" s="129">
        <v>195199.30009999999</v>
      </c>
      <c r="D15" s="129">
        <v>212974.7886</v>
      </c>
      <c r="E15" s="129">
        <v>246052.63157894736</v>
      </c>
      <c r="F15" s="129">
        <v>254696.19292580648</v>
      </c>
      <c r="G15" s="129">
        <v>270655.19530322577</v>
      </c>
      <c r="H15" s="543"/>
      <c r="I15" s="543"/>
    </row>
    <row r="16" spans="2:24" ht="15.75" customHeight="1">
      <c r="B16" s="492">
        <v>44501</v>
      </c>
      <c r="C16" s="129">
        <v>204373.93</v>
      </c>
      <c r="D16" s="129">
        <v>217262.08320000002</v>
      </c>
      <c r="E16" s="129">
        <v>270000</v>
      </c>
      <c r="F16" s="129">
        <v>257811.95759666667</v>
      </c>
      <c r="G16" s="129">
        <v>268216.5852733333</v>
      </c>
      <c r="H16" s="543"/>
      <c r="I16" s="543"/>
    </row>
    <row r="17" spans="2:10" ht="15.75" customHeight="1">
      <c r="B17" s="492">
        <v>44531</v>
      </c>
      <c r="C17" s="129">
        <v>220601.37600000002</v>
      </c>
      <c r="D17" s="129">
        <v>232463.58239999998</v>
      </c>
      <c r="E17" s="129"/>
      <c r="F17" s="129">
        <v>278468.04696774192</v>
      </c>
      <c r="G17" s="129">
        <v>309285.57103225804</v>
      </c>
      <c r="H17" s="543"/>
      <c r="I17" s="543"/>
    </row>
    <row r="18" spans="2:10" ht="15.75" customHeight="1">
      <c r="B18" s="492">
        <v>44562</v>
      </c>
      <c r="C18" s="129">
        <v>223951.0815</v>
      </c>
      <c r="D18" s="129">
        <v>233388.21550000002</v>
      </c>
      <c r="E18" s="129"/>
      <c r="F18" s="129">
        <v>281692.06228064513</v>
      </c>
      <c r="G18" s="129">
        <v>340306.0012483871</v>
      </c>
      <c r="H18" s="543"/>
      <c r="I18" s="543"/>
    </row>
    <row r="19" spans="2:10" ht="15.75" customHeight="1">
      <c r="B19" s="492">
        <v>44593</v>
      </c>
      <c r="C19" s="129">
        <v>231798.5747</v>
      </c>
      <c r="D19" s="129">
        <v>243073.34260000003</v>
      </c>
      <c r="E19" s="129"/>
      <c r="F19" s="129">
        <v>289365.90606785711</v>
      </c>
      <c r="G19" s="129">
        <v>307708.69703571423</v>
      </c>
      <c r="H19" s="543"/>
      <c r="I19" s="543"/>
    </row>
    <row r="20" spans="2:10" ht="15.75" customHeight="1">
      <c r="B20" s="492">
        <v>44621</v>
      </c>
      <c r="C20" s="129">
        <v>268487.88050000003</v>
      </c>
      <c r="D20" s="129">
        <v>287860.24609999999</v>
      </c>
      <c r="E20" s="129">
        <v>305083.33333333331</v>
      </c>
      <c r="F20" s="129">
        <v>325961.54034516128</v>
      </c>
      <c r="G20" s="129">
        <v>351935.53192903224</v>
      </c>
      <c r="H20" s="543"/>
      <c r="I20" s="543"/>
    </row>
    <row r="21" spans="2:10" ht="15.75" customHeight="1">
      <c r="B21" s="492">
        <v>44652</v>
      </c>
      <c r="C21" s="129">
        <v>257577.92</v>
      </c>
      <c r="D21" s="129">
        <v>290109.35920000001</v>
      </c>
      <c r="E21" s="129">
        <v>306181.81818181818</v>
      </c>
      <c r="F21" s="129">
        <v>313187.45085741091</v>
      </c>
      <c r="G21" s="129">
        <v>353409.80923928082</v>
      </c>
      <c r="H21" s="543"/>
      <c r="I21" s="543"/>
    </row>
    <row r="22" spans="2:10" ht="15.75" customHeight="1">
      <c r="B22" s="492">
        <v>44682</v>
      </c>
      <c r="C22" s="129">
        <v>267303.033</v>
      </c>
      <c r="D22" s="129">
        <v>298815.402</v>
      </c>
      <c r="E22" s="129">
        <v>308195.12195121951</v>
      </c>
      <c r="F22" s="129">
        <v>328317.9417258529</v>
      </c>
      <c r="G22" s="129">
        <v>368536.53333264327</v>
      </c>
      <c r="H22" s="543"/>
      <c r="I22" s="543"/>
    </row>
    <row r="23" spans="2:10" ht="15.75" customHeight="1">
      <c r="B23" s="492">
        <v>44713</v>
      </c>
      <c r="C23" s="129">
        <v>256130.12200000003</v>
      </c>
      <c r="D23" s="129">
        <v>293286.65975200001</v>
      </c>
      <c r="E23" s="129">
        <v>301192.30769230769</v>
      </c>
      <c r="F23" s="129">
        <v>323023.16319260158</v>
      </c>
      <c r="G23" s="129">
        <v>358602.98037731141</v>
      </c>
      <c r="H23" s="543"/>
      <c r="I23" s="543" t="s">
        <v>97</v>
      </c>
    </row>
    <row r="24" spans="2:10" ht="15.75" customHeight="1">
      <c r="B24" s="492">
        <v>44743</v>
      </c>
      <c r="C24" s="129">
        <v>284777.80600000004</v>
      </c>
      <c r="D24" s="129">
        <v>326090.23429599998</v>
      </c>
      <c r="E24" s="129">
        <v>304285.71428571426</v>
      </c>
      <c r="F24" s="129">
        <v>332483.92989805754</v>
      </c>
      <c r="G24" s="129">
        <v>374141.28018188762</v>
      </c>
      <c r="H24" s="391"/>
      <c r="I24" s="612"/>
      <c r="J24" s="611"/>
    </row>
    <row r="25" spans="2:10" ht="15.75" customHeight="1">
      <c r="B25" s="492">
        <v>44775</v>
      </c>
      <c r="C25" s="129">
        <v>253543.56600000002</v>
      </c>
      <c r="D25" s="129">
        <v>277554.05850000004</v>
      </c>
      <c r="E25" s="129">
        <v>310000</v>
      </c>
      <c r="F25" s="129">
        <v>320957.85711085866</v>
      </c>
      <c r="G25" s="129">
        <v>347380.9919403739</v>
      </c>
      <c r="H25" s="543"/>
      <c r="I25" s="11"/>
      <c r="J25" s="11"/>
    </row>
    <row r="26" spans="2:10" ht="15.75" customHeight="1">
      <c r="B26" s="492">
        <v>44805</v>
      </c>
      <c r="C26" s="129">
        <v>271569.0086</v>
      </c>
      <c r="D26" s="129">
        <v>300055.84789999999</v>
      </c>
      <c r="E26" s="129">
        <v>320000</v>
      </c>
      <c r="F26" s="129">
        <v>334183.81606946548</v>
      </c>
      <c r="G26" s="129">
        <v>368047.10745725944</v>
      </c>
      <c r="H26" s="543"/>
      <c r="I26" s="11"/>
      <c r="J26" s="11"/>
    </row>
    <row r="27" spans="2:10" ht="15.75" customHeight="1">
      <c r="B27" s="492">
        <v>44835</v>
      </c>
      <c r="C27" s="129">
        <v>294614.85689999996</v>
      </c>
      <c r="D27" s="129">
        <v>337333.58099999995</v>
      </c>
      <c r="E27" s="129">
        <v>324000</v>
      </c>
      <c r="F27" s="129">
        <v>363467.73474069417</v>
      </c>
      <c r="G27" s="129">
        <v>413010.57159652014</v>
      </c>
      <c r="H27" s="543"/>
      <c r="I27" s="543"/>
    </row>
    <row r="28" spans="2:10" ht="15.75" customHeight="1">
      <c r="B28" s="492">
        <v>44867</v>
      </c>
      <c r="C28" s="129">
        <v>275903.663</v>
      </c>
      <c r="D28" s="129">
        <v>305827.00449999998</v>
      </c>
      <c r="E28" s="129">
        <v>325000</v>
      </c>
      <c r="F28" s="129">
        <v>348818.8223116491</v>
      </c>
      <c r="G28" s="129">
        <v>381249.29532405041</v>
      </c>
      <c r="H28" s="543"/>
      <c r="I28" s="543"/>
    </row>
    <row r="29" spans="2:10" ht="15.75" customHeight="1">
      <c r="B29" s="492">
        <v>44896</v>
      </c>
      <c r="C29" s="129">
        <v>272487.87880000001</v>
      </c>
      <c r="D29" s="129">
        <v>273065.81439999997</v>
      </c>
      <c r="E29" s="129"/>
      <c r="F29" s="129">
        <v>340194.49485339003</v>
      </c>
      <c r="G29" s="129">
        <v>345873.38964578963</v>
      </c>
      <c r="H29" s="543"/>
      <c r="I29" s="543"/>
    </row>
    <row r="30" spans="2:10" ht="15.75" customHeight="1">
      <c r="B30" s="492">
        <v>44927</v>
      </c>
      <c r="C30" s="129">
        <v>256884.31580000001</v>
      </c>
      <c r="D30" s="129">
        <v>250901.61420000001</v>
      </c>
      <c r="E30" s="129"/>
      <c r="F30" s="129">
        <v>321712.75971876353</v>
      </c>
      <c r="G30" s="129">
        <v>318957.57381631457</v>
      </c>
      <c r="H30" s="543"/>
      <c r="I30" s="543"/>
    </row>
    <row r="31" spans="2:10" ht="15.75" customHeight="1">
      <c r="B31" s="492">
        <v>44958</v>
      </c>
      <c r="C31" s="129">
        <v>249336.51100000003</v>
      </c>
      <c r="D31" s="129">
        <v>238208.76660000003</v>
      </c>
      <c r="E31" s="129"/>
      <c r="F31" s="129">
        <v>309528.51398433873</v>
      </c>
      <c r="G31" s="129">
        <v>303605.59436584817</v>
      </c>
      <c r="H31" s="543"/>
      <c r="I31" s="543"/>
    </row>
    <row r="32" spans="2:10" ht="15.75" customHeight="1">
      <c r="B32" s="492">
        <v>44986</v>
      </c>
      <c r="C32" s="129">
        <v>242183.95419999998</v>
      </c>
      <c r="D32" s="129">
        <v>235150.47539999997</v>
      </c>
      <c r="E32" s="129">
        <v>275000</v>
      </c>
      <c r="F32" s="129">
        <v>291259.37675459916</v>
      </c>
      <c r="G32" s="129">
        <v>286273.46229565929</v>
      </c>
      <c r="H32" s="543"/>
      <c r="I32" s="543"/>
    </row>
    <row r="33" spans="2:10" ht="15.75" customHeight="1">
      <c r="B33" s="492">
        <v>45017</v>
      </c>
      <c r="C33" s="129">
        <v>227698.03320000001</v>
      </c>
      <c r="D33" s="129">
        <v>236672.86279999997</v>
      </c>
      <c r="E33" s="129">
        <v>243966.66666666666</v>
      </c>
      <c r="F33" s="129">
        <v>264243.68709942285</v>
      </c>
      <c r="G33" s="129">
        <v>286983.31785287743</v>
      </c>
      <c r="H33" s="543"/>
      <c r="I33" s="543"/>
    </row>
    <row r="34" spans="2:10" ht="15.75" customHeight="1">
      <c r="B34" s="492">
        <v>45047</v>
      </c>
      <c r="C34" s="129">
        <v>202575.03599999999</v>
      </c>
      <c r="D34" s="129">
        <v>214498.73119999998</v>
      </c>
      <c r="E34" s="129">
        <v>206225.80645161294</v>
      </c>
      <c r="F34" s="129">
        <v>238629.79265108533</v>
      </c>
      <c r="G34" s="129">
        <v>264224.69385794905</v>
      </c>
      <c r="H34" s="543"/>
      <c r="I34" s="543"/>
    </row>
    <row r="35" spans="2:10" ht="15.75" customHeight="1">
      <c r="B35" s="492">
        <v>45078</v>
      </c>
      <c r="C35" s="129">
        <v>189913.1341</v>
      </c>
      <c r="D35" s="129">
        <v>219388.34359999999</v>
      </c>
      <c r="E35" s="129">
        <v>198500</v>
      </c>
      <c r="F35" s="129">
        <v>228309.99184937056</v>
      </c>
      <c r="G35" s="129">
        <v>270278.89188420906</v>
      </c>
      <c r="H35" s="543"/>
      <c r="I35" s="543"/>
    </row>
    <row r="36" spans="2:10" ht="15.75" customHeight="1">
      <c r="B36" s="492">
        <v>45108</v>
      </c>
      <c r="C36" s="129">
        <v>185243.71600000001</v>
      </c>
      <c r="D36" s="129">
        <v>198355.72400000002</v>
      </c>
      <c r="E36" s="129">
        <v>190000</v>
      </c>
      <c r="F36" s="129">
        <v>223840.26270040357</v>
      </c>
      <c r="G36" s="129">
        <v>252110.23800651822</v>
      </c>
      <c r="H36" s="543"/>
      <c r="I36" s="543"/>
    </row>
    <row r="37" spans="2:10" ht="15.75" customHeight="1">
      <c r="B37" s="492">
        <v>45139</v>
      </c>
      <c r="C37" s="129">
        <v>187971.38879999999</v>
      </c>
      <c r="D37" s="129">
        <v>185318.84280000001</v>
      </c>
      <c r="E37" s="129">
        <v>190000</v>
      </c>
      <c r="F37" s="129">
        <v>226384.06210566466</v>
      </c>
      <c r="G37" s="129">
        <v>239921.25573202517</v>
      </c>
      <c r="H37" s="543"/>
      <c r="I37" s="543"/>
    </row>
    <row r="38" spans="2:10" ht="15.75" customHeight="1">
      <c r="B38" s="492">
        <v>45170</v>
      </c>
      <c r="C38" s="129">
        <v>209487.82800000001</v>
      </c>
      <c r="D38" s="129">
        <v>204694.37999999998</v>
      </c>
      <c r="E38" s="129"/>
      <c r="F38" s="129">
        <v>246377.82027859319</v>
      </c>
      <c r="G38" s="129">
        <v>249669.46663525698</v>
      </c>
      <c r="H38" s="543"/>
      <c r="I38" s="543"/>
    </row>
    <row r="39" spans="2:10" ht="15.75" customHeight="1">
      <c r="B39" s="492">
        <v>45200</v>
      </c>
      <c r="C39" s="129">
        <v>227252.182</v>
      </c>
      <c r="D39" s="129">
        <v>210976.21249999999</v>
      </c>
      <c r="E39" s="129"/>
      <c r="F39" s="129">
        <v>271104.8392206342</v>
      </c>
      <c r="G39" s="129">
        <v>259053.70537095939</v>
      </c>
      <c r="H39" s="543"/>
      <c r="I39" s="543"/>
    </row>
    <row r="40" spans="2:10" ht="15.75" customHeight="1">
      <c r="B40" s="492">
        <v>45231</v>
      </c>
      <c r="C40" s="129">
        <v>188963.1893</v>
      </c>
      <c r="D40" s="129">
        <v>187934.72169999999</v>
      </c>
      <c r="E40" s="129"/>
      <c r="F40" s="129">
        <v>228825.92182497625</v>
      </c>
      <c r="G40" s="129">
        <v>237657.54091550939</v>
      </c>
      <c r="H40" s="543"/>
      <c r="I40" s="543"/>
    </row>
    <row r="41" spans="2:10" ht="15.75" customHeight="1">
      <c r="B41" s="492">
        <v>45261</v>
      </c>
      <c r="C41" s="129">
        <v>189663.44279999999</v>
      </c>
      <c r="D41" s="129">
        <v>180085.80629999997</v>
      </c>
      <c r="E41" s="129"/>
      <c r="F41" s="129">
        <v>229490.196411932</v>
      </c>
      <c r="G41" s="129">
        <v>225358.79969975789</v>
      </c>
      <c r="H41" s="543"/>
      <c r="I41" s="543"/>
    </row>
    <row r="42" spans="2:10" ht="15.75" customHeight="1">
      <c r="B42" s="492">
        <v>45292</v>
      </c>
      <c r="C42" s="129">
        <v>189179.71650000001</v>
      </c>
      <c r="D42" s="129">
        <v>185792.91380000001</v>
      </c>
      <c r="E42" s="129"/>
      <c r="F42" s="129">
        <v>230299.71873936121</v>
      </c>
      <c r="G42" s="129">
        <v>234967.20297072741</v>
      </c>
      <c r="H42" s="543"/>
      <c r="I42" s="543"/>
    </row>
    <row r="43" spans="2:10" ht="15.75" customHeight="1">
      <c r="B43" s="492">
        <v>45323</v>
      </c>
      <c r="C43" s="129">
        <v>183853.25520000001</v>
      </c>
      <c r="D43" s="129">
        <v>185693.42560000002</v>
      </c>
      <c r="E43" s="129"/>
      <c r="F43" s="129">
        <v>226704.88552410074</v>
      </c>
      <c r="G43" s="129">
        <v>235408.17860781512</v>
      </c>
      <c r="H43" s="543"/>
      <c r="I43" s="543"/>
    </row>
    <row r="44" spans="2:10" ht="15.75" customHeight="1">
      <c r="B44" s="492">
        <v>45352</v>
      </c>
      <c r="C44" s="129">
        <v>183064.60089999999</v>
      </c>
      <c r="D44" s="129">
        <v>185019.81949999998</v>
      </c>
      <c r="E44" s="129"/>
      <c r="F44" s="129">
        <v>229095.54608539771</v>
      </c>
      <c r="G44" s="129">
        <v>233368.24883287004</v>
      </c>
      <c r="H44" s="11"/>
      <c r="I44" s="11"/>
      <c r="J44" s="11"/>
    </row>
    <row r="45" spans="2:10" ht="15.75" customHeight="1">
      <c r="B45" s="492">
        <v>45383</v>
      </c>
      <c r="C45" s="129">
        <v>186267.16</v>
      </c>
      <c r="D45" s="129">
        <v>184961.36959999998</v>
      </c>
      <c r="E45" s="129">
        <v>219090.90909090909</v>
      </c>
      <c r="F45" s="129">
        <v>230820.24665239264</v>
      </c>
      <c r="G45" s="129">
        <v>236019.30090614976</v>
      </c>
      <c r="H45" s="11"/>
      <c r="I45" s="11"/>
      <c r="J45" s="11"/>
    </row>
    <row r="46" spans="2:10" ht="15.75" customHeight="1">
      <c r="B46" s="492">
        <v>45413</v>
      </c>
      <c r="C46" s="129">
        <v>181888.20225600002</v>
      </c>
      <c r="D46" s="129">
        <v>182388.997584</v>
      </c>
      <c r="E46" s="129">
        <v>219349.20634920636</v>
      </c>
      <c r="F46" s="129">
        <v>228969.74387281548</v>
      </c>
      <c r="G46" s="129">
        <v>227661.75192194071</v>
      </c>
      <c r="H46" s="11"/>
      <c r="I46" s="11"/>
      <c r="J46" s="11"/>
    </row>
    <row r="47" spans="2:10" ht="15.75" customHeight="1">
      <c r="B47" s="492">
        <v>45444</v>
      </c>
      <c r="C47" s="129">
        <v>178177.79200000002</v>
      </c>
      <c r="D47" s="129">
        <v>181187.55200000003</v>
      </c>
      <c r="E47" s="129">
        <v>214388.88888888891</v>
      </c>
      <c r="F47" s="129">
        <v>227263.15653248091</v>
      </c>
      <c r="G47" s="129">
        <v>228393.22214871517</v>
      </c>
      <c r="H47" s="11"/>
      <c r="I47" s="11"/>
      <c r="J47" s="11"/>
    </row>
    <row r="48" spans="2:10" ht="15.75" customHeight="1">
      <c r="B48" s="492">
        <v>45474</v>
      </c>
      <c r="C48" s="129">
        <v>172117.82733599999</v>
      </c>
      <c r="D48" s="129">
        <v>172544.60464799998</v>
      </c>
      <c r="E48" s="129">
        <v>216166.66666666669</v>
      </c>
      <c r="F48" s="129">
        <v>221777.07260276593</v>
      </c>
      <c r="G48" s="129">
        <v>221529.61401153906</v>
      </c>
      <c r="H48" s="11"/>
      <c r="I48" s="11"/>
      <c r="J48" s="11"/>
    </row>
    <row r="49" spans="2:11" ht="24.9" customHeight="1">
      <c r="B49" s="1020" t="s">
        <v>522</v>
      </c>
      <c r="C49" s="1021"/>
      <c r="D49" s="1021"/>
      <c r="E49" s="1021"/>
      <c r="F49" s="1021"/>
      <c r="G49" s="1022"/>
    </row>
    <row r="50" spans="2:11" ht="15.05" customHeight="1">
      <c r="B50" s="1"/>
      <c r="C50" s="155"/>
      <c r="D50" s="11"/>
      <c r="F50" s="155"/>
      <c r="G50" s="11"/>
    </row>
    <row r="51" spans="2:11" ht="15.75" customHeight="1">
      <c r="C51" s="156"/>
      <c r="D51" s="156"/>
      <c r="E51" s="156"/>
      <c r="F51" s="156"/>
      <c r="G51" s="156"/>
    </row>
    <row r="52" spans="2:11" ht="15.05" customHeight="1">
      <c r="H52" s="544"/>
      <c r="I52" s="544"/>
      <c r="J52" s="544"/>
      <c r="K52" s="544"/>
    </row>
    <row r="53" spans="2:11" ht="15.05" customHeight="1">
      <c r="H53" s="544"/>
      <c r="I53" s="544"/>
      <c r="J53" s="544"/>
      <c r="K53" s="544"/>
    </row>
    <row r="54" spans="2:11" ht="15.05" customHeight="1">
      <c r="H54" s="544"/>
      <c r="I54" s="544"/>
      <c r="J54" s="544"/>
      <c r="K54" s="544"/>
    </row>
    <row r="55" spans="2:11" ht="15.05" customHeight="1">
      <c r="H55" s="544"/>
      <c r="I55" s="544"/>
      <c r="J55" s="544"/>
      <c r="K55" s="544"/>
    </row>
    <row r="56" spans="2:11" ht="15.05" customHeight="1">
      <c r="H56" s="544"/>
      <c r="I56" s="1"/>
      <c r="J56" s="544"/>
      <c r="K56" s="544"/>
    </row>
    <row r="57" spans="2:11" ht="15.05" customHeight="1">
      <c r="H57" s="544"/>
      <c r="I57" s="544"/>
      <c r="J57" s="544"/>
      <c r="K57" s="544"/>
    </row>
    <row r="58" spans="2:11" ht="15.05" customHeight="1">
      <c r="H58" s="544"/>
      <c r="I58" s="544"/>
      <c r="J58" s="544"/>
      <c r="K58" s="544"/>
    </row>
    <row r="59" spans="2:11" ht="15.05" customHeight="1">
      <c r="H59" s="544"/>
      <c r="I59" s="544"/>
      <c r="J59" s="544"/>
      <c r="K59" s="544"/>
    </row>
    <row r="60" spans="2:11" ht="15.05" customHeight="1">
      <c r="H60" s="544"/>
      <c r="I60" s="544"/>
      <c r="J60" s="544"/>
      <c r="K60" s="544"/>
    </row>
    <row r="61" spans="2:11" ht="15.05" customHeight="1">
      <c r="H61" s="544"/>
      <c r="I61" s="544"/>
      <c r="J61" s="544"/>
      <c r="K61" s="544"/>
    </row>
    <row r="62" spans="2:11" ht="13.75" customHeight="1">
      <c r="H62" s="544"/>
      <c r="I62" s="544"/>
      <c r="J62" s="544"/>
      <c r="K62" s="544"/>
    </row>
    <row r="63" spans="2:11" ht="13.75" customHeight="1">
      <c r="H63" s="544"/>
      <c r="I63" s="544"/>
      <c r="J63" s="544"/>
      <c r="K63" s="544"/>
    </row>
    <row r="64" spans="2:11" ht="13.75" customHeight="1">
      <c r="H64" s="544"/>
      <c r="I64" s="544"/>
      <c r="J64" s="544"/>
      <c r="K64" s="544"/>
    </row>
    <row r="65" spans="2:11" ht="13.75" customHeight="1">
      <c r="H65" s="544"/>
      <c r="I65" s="544"/>
      <c r="J65" s="544"/>
      <c r="K65" s="544"/>
    </row>
    <row r="66" spans="2:11" ht="13.75" customHeight="1">
      <c r="H66" s="544"/>
      <c r="I66" s="544"/>
      <c r="J66" s="544"/>
      <c r="K66" s="544"/>
    </row>
    <row r="67" spans="2:11" ht="13.75" customHeight="1">
      <c r="H67" s="544"/>
      <c r="I67" s="544"/>
      <c r="J67" s="544"/>
      <c r="K67" s="544"/>
    </row>
    <row r="68" spans="2:11" ht="15.75" customHeight="1"/>
    <row r="69" spans="2:11" ht="10" customHeight="1"/>
    <row r="70" spans="2:11" ht="13.75" customHeight="1">
      <c r="B70" s="1"/>
    </row>
    <row r="71" spans="2:11" ht="13.75" customHeight="1"/>
    <row r="72" spans="2:11" ht="13.75" customHeight="1"/>
    <row r="73" spans="2:11" ht="13.75" customHeight="1"/>
    <row r="74" spans="2:11" ht="13.75" customHeight="1"/>
    <row r="75" spans="2:11" ht="13.75" customHeight="1"/>
    <row r="76" spans="2:11" ht="13.75" customHeight="1"/>
    <row r="77" spans="2:11" ht="13.75" customHeight="1"/>
    <row r="78" spans="2:11" ht="13.75" customHeight="1"/>
    <row r="79" spans="2:11" ht="13.75" customHeight="1"/>
    <row r="80" spans="2:11"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sheetData>
  <mergeCells count="4">
    <mergeCell ref="B1:G1"/>
    <mergeCell ref="B3:G3"/>
    <mergeCell ref="B4:G4"/>
    <mergeCell ref="B49:G49"/>
  </mergeCells>
  <printOptions horizontalCentered="1" verticalCentered="1"/>
  <pageMargins left="0.59055118110236227" right="0.59055118110236227" top="0.31496062992125984" bottom="0.23622047244094491" header="0.23622047244094491" footer="0.23622047244094491"/>
  <pageSetup scale="71" firstPageNumber="0" orientation="portrait" r:id="rId1"/>
  <headerFooter alignWithMargins="0">
    <oddFooter>&amp;C&amp;10&amp;A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1EFC-A79F-4FD5-9F1F-D8A0877E9174}">
  <sheetPr>
    <pageSetUpPr fitToPage="1"/>
  </sheetPr>
  <dimension ref="A1:BG179"/>
  <sheetViews>
    <sheetView zoomScale="80" zoomScaleNormal="80" workbookViewId="0">
      <pane ySplit="1" topLeftCell="A2" activePane="bottomLeft" state="frozen"/>
      <selection activeCell="F47" sqref="F47"/>
      <selection pane="bottomLeft" activeCell="G36" sqref="G36"/>
    </sheetView>
  </sheetViews>
  <sheetFormatPr baseColWidth="10" defaultColWidth="10.9140625" defaultRowHeight="12.45"/>
  <cols>
    <col min="1" max="1" width="9" style="524" customWidth="1"/>
    <col min="2" max="4" width="10.9140625" style="524"/>
    <col min="5" max="5" width="16.1640625" style="715" customWidth="1"/>
    <col min="6" max="6" width="13.08203125" style="724" customWidth="1"/>
    <col min="7" max="7" width="14.4140625" style="724" customWidth="1"/>
    <col min="8" max="12" width="6.08203125" style="724" hidden="1" customWidth="1"/>
    <col min="13" max="21" width="8.25" style="724" hidden="1" customWidth="1"/>
    <col min="22" max="24" width="7.08203125" style="724" hidden="1" customWidth="1"/>
    <col min="25" max="35" width="8.4140625" style="724" hidden="1" customWidth="1"/>
    <col min="36" max="37" width="10.9140625" style="724" hidden="1" customWidth="1"/>
    <col min="38" max="39" width="10.9140625" style="724" customWidth="1"/>
    <col min="40" max="48" width="10.9140625" style="724"/>
    <col min="49" max="57" width="10.9140625" style="715"/>
    <col min="58" max="59" width="10.9140625" style="708"/>
    <col min="60" max="16384" width="10.9140625" style="524"/>
  </cols>
  <sheetData>
    <row r="1" spans="6:49">
      <c r="H1" s="725">
        <v>44256</v>
      </c>
      <c r="I1" s="725">
        <v>44317</v>
      </c>
      <c r="J1" s="725">
        <v>44378</v>
      </c>
      <c r="K1" s="725">
        <v>44440</v>
      </c>
      <c r="L1" s="725">
        <v>44531</v>
      </c>
      <c r="M1" s="725">
        <v>44621</v>
      </c>
      <c r="N1" s="725">
        <v>44652</v>
      </c>
      <c r="O1" s="725">
        <v>44682</v>
      </c>
      <c r="P1" s="725">
        <v>44713</v>
      </c>
      <c r="Q1" s="725">
        <v>44743</v>
      </c>
      <c r="R1" s="725">
        <v>44774</v>
      </c>
      <c r="S1" s="725">
        <v>44805</v>
      </c>
      <c r="T1" s="725">
        <v>44835</v>
      </c>
      <c r="U1" s="725">
        <v>44866</v>
      </c>
      <c r="V1" s="725">
        <v>44896</v>
      </c>
      <c r="W1" s="725">
        <v>44927</v>
      </c>
      <c r="X1" s="725">
        <v>44958</v>
      </c>
      <c r="Y1" s="725">
        <v>44986</v>
      </c>
      <c r="Z1" s="725">
        <v>45047</v>
      </c>
      <c r="AA1" s="725">
        <v>45078</v>
      </c>
      <c r="AB1" s="725">
        <v>45108</v>
      </c>
      <c r="AC1" s="725">
        <v>45139</v>
      </c>
      <c r="AD1" s="725">
        <v>45170</v>
      </c>
      <c r="AE1" s="725">
        <v>45200</v>
      </c>
      <c r="AF1" s="725">
        <v>45231</v>
      </c>
      <c r="AG1" s="725">
        <v>45261</v>
      </c>
      <c r="AH1" s="725">
        <v>45292</v>
      </c>
      <c r="AI1" s="725">
        <v>45323</v>
      </c>
      <c r="AJ1" s="725">
        <v>45352</v>
      </c>
      <c r="AK1" s="725">
        <v>45383</v>
      </c>
      <c r="AL1" s="725">
        <v>45413</v>
      </c>
      <c r="AM1" s="725">
        <v>45444</v>
      </c>
      <c r="AN1" s="725">
        <v>45474</v>
      </c>
      <c r="AO1" s="725">
        <v>45505</v>
      </c>
      <c r="AP1" s="726">
        <v>45536</v>
      </c>
      <c r="AQ1" s="726">
        <v>45566</v>
      </c>
      <c r="AR1" s="726">
        <v>45597</v>
      </c>
      <c r="AS1" s="726">
        <v>45627</v>
      </c>
      <c r="AT1" s="726">
        <v>45717</v>
      </c>
      <c r="AU1" s="726">
        <v>45778</v>
      </c>
      <c r="AV1" s="726">
        <v>45839</v>
      </c>
      <c r="AW1" s="726">
        <v>45901</v>
      </c>
    </row>
    <row r="2" spans="6:49">
      <c r="F2" s="727"/>
      <c r="G2" s="727">
        <v>44256</v>
      </c>
      <c r="H2" s="728">
        <v>215.53979999999999</v>
      </c>
      <c r="I2" s="728">
        <v>211.89825999999999</v>
      </c>
      <c r="J2" s="728">
        <v>207.46935999999999</v>
      </c>
      <c r="K2" s="728">
        <v>191.23005999999998</v>
      </c>
      <c r="L2" s="728">
        <v>184.53749999999999</v>
      </c>
      <c r="M2" s="728">
        <v>175.08516</v>
      </c>
      <c r="N2" s="728"/>
      <c r="O2" s="728"/>
      <c r="P2" s="728"/>
      <c r="Q2" s="728"/>
      <c r="R2" s="728"/>
      <c r="S2" s="728"/>
      <c r="T2" s="728"/>
      <c r="U2" s="728"/>
      <c r="AJ2" s="725"/>
    </row>
    <row r="3" spans="6:49">
      <c r="F3" s="727"/>
      <c r="G3" s="727">
        <v>44263</v>
      </c>
      <c r="H3" s="728">
        <v>222.42919999999998</v>
      </c>
      <c r="I3" s="728">
        <v>215.34295999999998</v>
      </c>
      <c r="J3" s="728">
        <v>211.01247999999998</v>
      </c>
      <c r="K3" s="728">
        <v>196.93841999999998</v>
      </c>
      <c r="L3" s="728">
        <v>189.55691999999999</v>
      </c>
      <c r="M3" s="728">
        <v>179.67815999999999</v>
      </c>
      <c r="N3" s="728"/>
      <c r="O3" s="728"/>
      <c r="P3" s="728"/>
      <c r="Q3" s="728"/>
      <c r="R3" s="728"/>
      <c r="S3" s="728"/>
      <c r="T3" s="728"/>
      <c r="U3" s="728"/>
      <c r="AJ3" s="725"/>
    </row>
    <row r="4" spans="6:49">
      <c r="F4" s="727"/>
      <c r="G4" s="727">
        <v>44270</v>
      </c>
      <c r="I4" s="728">
        <v>216.32715999999999</v>
      </c>
      <c r="J4" s="728">
        <v>211.70141999999998</v>
      </c>
      <c r="K4" s="728">
        <v>196.05264</v>
      </c>
      <c r="L4" s="728">
        <v>188.4743</v>
      </c>
      <c r="M4" s="728">
        <v>178.6677</v>
      </c>
      <c r="N4" s="728"/>
      <c r="O4" s="728"/>
      <c r="P4" s="728"/>
      <c r="Q4" s="728"/>
      <c r="R4" s="728"/>
      <c r="S4" s="728"/>
      <c r="T4" s="728"/>
      <c r="U4" s="728"/>
      <c r="AJ4" s="725"/>
    </row>
    <row r="5" spans="6:49">
      <c r="F5" s="727"/>
      <c r="G5" s="727">
        <v>44277</v>
      </c>
      <c r="I5" s="728">
        <v>216.13031999999998</v>
      </c>
      <c r="J5" s="728">
        <v>209.24091999999999</v>
      </c>
      <c r="K5" s="728">
        <v>190.63953999999998</v>
      </c>
      <c r="L5" s="728">
        <v>184.24223999999998</v>
      </c>
      <c r="M5" s="728">
        <v>174.90144000000001</v>
      </c>
      <c r="N5" s="728"/>
      <c r="O5" s="728"/>
      <c r="P5" s="728"/>
      <c r="Q5" s="728"/>
      <c r="R5" s="728"/>
      <c r="S5" s="728"/>
      <c r="T5" s="728"/>
      <c r="U5" s="728"/>
      <c r="AJ5" s="725"/>
    </row>
    <row r="6" spans="6:49">
      <c r="F6" s="727"/>
      <c r="G6" s="727">
        <v>44284</v>
      </c>
      <c r="I6" s="728">
        <v>215.24453999999997</v>
      </c>
      <c r="J6" s="728">
        <v>209.14249999999998</v>
      </c>
      <c r="K6" s="728">
        <v>188.57271999999998</v>
      </c>
      <c r="L6" s="728">
        <v>181.58489999999998</v>
      </c>
      <c r="M6" s="728">
        <v>172.42122000000001</v>
      </c>
      <c r="N6" s="728"/>
      <c r="O6" s="728"/>
      <c r="P6" s="728"/>
      <c r="Q6" s="728"/>
      <c r="R6" s="728"/>
      <c r="S6" s="728"/>
      <c r="T6" s="728"/>
      <c r="U6" s="728"/>
      <c r="AJ6" s="725"/>
    </row>
    <row r="7" spans="6:49">
      <c r="G7" s="727">
        <v>44291</v>
      </c>
      <c r="I7" s="728">
        <v>217.80345999999997</v>
      </c>
      <c r="J7" s="728">
        <v>212.29193999999998</v>
      </c>
      <c r="K7" s="728">
        <v>197.82419999999999</v>
      </c>
      <c r="L7" s="728">
        <v>192.31268</v>
      </c>
      <c r="M7" s="728">
        <v>182.25023999999999</v>
      </c>
      <c r="N7" s="728"/>
      <c r="O7" s="728"/>
      <c r="P7" s="728"/>
      <c r="Q7" s="728"/>
      <c r="R7" s="728"/>
      <c r="S7" s="728"/>
      <c r="T7" s="728"/>
      <c r="U7" s="728"/>
      <c r="AJ7" s="725"/>
    </row>
    <row r="8" spans="6:49">
      <c r="F8" s="727"/>
      <c r="G8" s="727">
        <v>44298</v>
      </c>
      <c r="I8" s="728">
        <v>224.00391999999999</v>
      </c>
      <c r="J8" s="728">
        <v>218.88607999999999</v>
      </c>
      <c r="K8" s="728">
        <v>199.89102</v>
      </c>
      <c r="L8" s="728">
        <v>195.46212</v>
      </c>
      <c r="M8" s="728">
        <v>184.91417999999999</v>
      </c>
      <c r="N8" s="728"/>
      <c r="O8" s="728"/>
      <c r="P8" s="728"/>
      <c r="Q8" s="728"/>
      <c r="R8" s="728"/>
      <c r="S8" s="728"/>
      <c r="T8" s="728"/>
      <c r="U8" s="728"/>
      <c r="AJ8" s="725"/>
    </row>
    <row r="9" spans="6:49">
      <c r="F9" s="727"/>
      <c r="G9" s="727">
        <v>44305</v>
      </c>
      <c r="I9" s="728">
        <v>233.05855999999997</v>
      </c>
      <c r="J9" s="728">
        <v>228.53124</v>
      </c>
      <c r="K9" s="728">
        <v>211.60299999999998</v>
      </c>
      <c r="L9" s="728">
        <v>204.81201999999999</v>
      </c>
      <c r="M9" s="728">
        <v>193.64087999999998</v>
      </c>
      <c r="N9" s="728"/>
      <c r="O9" s="728"/>
      <c r="P9" s="728"/>
      <c r="Q9" s="728"/>
      <c r="R9" s="728"/>
      <c r="S9" s="728"/>
      <c r="T9" s="728"/>
      <c r="U9" s="728"/>
      <c r="AJ9" s="725"/>
    </row>
    <row r="10" spans="6:49">
      <c r="F10" s="727"/>
      <c r="G10" s="727">
        <v>44312</v>
      </c>
      <c r="I10" s="728">
        <v>267.89923999999996</v>
      </c>
      <c r="J10" s="728">
        <v>258.84459999999996</v>
      </c>
      <c r="K10" s="728">
        <v>233.45223999999999</v>
      </c>
      <c r="L10" s="728">
        <v>223.70865999999998</v>
      </c>
      <c r="M10" s="728">
        <v>210.35939999999999</v>
      </c>
      <c r="N10" s="728"/>
      <c r="O10" s="728"/>
      <c r="P10" s="728"/>
      <c r="Q10" s="728"/>
      <c r="R10" s="728"/>
      <c r="S10" s="728"/>
      <c r="T10" s="728"/>
      <c r="U10" s="728"/>
      <c r="AJ10" s="725"/>
    </row>
    <row r="11" spans="6:49">
      <c r="F11" s="775"/>
      <c r="G11" s="727">
        <v>44319</v>
      </c>
      <c r="I11" s="728">
        <v>288.27217999999999</v>
      </c>
      <c r="J11" s="728">
        <v>267.50556</v>
      </c>
      <c r="K11" s="728">
        <v>232.96014</v>
      </c>
      <c r="L11" s="728">
        <v>221.64183999999997</v>
      </c>
      <c r="M11" s="728">
        <v>208.70591999999999</v>
      </c>
      <c r="N11" s="728"/>
      <c r="O11" s="728"/>
      <c r="P11" s="728"/>
      <c r="Q11" s="728">
        <v>570</v>
      </c>
      <c r="R11" s="728"/>
      <c r="S11" s="728"/>
      <c r="T11" s="728"/>
      <c r="U11" s="728"/>
      <c r="AJ11" s="725"/>
    </row>
    <row r="12" spans="6:49">
      <c r="F12" s="727"/>
      <c r="G12" s="727">
        <v>44326</v>
      </c>
      <c r="I12" s="728">
        <v>294.47263999999996</v>
      </c>
      <c r="J12" s="728">
        <v>280.20173999999997</v>
      </c>
      <c r="K12" s="728">
        <v>247.62472</v>
      </c>
      <c r="L12" s="728">
        <v>239.84953999999999</v>
      </c>
      <c r="M12" s="728">
        <v>225.60816</v>
      </c>
      <c r="N12" s="728"/>
      <c r="O12" s="728"/>
      <c r="P12" s="728"/>
      <c r="Q12" s="728">
        <v>611.75</v>
      </c>
      <c r="R12" s="728"/>
      <c r="S12" s="728"/>
      <c r="T12" s="728"/>
      <c r="U12" s="728"/>
      <c r="AJ12" s="725"/>
    </row>
    <row r="13" spans="6:49">
      <c r="F13" s="727"/>
      <c r="G13" s="727">
        <v>44333</v>
      </c>
      <c r="J13" s="728">
        <v>256.87619999999998</v>
      </c>
      <c r="K13" s="728">
        <v>223.01971999999998</v>
      </c>
      <c r="L13" s="728">
        <v>211.50457999999998</v>
      </c>
      <c r="M13" s="728">
        <v>199.42805999999999</v>
      </c>
      <c r="N13" s="728"/>
      <c r="O13" s="728"/>
      <c r="P13" s="728"/>
      <c r="Q13" s="728">
        <v>545.5</v>
      </c>
      <c r="R13" s="728"/>
      <c r="S13" s="728"/>
      <c r="T13" s="728"/>
      <c r="U13" s="728"/>
      <c r="AJ13" s="725"/>
    </row>
    <row r="14" spans="6:49">
      <c r="F14" s="727"/>
      <c r="G14" s="727">
        <v>44340</v>
      </c>
      <c r="J14" s="728">
        <v>258.74617999999998</v>
      </c>
      <c r="K14" s="728">
        <v>223.80707999999998</v>
      </c>
      <c r="L14" s="728">
        <v>212.68562</v>
      </c>
      <c r="M14" s="728">
        <v>200.80596</v>
      </c>
      <c r="N14" s="728"/>
      <c r="O14" s="728"/>
      <c r="P14" s="728"/>
      <c r="Q14" s="728">
        <v>548.25</v>
      </c>
      <c r="R14" s="728"/>
      <c r="S14" s="728"/>
      <c r="T14" s="728"/>
      <c r="U14" s="728"/>
      <c r="AJ14" s="725"/>
    </row>
    <row r="15" spans="6:49">
      <c r="F15" s="727"/>
      <c r="G15" s="727">
        <v>44348</v>
      </c>
      <c r="J15" s="728">
        <v>271.14709999999997</v>
      </c>
      <c r="K15" s="728">
        <v>236.99535999999998</v>
      </c>
      <c r="L15" s="728">
        <v>227.15335999999999</v>
      </c>
      <c r="M15" s="728">
        <v>214.30938</v>
      </c>
      <c r="N15" s="728"/>
      <c r="O15" s="728"/>
      <c r="P15" s="728"/>
      <c r="Q15" s="728">
        <v>215.22798</v>
      </c>
      <c r="R15" s="728"/>
      <c r="S15" s="728">
        <v>191.16066000000001</v>
      </c>
      <c r="T15" s="728"/>
      <c r="U15" s="728"/>
      <c r="AJ15" s="725"/>
    </row>
    <row r="16" spans="6:49">
      <c r="F16" s="727"/>
      <c r="G16" s="727">
        <v>44354</v>
      </c>
      <c r="J16" s="728">
        <v>267.40713999999997</v>
      </c>
      <c r="K16" s="728">
        <v>244.47528</v>
      </c>
      <c r="L16" s="728">
        <v>237.29061999999999</v>
      </c>
      <c r="M16" s="728">
        <v>223.58723999999998</v>
      </c>
      <c r="N16" s="728"/>
      <c r="O16" s="728"/>
      <c r="P16" s="728"/>
      <c r="Q16" s="728">
        <v>224.32211999999998</v>
      </c>
      <c r="R16" s="728"/>
      <c r="S16" s="728">
        <v>197.22342</v>
      </c>
      <c r="T16" s="728"/>
      <c r="U16" s="728"/>
      <c r="AJ16" s="725"/>
    </row>
    <row r="17" spans="1:36">
      <c r="F17" s="727"/>
      <c r="G17" s="727">
        <v>44361</v>
      </c>
      <c r="J17" s="728">
        <v>259.53353999999996</v>
      </c>
      <c r="K17" s="728">
        <v>235.61747999999997</v>
      </c>
      <c r="L17" s="728">
        <v>228.82649999999998</v>
      </c>
      <c r="M17" s="728">
        <v>216.05472</v>
      </c>
      <c r="N17" s="728"/>
      <c r="O17" s="728"/>
      <c r="P17" s="728"/>
      <c r="Q17" s="728">
        <v>217.89192</v>
      </c>
      <c r="R17" s="728"/>
      <c r="S17" s="728">
        <v>195.01877999999999</v>
      </c>
      <c r="T17" s="728"/>
      <c r="U17" s="728"/>
      <c r="AJ17" s="725"/>
    </row>
    <row r="18" spans="1:36">
      <c r="F18" s="776"/>
      <c r="G18" s="727">
        <v>44368</v>
      </c>
      <c r="J18" s="728">
        <v>259.53353999999996</v>
      </c>
      <c r="K18" s="728">
        <v>224.88969999999998</v>
      </c>
      <c r="L18" s="728">
        <v>219.27975999999998</v>
      </c>
      <c r="M18" s="728">
        <v>207.23615999999998</v>
      </c>
      <c r="N18" s="728"/>
      <c r="O18" s="728"/>
      <c r="P18" s="728"/>
      <c r="Q18" s="728">
        <v>209.07335999999998</v>
      </c>
      <c r="R18" s="728"/>
      <c r="S18" s="728">
        <v>188.22113999999999</v>
      </c>
      <c r="T18" s="728"/>
      <c r="U18" s="728"/>
      <c r="AJ18" s="725"/>
    </row>
    <row r="19" spans="1:36">
      <c r="F19" s="776"/>
      <c r="G19" s="727">
        <v>44375</v>
      </c>
      <c r="J19" s="728">
        <v>265.93083999999999</v>
      </c>
      <c r="K19" s="728">
        <v>219.77185999999998</v>
      </c>
      <c r="L19" s="728">
        <v>215.44137999999998</v>
      </c>
      <c r="M19" s="728">
        <v>203.83733999999998</v>
      </c>
      <c r="N19" s="728"/>
      <c r="O19" s="728"/>
      <c r="P19" s="728"/>
      <c r="Q19" s="728">
        <v>205.95012</v>
      </c>
      <c r="R19" s="728"/>
      <c r="S19" s="728">
        <v>185.37348</v>
      </c>
      <c r="T19" s="728"/>
      <c r="U19" s="728"/>
      <c r="AJ19" s="725"/>
    </row>
    <row r="20" spans="1:36">
      <c r="F20" s="776"/>
      <c r="G20" s="727">
        <v>44383</v>
      </c>
      <c r="J20" s="728">
        <v>258.25407999999999</v>
      </c>
      <c r="K20" s="728">
        <v>217.31135999999998</v>
      </c>
      <c r="L20" s="728">
        <v>212.48877999999999</v>
      </c>
      <c r="M20" s="728">
        <v>200.7141</v>
      </c>
      <c r="N20" s="728"/>
      <c r="O20" s="728"/>
      <c r="P20" s="728"/>
      <c r="Q20" s="728">
        <v>201.72456</v>
      </c>
      <c r="R20" s="728"/>
      <c r="S20" s="728">
        <v>182.98511999999999</v>
      </c>
      <c r="T20" s="728"/>
      <c r="U20" s="728"/>
      <c r="V20" s="728"/>
      <c r="W20" s="728"/>
      <c r="X20" s="728"/>
      <c r="AJ20" s="725"/>
    </row>
    <row r="21" spans="1:36">
      <c r="G21" s="727">
        <v>44389</v>
      </c>
      <c r="J21" s="728">
        <v>263.47033999999996</v>
      </c>
      <c r="K21" s="728">
        <v>214.65401999999997</v>
      </c>
      <c r="L21" s="728">
        <v>209.83143999999999</v>
      </c>
      <c r="M21" s="728">
        <v>198.60131999999999</v>
      </c>
      <c r="N21" s="728"/>
      <c r="O21" s="728"/>
      <c r="P21" s="728"/>
      <c r="Q21" s="728">
        <v>200.89782</v>
      </c>
      <c r="R21" s="728"/>
      <c r="S21" s="728">
        <v>184.6386</v>
      </c>
      <c r="T21" s="728"/>
      <c r="U21" s="728"/>
      <c r="V21" s="728"/>
      <c r="W21" s="728"/>
      <c r="X21" s="728"/>
      <c r="AJ21" s="725"/>
    </row>
    <row r="22" spans="1:36">
      <c r="G22" s="727">
        <v>44396</v>
      </c>
      <c r="J22" s="728"/>
      <c r="K22" s="728">
        <v>218.88607999999999</v>
      </c>
      <c r="L22" s="728">
        <v>217.40977999999998</v>
      </c>
      <c r="M22" s="728">
        <v>205.67454000000001</v>
      </c>
      <c r="N22" s="728"/>
      <c r="O22" s="728"/>
      <c r="P22" s="728"/>
      <c r="Q22" s="728">
        <v>207.32801999999998</v>
      </c>
      <c r="R22" s="728"/>
      <c r="S22" s="728">
        <v>188.03742</v>
      </c>
      <c r="T22" s="728"/>
      <c r="U22" s="728"/>
      <c r="V22" s="728"/>
      <c r="W22" s="728"/>
      <c r="X22" s="728"/>
      <c r="AJ22" s="725"/>
    </row>
    <row r="23" spans="1:36">
      <c r="G23" s="727">
        <v>44403</v>
      </c>
      <c r="J23" s="728"/>
      <c r="K23" s="728">
        <v>216.42558</v>
      </c>
      <c r="L23" s="728">
        <v>215.24453999999997</v>
      </c>
      <c r="M23" s="728">
        <v>203.74547999999999</v>
      </c>
      <c r="N23" s="728"/>
      <c r="O23" s="728"/>
      <c r="P23" s="728"/>
      <c r="Q23" s="728">
        <v>205.39895999999999</v>
      </c>
      <c r="R23" s="728"/>
      <c r="S23" s="728">
        <v>188.7723</v>
      </c>
      <c r="T23" s="728"/>
      <c r="U23" s="728"/>
      <c r="V23" s="728"/>
      <c r="W23" s="728"/>
      <c r="X23" s="728"/>
      <c r="AJ23" s="725"/>
    </row>
    <row r="24" spans="1:36">
      <c r="G24" s="727">
        <v>44410</v>
      </c>
      <c r="J24" s="728"/>
      <c r="K24" s="728">
        <v>219.96869999999998</v>
      </c>
      <c r="L24" s="728">
        <v>220.16553999999999</v>
      </c>
      <c r="M24" s="728">
        <v>208.43034</v>
      </c>
      <c r="N24" s="728"/>
      <c r="O24" s="728"/>
      <c r="P24" s="728"/>
      <c r="Q24" s="728">
        <v>210.17568</v>
      </c>
      <c r="R24" s="728"/>
      <c r="S24" s="728">
        <v>191.89553999999998</v>
      </c>
      <c r="T24" s="728"/>
      <c r="U24" s="728"/>
      <c r="V24" s="728"/>
      <c r="W24" s="728"/>
      <c r="X24" s="728"/>
      <c r="AJ24" s="725"/>
    </row>
    <row r="25" spans="1:36">
      <c r="A25" s="680" t="s">
        <v>301</v>
      </c>
      <c r="F25" s="727"/>
      <c r="G25" s="727">
        <v>44417</v>
      </c>
      <c r="H25" s="728"/>
      <c r="I25" s="728"/>
      <c r="J25" s="728"/>
      <c r="K25" s="728">
        <v>216.62241999999998</v>
      </c>
      <c r="L25" s="728">
        <v>218.00029999999998</v>
      </c>
      <c r="M25" s="728">
        <v>206.40941999999998</v>
      </c>
      <c r="N25" s="728"/>
      <c r="O25" s="728"/>
      <c r="P25" s="728"/>
      <c r="Q25" s="728">
        <v>208.61405999999999</v>
      </c>
      <c r="R25" s="728"/>
      <c r="S25" s="728">
        <v>196.12109999999998</v>
      </c>
      <c r="T25" s="728"/>
      <c r="U25" s="728"/>
      <c r="V25" s="728">
        <v>190.88507999999999</v>
      </c>
      <c r="W25" s="728"/>
      <c r="X25" s="728"/>
      <c r="AJ25" s="725"/>
    </row>
    <row r="26" spans="1:36">
      <c r="F26" s="727"/>
      <c r="G26" s="727">
        <v>44424</v>
      </c>
      <c r="H26" s="728"/>
      <c r="I26" s="728"/>
      <c r="J26" s="728"/>
      <c r="K26" s="728">
        <v>222.33077999999998</v>
      </c>
      <c r="L26" s="728">
        <v>223.90549999999999</v>
      </c>
      <c r="M26" s="728">
        <v>211.7373</v>
      </c>
      <c r="N26" s="728"/>
      <c r="O26" s="728"/>
      <c r="P26" s="728"/>
      <c r="Q26" s="728">
        <v>213.11519999999999</v>
      </c>
      <c r="R26" s="728"/>
      <c r="S26" s="728">
        <v>194.65134</v>
      </c>
      <c r="T26" s="728"/>
      <c r="U26" s="728"/>
      <c r="V26" s="728">
        <v>190.15019999999998</v>
      </c>
      <c r="W26" s="728"/>
      <c r="X26" s="728"/>
      <c r="AJ26" s="725"/>
    </row>
    <row r="27" spans="1:36">
      <c r="F27" s="727"/>
      <c r="G27" s="727">
        <v>44431</v>
      </c>
      <c r="H27" s="728"/>
      <c r="I27" s="728"/>
      <c r="J27" s="728"/>
      <c r="K27" s="728">
        <v>211.79983999999999</v>
      </c>
      <c r="L27" s="728">
        <v>210.81563999999997</v>
      </c>
      <c r="M27" s="728">
        <v>199.61177999999998</v>
      </c>
      <c r="N27" s="728"/>
      <c r="O27" s="728"/>
      <c r="P27" s="728"/>
      <c r="Q27" s="728">
        <v>200.7141</v>
      </c>
      <c r="R27" s="728"/>
      <c r="S27" s="728">
        <v>187.39439999999999</v>
      </c>
      <c r="T27" s="728"/>
      <c r="U27" s="728"/>
      <c r="V27" s="728">
        <v>183.90371999999999</v>
      </c>
      <c r="W27" s="728"/>
      <c r="X27" s="728"/>
      <c r="AJ27" s="725"/>
    </row>
    <row r="28" spans="1:36">
      <c r="F28" s="727"/>
      <c r="G28" s="727">
        <v>44438</v>
      </c>
      <c r="H28" s="728"/>
      <c r="I28" s="728"/>
      <c r="J28" s="728"/>
      <c r="K28" s="728">
        <v>212.68562</v>
      </c>
      <c r="L28" s="728">
        <v>213.66981999999999</v>
      </c>
      <c r="M28" s="728">
        <v>202.36758</v>
      </c>
      <c r="N28" s="728"/>
      <c r="O28" s="728"/>
      <c r="P28" s="728"/>
      <c r="Q28" s="728">
        <v>204.02106000000001</v>
      </c>
      <c r="R28" s="728"/>
      <c r="S28" s="728">
        <v>191.34438</v>
      </c>
      <c r="T28" s="728"/>
      <c r="U28" s="728"/>
      <c r="V28" s="728">
        <v>187.66997999999998</v>
      </c>
      <c r="W28" s="728"/>
      <c r="X28" s="728"/>
      <c r="AJ28" s="725"/>
    </row>
    <row r="29" spans="1:36">
      <c r="F29" s="727"/>
      <c r="G29" s="727">
        <v>44446</v>
      </c>
      <c r="H29" s="728"/>
      <c r="I29" s="728"/>
      <c r="J29" s="728"/>
      <c r="K29" s="728">
        <v>195.16685999999999</v>
      </c>
      <c r="L29" s="728">
        <v>201.07205999999999</v>
      </c>
      <c r="M29" s="728">
        <v>191.25252</v>
      </c>
      <c r="N29" s="728"/>
      <c r="O29" s="728"/>
      <c r="P29" s="728"/>
      <c r="Q29" s="728">
        <v>193.91646</v>
      </c>
      <c r="R29" s="728"/>
      <c r="S29" s="728">
        <v>183.16883999999999</v>
      </c>
      <c r="T29" s="728"/>
      <c r="U29" s="728"/>
      <c r="V29" s="728">
        <v>182.70954</v>
      </c>
      <c r="W29" s="728"/>
      <c r="X29" s="728"/>
      <c r="AJ29" s="725"/>
    </row>
    <row r="30" spans="1:36">
      <c r="F30" s="727"/>
      <c r="G30" s="727">
        <v>44452</v>
      </c>
      <c r="H30" s="728"/>
      <c r="I30" s="728"/>
      <c r="J30" s="728"/>
      <c r="K30" s="728"/>
      <c r="L30" s="728">
        <v>202.05625999999998</v>
      </c>
      <c r="M30" s="728">
        <v>191.80367999999999</v>
      </c>
      <c r="N30" s="728"/>
      <c r="O30" s="728"/>
      <c r="P30" s="728"/>
      <c r="Q30" s="728">
        <v>193.45715999999999</v>
      </c>
      <c r="R30" s="728"/>
      <c r="S30" s="728">
        <v>184.08743999999999</v>
      </c>
      <c r="T30" s="728"/>
      <c r="U30" s="728"/>
      <c r="V30" s="728">
        <v>183.16883999999999</v>
      </c>
      <c r="W30" s="728"/>
      <c r="X30" s="728"/>
      <c r="AJ30" s="725"/>
    </row>
    <row r="31" spans="1:36">
      <c r="F31" s="727"/>
      <c r="G31" s="727">
        <v>44459</v>
      </c>
      <c r="L31" s="728">
        <v>205.40253999999999</v>
      </c>
      <c r="M31" s="728">
        <v>194.65134</v>
      </c>
      <c r="N31" s="728"/>
      <c r="O31" s="728"/>
      <c r="P31" s="728"/>
      <c r="Q31" s="728">
        <v>196.02923999999999</v>
      </c>
      <c r="R31" s="728"/>
      <c r="S31" s="728">
        <v>185.74091999999999</v>
      </c>
      <c r="T31" s="728"/>
      <c r="U31" s="728"/>
      <c r="V31" s="728">
        <v>184.36302000000001</v>
      </c>
      <c r="W31" s="728"/>
      <c r="X31" s="728"/>
      <c r="AJ31" s="725"/>
    </row>
    <row r="32" spans="1:36">
      <c r="F32" s="727"/>
      <c r="G32" s="727">
        <v>44466</v>
      </c>
      <c r="L32" s="728">
        <v>212.39035999999999</v>
      </c>
      <c r="M32" s="728">
        <v>200.98967999999999</v>
      </c>
      <c r="N32" s="728"/>
      <c r="O32" s="728"/>
      <c r="P32" s="728"/>
      <c r="Q32" s="728">
        <v>202.5513</v>
      </c>
      <c r="R32" s="728"/>
      <c r="S32" s="728">
        <v>192.17112</v>
      </c>
      <c r="T32" s="728"/>
      <c r="U32" s="728"/>
      <c r="V32" s="728">
        <v>190.33392000000001</v>
      </c>
      <c r="W32" s="728"/>
      <c r="X32" s="728"/>
      <c r="AJ32" s="725"/>
    </row>
    <row r="33" spans="6:44">
      <c r="F33" s="727"/>
      <c r="G33" s="727">
        <v>44473</v>
      </c>
      <c r="L33" s="728">
        <v>212.88245999999998</v>
      </c>
      <c r="M33" s="728">
        <v>202.00013999999999</v>
      </c>
      <c r="N33" s="728"/>
      <c r="O33" s="728"/>
      <c r="P33" s="728"/>
      <c r="Q33" s="728">
        <v>204.11292</v>
      </c>
      <c r="R33" s="728"/>
      <c r="S33" s="728">
        <v>197.95829999999998</v>
      </c>
      <c r="T33" s="728"/>
      <c r="U33" s="728"/>
      <c r="V33" s="728">
        <v>196.30482000000001</v>
      </c>
      <c r="W33" s="728"/>
      <c r="X33" s="728"/>
      <c r="AJ33" s="725"/>
    </row>
    <row r="34" spans="6:44">
      <c r="F34" s="727"/>
      <c r="G34" s="727">
        <v>44480</v>
      </c>
      <c r="L34" s="728">
        <v>209.83143999999999</v>
      </c>
      <c r="M34" s="728">
        <v>199.24433999999999</v>
      </c>
      <c r="N34" s="728"/>
      <c r="O34" s="728"/>
      <c r="P34" s="728"/>
      <c r="Q34" s="728">
        <v>201.54084</v>
      </c>
      <c r="R34" s="728"/>
      <c r="S34" s="728">
        <v>195.01877999999999</v>
      </c>
      <c r="T34" s="728"/>
      <c r="U34" s="728"/>
      <c r="V34" s="728">
        <v>193.73274000000001</v>
      </c>
      <c r="W34" s="728"/>
      <c r="X34" s="728"/>
      <c r="AJ34" s="725"/>
    </row>
    <row r="35" spans="6:44">
      <c r="G35" s="727">
        <v>44487</v>
      </c>
      <c r="L35" s="728">
        <v>209.73301999999998</v>
      </c>
      <c r="M35" s="728">
        <v>198.60131999999999</v>
      </c>
      <c r="N35" s="728"/>
      <c r="O35" s="728"/>
      <c r="P35" s="728"/>
      <c r="Q35" s="728">
        <v>199.97922</v>
      </c>
      <c r="R35" s="728"/>
      <c r="S35" s="728">
        <v>195.01877999999999</v>
      </c>
      <c r="T35" s="728"/>
      <c r="U35" s="728"/>
      <c r="V35" s="728">
        <v>193.91646</v>
      </c>
      <c r="W35" s="728"/>
      <c r="X35" s="728"/>
      <c r="AJ35" s="725"/>
    </row>
    <row r="36" spans="6:44">
      <c r="G36" s="727">
        <v>44494</v>
      </c>
      <c r="L36" s="728">
        <v>211.79983999999999</v>
      </c>
      <c r="M36" s="728">
        <v>200.89782</v>
      </c>
      <c r="N36" s="728"/>
      <c r="O36" s="728"/>
      <c r="P36" s="728"/>
      <c r="Q36" s="728">
        <v>202.5513</v>
      </c>
      <c r="R36" s="728"/>
      <c r="S36" s="728">
        <v>196.76411999999999</v>
      </c>
      <c r="T36" s="728"/>
      <c r="U36" s="728"/>
      <c r="V36" s="728">
        <v>195.93737999999999</v>
      </c>
      <c r="W36" s="728"/>
      <c r="X36" s="728"/>
      <c r="AJ36" s="725"/>
    </row>
    <row r="37" spans="6:44">
      <c r="G37" s="727">
        <v>44501</v>
      </c>
      <c r="L37" s="728">
        <v>227.94072</v>
      </c>
      <c r="M37" s="728">
        <v>215.68727999999999</v>
      </c>
      <c r="N37" s="728"/>
      <c r="O37" s="728"/>
      <c r="P37" s="728"/>
      <c r="Q37" s="728">
        <v>216.42215999999999</v>
      </c>
      <c r="R37" s="728"/>
      <c r="S37" s="728">
        <v>206.59314000000001</v>
      </c>
      <c r="T37" s="728"/>
      <c r="U37" s="728"/>
      <c r="V37" s="728">
        <v>204.02106000000001</v>
      </c>
      <c r="W37" s="728"/>
      <c r="X37" s="728"/>
      <c r="AJ37" s="725"/>
    </row>
    <row r="38" spans="6:44">
      <c r="G38" s="727">
        <v>44508</v>
      </c>
      <c r="L38" s="728">
        <v>217.11452</v>
      </c>
      <c r="M38" s="728">
        <v>206.13383999999999</v>
      </c>
      <c r="N38" s="728"/>
      <c r="O38" s="728"/>
      <c r="P38" s="728"/>
      <c r="Q38" s="728">
        <v>208.79777999999999</v>
      </c>
      <c r="R38" s="728"/>
      <c r="S38" s="728">
        <v>200.62224000000001</v>
      </c>
      <c r="T38" s="728"/>
      <c r="U38" s="728"/>
      <c r="V38" s="728">
        <v>197.86643999999998</v>
      </c>
      <c r="W38" s="728"/>
      <c r="X38" s="728"/>
      <c r="AJ38" s="725"/>
    </row>
    <row r="39" spans="6:44">
      <c r="G39" s="727">
        <v>44515</v>
      </c>
      <c r="L39" s="728">
        <v>226.95651999999998</v>
      </c>
      <c r="M39" s="728">
        <v>214.58496</v>
      </c>
      <c r="N39" s="728"/>
      <c r="O39" s="728"/>
      <c r="P39" s="728"/>
      <c r="Q39" s="728">
        <v>216.51401999999999</v>
      </c>
      <c r="R39" s="728"/>
      <c r="S39" s="728">
        <v>206.685</v>
      </c>
      <c r="T39" s="728"/>
      <c r="U39" s="728"/>
      <c r="V39" s="728">
        <v>202.5513</v>
      </c>
      <c r="W39" s="728"/>
      <c r="X39" s="728"/>
      <c r="AJ39" s="725"/>
    </row>
    <row r="40" spans="6:44">
      <c r="G40" s="727">
        <v>44522</v>
      </c>
      <c r="L40" s="728">
        <v>227.05493999999999</v>
      </c>
      <c r="M40" s="728">
        <v>214.67681999999999</v>
      </c>
      <c r="N40" s="728"/>
      <c r="O40" s="728"/>
      <c r="P40" s="728"/>
      <c r="Q40" s="728">
        <v>216.60587999999998</v>
      </c>
      <c r="R40" s="728"/>
      <c r="S40" s="728">
        <v>208.43034</v>
      </c>
      <c r="T40" s="728"/>
      <c r="U40" s="728"/>
      <c r="V40" s="728">
        <v>205.30709999999999</v>
      </c>
      <c r="W40" s="728"/>
      <c r="X40" s="728"/>
      <c r="AJ40" s="725"/>
    </row>
    <row r="41" spans="6:44">
      <c r="G41" s="727">
        <v>44529</v>
      </c>
      <c r="L41" s="728">
        <v>228.72807999999998</v>
      </c>
      <c r="M41" s="728">
        <v>213.94193999999999</v>
      </c>
      <c r="N41" s="728"/>
      <c r="O41" s="728"/>
      <c r="P41" s="728"/>
      <c r="Q41" s="728">
        <v>215.50355999999999</v>
      </c>
      <c r="R41" s="728"/>
      <c r="S41" s="728">
        <v>207.6036</v>
      </c>
      <c r="T41" s="728"/>
      <c r="U41" s="728"/>
      <c r="V41" s="728">
        <v>204.38849999999999</v>
      </c>
      <c r="W41" s="728"/>
      <c r="X41" s="728"/>
      <c r="AJ41" s="725"/>
    </row>
    <row r="42" spans="6:44">
      <c r="G42" s="727">
        <v>44536</v>
      </c>
      <c r="L42" s="728">
        <v>229.71227999999999</v>
      </c>
      <c r="M42" s="728">
        <v>214.40124</v>
      </c>
      <c r="N42" s="728"/>
      <c r="O42" s="728"/>
      <c r="P42" s="728"/>
      <c r="Q42" s="728">
        <v>215.22798</v>
      </c>
      <c r="R42" s="728"/>
      <c r="S42" s="728">
        <v>206.77686</v>
      </c>
      <c r="T42" s="728"/>
      <c r="U42" s="728"/>
      <c r="V42" s="728">
        <v>203.01059999999998</v>
      </c>
      <c r="W42" s="728"/>
      <c r="X42" s="728"/>
      <c r="AJ42" s="725"/>
    </row>
    <row r="43" spans="6:44">
      <c r="G43" s="727">
        <v>44543</v>
      </c>
      <c r="M43" s="728">
        <v>214.95239999999998</v>
      </c>
      <c r="N43" s="728"/>
      <c r="O43" s="728">
        <v>215.77913999999998</v>
      </c>
      <c r="P43" s="728"/>
      <c r="Q43" s="728">
        <v>215.68727999999999</v>
      </c>
      <c r="R43" s="728"/>
      <c r="S43" s="728">
        <v>205.12338</v>
      </c>
      <c r="T43" s="728"/>
      <c r="U43" s="728"/>
      <c r="V43" s="728">
        <v>199.33619999999999</v>
      </c>
      <c r="W43" s="728"/>
      <c r="X43" s="728"/>
      <c r="Y43" s="728"/>
      <c r="Z43" s="728"/>
      <c r="AA43" s="728"/>
      <c r="AB43" s="728"/>
      <c r="AC43" s="728"/>
      <c r="AD43" s="728"/>
      <c r="AE43" s="728"/>
      <c r="AF43" s="728"/>
      <c r="AG43" s="728"/>
      <c r="AH43" s="728"/>
      <c r="AI43" s="728"/>
      <c r="AJ43" s="725"/>
    </row>
    <row r="44" spans="6:44">
      <c r="G44" s="727">
        <v>44550</v>
      </c>
      <c r="M44" s="728">
        <v>217.15703999999999</v>
      </c>
      <c r="N44" s="728"/>
      <c r="O44" s="728">
        <v>217.52447999999998</v>
      </c>
      <c r="P44" s="728"/>
      <c r="Q44" s="728">
        <v>216.69773999999998</v>
      </c>
      <c r="R44" s="728"/>
      <c r="S44" s="728">
        <v>205.95012</v>
      </c>
      <c r="T44" s="728"/>
      <c r="U44" s="728"/>
      <c r="V44" s="728">
        <v>200.16293999999999</v>
      </c>
      <c r="W44" s="728"/>
      <c r="X44" s="728"/>
      <c r="Y44" s="728"/>
      <c r="Z44" s="728"/>
      <c r="AA44" s="728"/>
      <c r="AB44" s="728"/>
      <c r="AC44" s="728"/>
      <c r="AD44" s="728"/>
      <c r="AE44" s="728"/>
      <c r="AF44" s="728"/>
      <c r="AG44" s="728"/>
      <c r="AH44" s="728"/>
      <c r="AI44" s="728"/>
      <c r="AJ44" s="725"/>
    </row>
    <row r="45" spans="6:44">
      <c r="G45" s="727">
        <v>44557</v>
      </c>
      <c r="M45" s="728">
        <v>225.88373999999999</v>
      </c>
      <c r="N45" s="728"/>
      <c r="O45" s="728">
        <v>226.61861999999999</v>
      </c>
      <c r="P45" s="728"/>
      <c r="Q45" s="728">
        <v>226.25118000000001</v>
      </c>
      <c r="R45" s="728"/>
      <c r="S45" s="728">
        <v>212.38031999999998</v>
      </c>
      <c r="T45" s="728"/>
      <c r="U45" s="728"/>
      <c r="V45" s="728">
        <v>204.66407999999998</v>
      </c>
      <c r="W45" s="728"/>
      <c r="X45" s="728"/>
      <c r="Y45" s="728"/>
      <c r="Z45" s="728"/>
      <c r="AA45" s="728"/>
      <c r="AB45" s="728"/>
      <c r="AC45" s="728"/>
      <c r="AD45" s="728"/>
      <c r="AE45" s="728"/>
      <c r="AF45" s="728"/>
      <c r="AG45" s="728"/>
      <c r="AH45" s="728"/>
      <c r="AI45" s="728"/>
      <c r="AJ45" s="725"/>
    </row>
    <row r="46" spans="6:44">
      <c r="G46" s="727">
        <v>44564</v>
      </c>
      <c r="M46" s="728">
        <v>216.51401999999999</v>
      </c>
      <c r="N46" s="728"/>
      <c r="O46" s="728">
        <v>217.15703999999999</v>
      </c>
      <c r="P46" s="728"/>
      <c r="Q46" s="728">
        <v>216.69773999999998</v>
      </c>
      <c r="R46" s="728"/>
      <c r="S46" s="728">
        <v>206.50127999999998</v>
      </c>
      <c r="T46" s="728"/>
      <c r="U46" s="728"/>
      <c r="V46" s="728">
        <v>201.17339999999999</v>
      </c>
      <c r="W46" s="728"/>
      <c r="X46" s="728"/>
      <c r="Y46" s="728">
        <v>203.83733999999998</v>
      </c>
      <c r="Z46" s="729"/>
      <c r="AA46" s="729"/>
      <c r="AB46" s="729"/>
      <c r="AC46" s="729"/>
      <c r="AD46" s="729"/>
      <c r="AE46" s="729"/>
      <c r="AF46" s="729"/>
      <c r="AG46" s="729"/>
      <c r="AH46" s="729"/>
      <c r="AI46" s="729"/>
      <c r="AJ46" s="725"/>
      <c r="AK46" s="729"/>
      <c r="AL46" s="729"/>
      <c r="AM46" s="729"/>
      <c r="AN46" s="729"/>
      <c r="AO46" s="729"/>
      <c r="AP46" s="729"/>
      <c r="AQ46" s="729"/>
      <c r="AR46" s="729"/>
    </row>
    <row r="47" spans="6:44">
      <c r="G47" s="727">
        <v>44571</v>
      </c>
      <c r="M47" s="728">
        <v>220.37214</v>
      </c>
      <c r="N47" s="728"/>
      <c r="O47" s="728">
        <v>220.92329999999998</v>
      </c>
      <c r="P47" s="728"/>
      <c r="Q47" s="728">
        <v>220.09655999999998</v>
      </c>
      <c r="R47" s="728"/>
      <c r="S47" s="728">
        <v>209.16522000000001</v>
      </c>
      <c r="T47" s="728"/>
      <c r="U47" s="728"/>
      <c r="V47" s="728">
        <v>204.66407999999998</v>
      </c>
      <c r="W47" s="728"/>
      <c r="X47" s="728"/>
      <c r="Y47" s="728">
        <v>207.51174</v>
      </c>
      <c r="Z47" s="729"/>
      <c r="AA47" s="729"/>
      <c r="AB47" s="729"/>
      <c r="AC47" s="729"/>
      <c r="AD47" s="729"/>
      <c r="AE47" s="729"/>
      <c r="AF47" s="729"/>
      <c r="AG47" s="729"/>
      <c r="AH47" s="729"/>
      <c r="AI47" s="729"/>
      <c r="AJ47" s="725"/>
      <c r="AK47" s="729"/>
      <c r="AL47" s="729"/>
      <c r="AM47" s="729"/>
      <c r="AN47" s="729"/>
      <c r="AO47" s="729"/>
      <c r="AP47" s="729"/>
      <c r="AQ47" s="729"/>
      <c r="AR47" s="729"/>
    </row>
    <row r="48" spans="6:44">
      <c r="G48" s="727">
        <v>44579</v>
      </c>
      <c r="M48" s="728">
        <v>220.28028</v>
      </c>
      <c r="N48" s="728"/>
      <c r="O48" s="728">
        <v>220.464</v>
      </c>
      <c r="P48" s="728"/>
      <c r="Q48" s="728">
        <v>219.17795999999998</v>
      </c>
      <c r="R48" s="728"/>
      <c r="S48" s="728">
        <v>209.62451999999999</v>
      </c>
      <c r="T48" s="728"/>
      <c r="U48" s="728"/>
      <c r="V48" s="728">
        <v>204.93966</v>
      </c>
      <c r="W48" s="728"/>
      <c r="X48" s="728"/>
      <c r="Y48" s="728">
        <v>207.78731999999999</v>
      </c>
      <c r="Z48" s="729"/>
      <c r="AA48" s="729"/>
      <c r="AB48" s="729"/>
      <c r="AC48" s="729"/>
      <c r="AD48" s="729"/>
      <c r="AE48" s="729"/>
      <c r="AF48" s="729"/>
      <c r="AG48" s="729"/>
      <c r="AH48" s="729"/>
      <c r="AI48" s="729"/>
      <c r="AJ48" s="725"/>
      <c r="AK48" s="729"/>
      <c r="AL48" s="729"/>
      <c r="AM48" s="729"/>
      <c r="AN48" s="729"/>
      <c r="AO48" s="729"/>
      <c r="AP48" s="729"/>
      <c r="AQ48" s="729"/>
      <c r="AR48" s="729"/>
    </row>
    <row r="49" spans="7:44">
      <c r="G49" s="727">
        <v>44585</v>
      </c>
      <c r="M49" s="728">
        <v>228.18024</v>
      </c>
      <c r="N49" s="728"/>
      <c r="O49" s="728">
        <v>226.89419999999998</v>
      </c>
      <c r="P49" s="728"/>
      <c r="Q49" s="728">
        <v>224.41397999999998</v>
      </c>
      <c r="R49" s="728"/>
      <c r="S49" s="728">
        <v>213.20705999999998</v>
      </c>
      <c r="T49" s="728"/>
      <c r="U49" s="728"/>
      <c r="V49" s="728">
        <v>208.5222</v>
      </c>
      <c r="W49" s="728"/>
      <c r="X49" s="728"/>
      <c r="Y49" s="728">
        <v>211.27799999999999</v>
      </c>
      <c r="Z49" s="729"/>
      <c r="AA49" s="729"/>
      <c r="AB49" s="729"/>
      <c r="AC49" s="729"/>
      <c r="AD49" s="729"/>
      <c r="AE49" s="729"/>
      <c r="AF49" s="729"/>
      <c r="AG49" s="729"/>
      <c r="AH49" s="729"/>
      <c r="AI49" s="729"/>
      <c r="AJ49" s="725"/>
      <c r="AK49" s="729"/>
      <c r="AL49" s="729"/>
      <c r="AM49" s="729"/>
      <c r="AN49" s="729"/>
      <c r="AO49" s="729"/>
      <c r="AP49" s="729"/>
      <c r="AQ49" s="729"/>
      <c r="AR49" s="729"/>
    </row>
    <row r="50" spans="7:44">
      <c r="G50" s="727">
        <v>44592</v>
      </c>
      <c r="M50" s="728">
        <v>230.01743999999999</v>
      </c>
      <c r="N50" s="728"/>
      <c r="O50" s="728">
        <v>229.46627999999998</v>
      </c>
      <c r="P50" s="728"/>
      <c r="Q50" s="728">
        <v>227.53721999999999</v>
      </c>
      <c r="R50" s="728"/>
      <c r="S50" s="728">
        <v>215.13612000000001</v>
      </c>
      <c r="T50" s="728"/>
      <c r="U50" s="728"/>
      <c r="V50" s="728">
        <v>210.72683999999998</v>
      </c>
      <c r="W50" s="728"/>
      <c r="X50" s="728"/>
      <c r="Y50" s="728">
        <v>213.48264</v>
      </c>
      <c r="Z50" s="729"/>
      <c r="AA50" s="729"/>
      <c r="AB50" s="729"/>
      <c r="AC50" s="729"/>
      <c r="AD50" s="729"/>
      <c r="AE50" s="729"/>
      <c r="AF50" s="729"/>
      <c r="AG50" s="729"/>
      <c r="AH50" s="729"/>
      <c r="AI50" s="729"/>
      <c r="AJ50" s="725"/>
      <c r="AK50" s="729"/>
      <c r="AL50" s="729"/>
      <c r="AM50" s="729"/>
      <c r="AN50" s="729"/>
      <c r="AO50" s="729"/>
      <c r="AP50" s="729"/>
      <c r="AQ50" s="729"/>
      <c r="AR50" s="729"/>
    </row>
    <row r="51" spans="7:44">
      <c r="G51" s="727">
        <v>44599</v>
      </c>
      <c r="M51" s="728">
        <v>233.41625999999999</v>
      </c>
      <c r="N51" s="728"/>
      <c r="O51" s="728">
        <v>234.15114</v>
      </c>
      <c r="P51" s="728"/>
      <c r="Q51" s="728">
        <v>232.86509999999998</v>
      </c>
      <c r="R51" s="728"/>
      <c r="S51" s="728">
        <v>218.81052</v>
      </c>
      <c r="T51" s="728"/>
      <c r="U51" s="728"/>
      <c r="V51" s="728">
        <v>213.48264</v>
      </c>
      <c r="W51" s="728"/>
      <c r="X51" s="728"/>
      <c r="Y51" s="728">
        <v>215.96286000000001</v>
      </c>
      <c r="Z51" s="729"/>
      <c r="AA51" s="729"/>
      <c r="AB51" s="729"/>
      <c r="AC51" s="729"/>
      <c r="AD51" s="729"/>
      <c r="AE51" s="729"/>
      <c r="AF51" s="729"/>
      <c r="AG51" s="729"/>
      <c r="AH51" s="729"/>
      <c r="AI51" s="729"/>
      <c r="AJ51" s="725"/>
      <c r="AK51" s="729"/>
      <c r="AL51" s="729"/>
      <c r="AM51" s="729"/>
      <c r="AN51" s="729"/>
      <c r="AO51" s="729"/>
      <c r="AP51" s="729"/>
      <c r="AQ51" s="729"/>
      <c r="AR51" s="729"/>
    </row>
    <row r="52" spans="7:44">
      <c r="G52" s="727">
        <v>44606</v>
      </c>
      <c r="M52" s="728">
        <v>240.94878</v>
      </c>
      <c r="N52" s="728"/>
      <c r="O52" s="728">
        <v>240.76506000000001</v>
      </c>
      <c r="P52" s="728"/>
      <c r="Q52" s="728">
        <v>239.01972000000001</v>
      </c>
      <c r="R52" s="728"/>
      <c r="S52" s="728">
        <v>224.5977</v>
      </c>
      <c r="T52" s="728"/>
      <c r="U52" s="728"/>
      <c r="V52" s="728">
        <v>219.82097999999999</v>
      </c>
      <c r="W52" s="728"/>
      <c r="X52" s="728"/>
      <c r="Y52" s="728">
        <v>222.39305999999999</v>
      </c>
      <c r="Z52" s="729"/>
      <c r="AA52" s="729"/>
      <c r="AB52" s="729"/>
      <c r="AC52" s="729"/>
      <c r="AD52" s="729"/>
      <c r="AE52" s="729"/>
      <c r="AF52" s="729"/>
      <c r="AG52" s="729"/>
      <c r="AH52" s="729"/>
      <c r="AI52" s="729"/>
      <c r="AJ52" s="725"/>
      <c r="AK52" s="729"/>
      <c r="AL52" s="729"/>
      <c r="AM52" s="729"/>
      <c r="AN52" s="729"/>
      <c r="AO52" s="729"/>
      <c r="AP52" s="729"/>
      <c r="AQ52" s="729"/>
      <c r="AR52" s="729"/>
    </row>
    <row r="53" spans="7:44">
      <c r="G53" s="727">
        <v>44614</v>
      </c>
      <c r="M53" s="728">
        <v>247.93013999999999</v>
      </c>
      <c r="N53" s="728"/>
      <c r="O53" s="728">
        <v>247.10339999999999</v>
      </c>
      <c r="P53" s="728"/>
      <c r="Q53" s="728">
        <v>244.43946</v>
      </c>
      <c r="R53" s="728"/>
      <c r="S53" s="728">
        <v>228.18024</v>
      </c>
      <c r="T53" s="728"/>
      <c r="U53" s="728"/>
      <c r="V53" s="728">
        <v>222.57677999999999</v>
      </c>
      <c r="W53" s="728"/>
      <c r="X53" s="728"/>
      <c r="Y53" s="728">
        <v>225.14885999999998</v>
      </c>
      <c r="Z53" s="729"/>
      <c r="AA53" s="729"/>
      <c r="AB53" s="729"/>
      <c r="AC53" s="729"/>
      <c r="AD53" s="729"/>
      <c r="AE53" s="729"/>
      <c r="AF53" s="729"/>
      <c r="AG53" s="729"/>
      <c r="AH53" s="729"/>
      <c r="AI53" s="729"/>
      <c r="AJ53" s="725"/>
      <c r="AK53" s="729"/>
      <c r="AL53" s="729"/>
      <c r="AM53" s="729"/>
      <c r="AN53" s="729"/>
      <c r="AO53" s="729"/>
      <c r="AP53" s="729"/>
      <c r="AQ53" s="729"/>
      <c r="AR53" s="729"/>
    </row>
    <row r="54" spans="7:44">
      <c r="G54" s="727">
        <v>44620</v>
      </c>
      <c r="M54" s="728">
        <v>256.2894</v>
      </c>
      <c r="N54" s="728"/>
      <c r="O54" s="728">
        <v>253.80918</v>
      </c>
      <c r="P54" s="728"/>
      <c r="Q54" s="728">
        <v>248.75688</v>
      </c>
      <c r="R54" s="728"/>
      <c r="S54" s="728">
        <v>228.63953999999998</v>
      </c>
      <c r="T54" s="728"/>
      <c r="U54" s="728"/>
      <c r="V54" s="728">
        <v>223.12794</v>
      </c>
      <c r="W54" s="728"/>
      <c r="X54" s="728"/>
      <c r="Y54" s="728">
        <v>224.96513999999999</v>
      </c>
      <c r="Z54" s="729"/>
      <c r="AA54" s="729"/>
      <c r="AB54" s="729"/>
      <c r="AC54" s="729"/>
      <c r="AD54" s="729"/>
      <c r="AE54" s="729"/>
      <c r="AF54" s="729"/>
      <c r="AG54" s="729"/>
      <c r="AH54" s="729"/>
      <c r="AI54" s="729"/>
      <c r="AJ54" s="725"/>
      <c r="AK54" s="729"/>
      <c r="AL54" s="729"/>
      <c r="AM54" s="729"/>
      <c r="AN54" s="729"/>
      <c r="AO54" s="729"/>
      <c r="AP54" s="729"/>
      <c r="AQ54" s="729"/>
      <c r="AR54" s="729"/>
    </row>
    <row r="55" spans="7:44">
      <c r="G55" s="727">
        <v>44627</v>
      </c>
      <c r="O55" s="728">
        <v>275.85557999999997</v>
      </c>
      <c r="P55" s="728"/>
      <c r="Q55" s="728">
        <v>267.22073999999998</v>
      </c>
      <c r="R55" s="728"/>
      <c r="S55" s="728">
        <v>247.74642</v>
      </c>
      <c r="T55" s="728"/>
      <c r="U55" s="728"/>
      <c r="V55" s="728">
        <v>236.17205999999999</v>
      </c>
      <c r="W55" s="728"/>
      <c r="X55" s="728"/>
      <c r="Y55" s="728">
        <v>234.97788</v>
      </c>
      <c r="Z55" s="729"/>
      <c r="AA55" s="729"/>
      <c r="AB55" s="729"/>
      <c r="AC55" s="729"/>
      <c r="AD55" s="729">
        <v>214.12565999999998</v>
      </c>
      <c r="AE55" s="729"/>
      <c r="AF55" s="729"/>
      <c r="AG55" s="729"/>
      <c r="AH55" s="729"/>
      <c r="AI55" s="729"/>
      <c r="AJ55" s="725"/>
      <c r="AK55" s="729"/>
      <c r="AL55" s="729"/>
      <c r="AM55" s="729"/>
      <c r="AN55" s="729"/>
      <c r="AO55" s="729"/>
      <c r="AP55" s="729"/>
      <c r="AQ55" s="729"/>
      <c r="AR55" s="729"/>
    </row>
    <row r="56" spans="7:44">
      <c r="G56" s="727">
        <v>44634</v>
      </c>
      <c r="O56" s="728">
        <v>274.93698000000001</v>
      </c>
      <c r="P56" s="728"/>
      <c r="Q56" s="728">
        <v>264.00563999999997</v>
      </c>
      <c r="R56" s="728"/>
      <c r="S56" s="728">
        <v>246.46037999999999</v>
      </c>
      <c r="T56" s="728"/>
      <c r="U56" s="728"/>
      <c r="V56" s="728">
        <v>239.75459999999998</v>
      </c>
      <c r="W56" s="728"/>
      <c r="X56" s="728"/>
      <c r="Y56" s="728">
        <v>239.01972000000001</v>
      </c>
      <c r="Z56" s="729"/>
      <c r="AA56" s="729"/>
      <c r="AB56" s="729"/>
      <c r="AC56" s="729"/>
      <c r="AD56" s="729">
        <v>218.35121999999998</v>
      </c>
      <c r="AE56" s="729"/>
      <c r="AF56" s="729"/>
      <c r="AG56" s="729"/>
      <c r="AH56" s="729"/>
      <c r="AI56" s="729"/>
      <c r="AJ56" s="725"/>
      <c r="AK56" s="729"/>
      <c r="AL56" s="729"/>
      <c r="AM56" s="729"/>
      <c r="AN56" s="729"/>
      <c r="AO56" s="729"/>
      <c r="AP56" s="729"/>
      <c r="AQ56" s="729"/>
      <c r="AR56" s="729"/>
    </row>
    <row r="57" spans="7:44">
      <c r="G57" s="727">
        <v>44641</v>
      </c>
      <c r="O57" s="728">
        <v>277.87649999999996</v>
      </c>
      <c r="P57" s="728"/>
      <c r="Q57" s="728">
        <v>267.58817999999997</v>
      </c>
      <c r="R57" s="728"/>
      <c r="S57" s="728">
        <v>250.50221999999999</v>
      </c>
      <c r="T57" s="728"/>
      <c r="U57" s="728"/>
      <c r="V57" s="728">
        <v>243.98015999999998</v>
      </c>
      <c r="W57" s="728"/>
      <c r="X57" s="728"/>
      <c r="Y57" s="728">
        <v>244.25574</v>
      </c>
      <c r="Z57" s="729"/>
      <c r="AA57" s="729"/>
      <c r="AB57" s="729"/>
      <c r="AC57" s="729"/>
      <c r="AD57" s="729">
        <v>221.3826</v>
      </c>
      <c r="AE57" s="729"/>
      <c r="AF57" s="729"/>
      <c r="AG57" s="729"/>
      <c r="AH57" s="729"/>
      <c r="AI57" s="729"/>
      <c r="AJ57" s="725"/>
      <c r="AK57" s="729"/>
      <c r="AL57" s="729"/>
      <c r="AM57" s="729"/>
      <c r="AN57" s="729"/>
      <c r="AO57" s="729"/>
      <c r="AP57" s="729"/>
      <c r="AQ57" s="729"/>
      <c r="AR57" s="729"/>
    </row>
    <row r="58" spans="7:44">
      <c r="G58" s="727">
        <v>44648</v>
      </c>
      <c r="O58" s="728">
        <v>275.02884</v>
      </c>
      <c r="P58" s="728"/>
      <c r="Q58" s="728">
        <v>268.41492</v>
      </c>
      <c r="R58" s="728"/>
      <c r="S58" s="728">
        <v>250.50221999999999</v>
      </c>
      <c r="T58" s="728"/>
      <c r="U58" s="728"/>
      <c r="V58" s="728">
        <v>244.16388000000001</v>
      </c>
      <c r="W58" s="728"/>
      <c r="X58" s="728"/>
      <c r="Y58" s="728">
        <v>244.80689999999998</v>
      </c>
      <c r="Z58" s="729"/>
      <c r="AA58" s="729"/>
      <c r="AB58" s="729"/>
      <c r="AC58" s="729"/>
      <c r="AD58" s="729">
        <v>225.42444</v>
      </c>
      <c r="AE58" s="729"/>
      <c r="AF58" s="729"/>
      <c r="AG58" s="729"/>
      <c r="AH58" s="729"/>
      <c r="AI58" s="729"/>
      <c r="AJ58" s="725"/>
      <c r="AK58" s="729"/>
      <c r="AL58" s="729"/>
      <c r="AM58" s="729"/>
      <c r="AN58" s="729"/>
      <c r="AO58" s="729"/>
      <c r="AP58" s="729"/>
      <c r="AQ58" s="729"/>
      <c r="AR58" s="729"/>
    </row>
    <row r="59" spans="7:44">
      <c r="G59" s="727">
        <v>44655</v>
      </c>
      <c r="O59" s="728">
        <v>275.76371999999998</v>
      </c>
      <c r="P59" s="728"/>
      <c r="Q59" s="728">
        <v>271.63002</v>
      </c>
      <c r="R59" s="728"/>
      <c r="S59" s="728">
        <v>261.43356</v>
      </c>
      <c r="T59" s="728"/>
      <c r="U59" s="728"/>
      <c r="V59" s="728">
        <v>256.84055999999998</v>
      </c>
      <c r="W59" s="728"/>
      <c r="X59" s="728"/>
      <c r="Y59" s="728">
        <v>257.57544000000001</v>
      </c>
      <c r="Z59" s="729"/>
      <c r="AA59" s="729"/>
      <c r="AB59" s="729"/>
      <c r="AC59" s="729"/>
      <c r="AD59" s="729">
        <v>237.36624</v>
      </c>
      <c r="AE59" s="729"/>
      <c r="AF59" s="729"/>
      <c r="AG59" s="729"/>
      <c r="AH59" s="729"/>
      <c r="AI59" s="729"/>
      <c r="AJ59" s="725"/>
      <c r="AK59" s="729"/>
      <c r="AL59" s="729"/>
      <c r="AM59" s="729"/>
      <c r="AN59" s="729"/>
      <c r="AO59" s="729"/>
      <c r="AP59" s="729"/>
      <c r="AQ59" s="729"/>
      <c r="AR59" s="729"/>
    </row>
    <row r="60" spans="7:44">
      <c r="G60" s="727">
        <v>44662</v>
      </c>
      <c r="O60" s="728">
        <v>280.90787999999998</v>
      </c>
      <c r="P60" s="728"/>
      <c r="Q60" s="728">
        <v>278.79509999999999</v>
      </c>
      <c r="R60" s="728"/>
      <c r="S60" s="728">
        <v>268.13934</v>
      </c>
      <c r="T60" s="728"/>
      <c r="U60" s="728"/>
      <c r="V60" s="728">
        <v>263.82191999999998</v>
      </c>
      <c r="W60" s="728"/>
      <c r="X60" s="728"/>
      <c r="Y60" s="728">
        <v>264.37308000000002</v>
      </c>
      <c r="Z60" s="729"/>
      <c r="AA60" s="729"/>
      <c r="AB60" s="729"/>
      <c r="AC60" s="729"/>
      <c r="AD60" s="729">
        <v>245.08248</v>
      </c>
      <c r="AE60" s="729"/>
      <c r="AF60" s="729"/>
      <c r="AG60" s="729"/>
      <c r="AH60" s="729"/>
      <c r="AI60" s="729"/>
      <c r="AJ60" s="725"/>
      <c r="AK60" s="729"/>
      <c r="AL60" s="729"/>
      <c r="AM60" s="729"/>
      <c r="AN60" s="729"/>
      <c r="AO60" s="729"/>
      <c r="AP60" s="729"/>
      <c r="AQ60" s="729"/>
      <c r="AR60" s="729"/>
    </row>
    <row r="61" spans="7:44">
      <c r="G61" s="727">
        <v>44669</v>
      </c>
      <c r="O61" s="728">
        <v>298.82058000000001</v>
      </c>
      <c r="P61" s="728"/>
      <c r="Q61" s="728">
        <v>296.52407999999997</v>
      </c>
      <c r="R61" s="728"/>
      <c r="S61" s="728">
        <v>281.45904000000002</v>
      </c>
      <c r="T61" s="728"/>
      <c r="U61" s="728"/>
      <c r="V61" s="728">
        <v>275.48813999999999</v>
      </c>
      <c r="W61" s="728"/>
      <c r="X61" s="728"/>
      <c r="Y61" s="728">
        <v>276.03929999999997</v>
      </c>
      <c r="Z61" s="729"/>
      <c r="AA61" s="729"/>
      <c r="AB61" s="729"/>
      <c r="AC61" s="729"/>
      <c r="AD61" s="729">
        <v>254.26847999999998</v>
      </c>
      <c r="AE61" s="729"/>
      <c r="AF61" s="729"/>
      <c r="AG61" s="729"/>
      <c r="AH61" s="729"/>
      <c r="AI61" s="729"/>
      <c r="AJ61" s="725"/>
      <c r="AK61" s="729"/>
      <c r="AL61" s="729"/>
      <c r="AM61" s="729"/>
      <c r="AN61" s="729"/>
      <c r="AO61" s="729"/>
      <c r="AP61" s="729"/>
      <c r="AQ61" s="729"/>
      <c r="AR61" s="729"/>
    </row>
    <row r="62" spans="7:44">
      <c r="G62" s="727">
        <v>44676</v>
      </c>
      <c r="O62" s="728">
        <v>294.04386</v>
      </c>
      <c r="P62" s="728"/>
      <c r="Q62" s="728">
        <v>293.21711999999997</v>
      </c>
      <c r="R62" s="728"/>
      <c r="S62" s="728">
        <v>276.13115999999997</v>
      </c>
      <c r="T62" s="728"/>
      <c r="U62" s="728"/>
      <c r="V62" s="728">
        <v>269.70096000000001</v>
      </c>
      <c r="W62" s="728"/>
      <c r="X62" s="728"/>
      <c r="Y62" s="728">
        <v>270.98699999999997</v>
      </c>
      <c r="Z62" s="729"/>
      <c r="AA62" s="729"/>
      <c r="AB62" s="729"/>
      <c r="AC62" s="729"/>
      <c r="AD62" s="729">
        <v>253.34987999999998</v>
      </c>
      <c r="AE62" s="729"/>
      <c r="AF62" s="729"/>
      <c r="AG62" s="729"/>
      <c r="AH62" s="729"/>
      <c r="AI62" s="729"/>
      <c r="AJ62" s="725"/>
      <c r="AK62" s="729"/>
      <c r="AL62" s="729"/>
      <c r="AM62" s="729"/>
      <c r="AN62" s="729"/>
      <c r="AO62" s="729"/>
      <c r="AP62" s="729"/>
      <c r="AQ62" s="729"/>
      <c r="AR62" s="729"/>
    </row>
    <row r="63" spans="7:44">
      <c r="G63" s="727">
        <v>44683</v>
      </c>
      <c r="O63" s="728">
        <v>298.73</v>
      </c>
      <c r="P63" s="728">
        <v>0</v>
      </c>
      <c r="Q63" s="728">
        <v>295.24</v>
      </c>
      <c r="R63" s="728"/>
      <c r="S63" s="728">
        <v>278.43</v>
      </c>
      <c r="T63" s="728">
        <v>0</v>
      </c>
      <c r="U63" s="728"/>
      <c r="V63" s="728">
        <v>272.73</v>
      </c>
      <c r="W63" s="728"/>
      <c r="X63" s="728"/>
      <c r="Y63" s="728">
        <v>274.11</v>
      </c>
      <c r="Z63" s="729"/>
      <c r="AA63" s="729"/>
      <c r="AB63" s="729"/>
      <c r="AC63" s="729"/>
      <c r="AD63" s="729">
        <v>253.07</v>
      </c>
      <c r="AE63" s="729"/>
      <c r="AF63" s="729"/>
      <c r="AG63" s="729"/>
      <c r="AH63" s="729"/>
      <c r="AI63" s="729"/>
      <c r="AJ63" s="725"/>
      <c r="AK63" s="729"/>
      <c r="AL63" s="729"/>
      <c r="AM63" s="729"/>
      <c r="AN63" s="729"/>
      <c r="AO63" s="729"/>
      <c r="AP63" s="729"/>
      <c r="AQ63" s="729"/>
      <c r="AR63" s="729"/>
    </row>
    <row r="64" spans="7:44">
      <c r="G64" s="727">
        <v>44690</v>
      </c>
      <c r="O64" s="728">
        <v>288.25668000000002</v>
      </c>
      <c r="P64" s="728">
        <v>0</v>
      </c>
      <c r="Q64" s="728">
        <v>283.66368</v>
      </c>
      <c r="R64" s="728"/>
      <c r="S64" s="728">
        <v>267.86376000000001</v>
      </c>
      <c r="T64" s="728">
        <v>0</v>
      </c>
      <c r="U64" s="728"/>
      <c r="V64" s="728">
        <v>261.15798000000001</v>
      </c>
      <c r="W64" s="728"/>
      <c r="X64" s="728"/>
      <c r="Y64" s="728">
        <v>262.62774000000002</v>
      </c>
      <c r="Z64" s="729"/>
      <c r="AA64" s="729"/>
      <c r="AB64" s="729"/>
      <c r="AC64" s="729"/>
      <c r="AD64" s="729">
        <v>241.59180000000001</v>
      </c>
      <c r="AE64" s="729"/>
      <c r="AF64" s="729"/>
      <c r="AG64" s="729"/>
      <c r="AH64" s="729"/>
      <c r="AI64" s="729"/>
      <c r="AJ64" s="725"/>
      <c r="AK64" s="729"/>
      <c r="AL64" s="729"/>
      <c r="AM64" s="729"/>
      <c r="AN64" s="729"/>
      <c r="AO64" s="729"/>
      <c r="AP64" s="729"/>
      <c r="AQ64" s="729"/>
      <c r="AR64" s="729"/>
    </row>
    <row r="65" spans="3:46">
      <c r="G65" s="727">
        <v>44697</v>
      </c>
      <c r="O65" s="728">
        <v>0</v>
      </c>
      <c r="P65" s="728">
        <v>0</v>
      </c>
      <c r="Q65" s="728">
        <v>297.44268</v>
      </c>
      <c r="R65" s="728"/>
      <c r="S65" s="728">
        <v>285.86831999999998</v>
      </c>
      <c r="T65" s="728">
        <v>0</v>
      </c>
      <c r="U65" s="728"/>
      <c r="V65" s="728">
        <v>281.27531999999997</v>
      </c>
      <c r="W65" s="728"/>
      <c r="X65" s="728"/>
      <c r="Y65" s="728">
        <v>282.19391999999999</v>
      </c>
      <c r="Z65" s="729"/>
      <c r="AA65" s="729"/>
      <c r="AB65" s="729"/>
      <c r="AC65" s="729"/>
      <c r="AD65" s="729">
        <v>251.78825999999998</v>
      </c>
      <c r="AE65" s="729"/>
      <c r="AF65" s="729"/>
      <c r="AG65" s="729"/>
      <c r="AH65" s="729"/>
      <c r="AI65" s="729"/>
      <c r="AJ65" s="725"/>
      <c r="AK65" s="729"/>
      <c r="AL65" s="729"/>
      <c r="AM65" s="729"/>
      <c r="AN65" s="729"/>
      <c r="AO65" s="729"/>
      <c r="AP65" s="729"/>
      <c r="AQ65" s="729"/>
      <c r="AR65" s="729"/>
    </row>
    <row r="66" spans="3:46">
      <c r="G66" s="730">
        <v>44704</v>
      </c>
      <c r="P66" s="728"/>
      <c r="Q66" s="728">
        <v>288.8997</v>
      </c>
      <c r="R66" s="728"/>
      <c r="S66" s="728">
        <v>277.32533999999998</v>
      </c>
      <c r="T66" s="728"/>
      <c r="U66" s="728"/>
      <c r="V66" s="728">
        <v>271.53816</v>
      </c>
      <c r="W66" s="728"/>
      <c r="X66" s="728"/>
      <c r="Y66" s="728">
        <v>272.64047999999997</v>
      </c>
      <c r="Z66" s="729"/>
      <c r="AA66" s="729"/>
      <c r="AB66" s="729"/>
      <c r="AC66" s="729"/>
      <c r="AD66" s="729">
        <v>247.10339999999999</v>
      </c>
      <c r="AE66" s="729"/>
      <c r="AF66" s="729"/>
      <c r="AG66" s="729"/>
      <c r="AH66" s="729"/>
      <c r="AI66" s="729"/>
      <c r="AJ66" s="725"/>
      <c r="AK66" s="729"/>
      <c r="AL66" s="729"/>
      <c r="AM66" s="729"/>
      <c r="AN66" s="729"/>
      <c r="AO66" s="729"/>
      <c r="AP66" s="729"/>
      <c r="AQ66" s="729"/>
      <c r="AR66" s="729"/>
    </row>
    <row r="67" spans="3:46">
      <c r="G67" s="730">
        <v>44712</v>
      </c>
      <c r="P67" s="728"/>
      <c r="Q67" s="728">
        <v>276.86604</v>
      </c>
      <c r="R67" s="728"/>
      <c r="S67" s="728">
        <v>266.39400000000001</v>
      </c>
      <c r="T67" s="728"/>
      <c r="U67" s="728"/>
      <c r="V67" s="728">
        <v>261.43356</v>
      </c>
      <c r="W67" s="728"/>
      <c r="X67" s="728"/>
      <c r="Y67" s="728">
        <v>263.27076</v>
      </c>
      <c r="Z67" s="729"/>
      <c r="AA67" s="729"/>
      <c r="AB67" s="729"/>
      <c r="AC67" s="729"/>
      <c r="AD67" s="729">
        <v>241.59180000000001</v>
      </c>
      <c r="AE67" s="729"/>
      <c r="AF67" s="729"/>
      <c r="AG67" s="729"/>
      <c r="AH67" s="729"/>
      <c r="AI67" s="729"/>
      <c r="AJ67" s="725"/>
      <c r="AK67" s="729"/>
      <c r="AL67" s="729"/>
      <c r="AM67" s="729"/>
      <c r="AN67" s="729"/>
      <c r="AO67" s="729"/>
      <c r="AP67" s="729"/>
      <c r="AQ67" s="729"/>
      <c r="AR67" s="729"/>
    </row>
    <row r="68" spans="3:46">
      <c r="G68" s="730">
        <v>44718</v>
      </c>
      <c r="P68" s="728"/>
      <c r="Q68" s="728">
        <v>272.82420000000002</v>
      </c>
      <c r="R68" s="728"/>
      <c r="S68" s="728">
        <v>262.44401999999997</v>
      </c>
      <c r="T68" s="728"/>
      <c r="U68" s="728"/>
      <c r="V68" s="728">
        <v>258.1266</v>
      </c>
      <c r="W68" s="728"/>
      <c r="X68" s="728"/>
      <c r="Y68" s="728">
        <v>259.87194</v>
      </c>
      <c r="Z68" s="729"/>
      <c r="AA68" s="729"/>
      <c r="AB68" s="729"/>
      <c r="AC68" s="729"/>
      <c r="AD68" s="729">
        <v>239.38715999999999</v>
      </c>
      <c r="AE68" s="729"/>
      <c r="AF68" s="729"/>
      <c r="AG68" s="729"/>
      <c r="AH68" s="729"/>
      <c r="AI68" s="729"/>
      <c r="AJ68" s="725"/>
      <c r="AK68" s="729"/>
      <c r="AL68" s="729"/>
      <c r="AM68" s="729"/>
      <c r="AN68" s="729"/>
      <c r="AO68" s="729"/>
      <c r="AP68" s="729"/>
      <c r="AQ68" s="729"/>
      <c r="AR68" s="729"/>
    </row>
    <row r="69" spans="3:46">
      <c r="G69" s="730">
        <v>44725</v>
      </c>
      <c r="P69" s="728"/>
      <c r="Q69" s="728">
        <v>282.64999999999998</v>
      </c>
      <c r="R69" s="728"/>
      <c r="S69" s="728">
        <v>268.51</v>
      </c>
      <c r="T69" s="728"/>
      <c r="U69" s="728"/>
      <c r="V69" s="728">
        <v>265.11</v>
      </c>
      <c r="W69" s="728"/>
      <c r="X69" s="728"/>
      <c r="Y69" s="728">
        <v>266.95</v>
      </c>
      <c r="Z69" s="729"/>
      <c r="AA69" s="729"/>
      <c r="AB69" s="729"/>
      <c r="AC69" s="729"/>
      <c r="AD69" s="729">
        <v>247.65</v>
      </c>
      <c r="AE69" s="729"/>
      <c r="AF69" s="729"/>
      <c r="AG69" s="729"/>
      <c r="AH69" s="729"/>
      <c r="AI69" s="729"/>
      <c r="AJ69" s="725"/>
      <c r="AK69" s="729"/>
      <c r="AL69" s="729"/>
      <c r="AM69" s="729"/>
      <c r="AN69" s="729"/>
      <c r="AO69" s="729"/>
      <c r="AP69" s="729"/>
      <c r="AQ69" s="729"/>
      <c r="AR69" s="729"/>
    </row>
    <row r="70" spans="3:46">
      <c r="G70" s="730">
        <v>44733</v>
      </c>
      <c r="Q70" s="728">
        <v>279.52997999999997</v>
      </c>
      <c r="R70" s="728"/>
      <c r="S70" s="728">
        <v>260.60681999999997</v>
      </c>
      <c r="T70" s="728"/>
      <c r="U70" s="728"/>
      <c r="V70" s="728">
        <v>257.75916000000001</v>
      </c>
      <c r="W70" s="728"/>
      <c r="X70" s="728"/>
      <c r="Y70" s="728">
        <v>259.68822</v>
      </c>
      <c r="Z70" s="729"/>
      <c r="AA70" s="729"/>
      <c r="AB70" s="729"/>
      <c r="AC70" s="729"/>
      <c r="AD70" s="729">
        <v>239.2953</v>
      </c>
      <c r="AE70" s="729"/>
      <c r="AF70" s="729"/>
      <c r="AG70" s="729"/>
      <c r="AH70" s="729"/>
      <c r="AI70" s="729"/>
      <c r="AJ70" s="725"/>
      <c r="AK70" s="729"/>
      <c r="AL70" s="729"/>
      <c r="AM70" s="729"/>
      <c r="AN70" s="729"/>
      <c r="AO70" s="729"/>
      <c r="AP70" s="729"/>
      <c r="AQ70" s="729"/>
      <c r="AR70" s="729"/>
    </row>
    <row r="71" spans="3:46">
      <c r="G71" s="730">
        <v>44739</v>
      </c>
      <c r="Q71" s="728">
        <v>273.46722</v>
      </c>
      <c r="R71" s="728"/>
      <c r="S71" s="728">
        <v>242.96969999999999</v>
      </c>
      <c r="T71" s="728"/>
      <c r="U71" s="728"/>
      <c r="V71" s="728">
        <v>239.93832</v>
      </c>
      <c r="W71" s="728"/>
      <c r="X71" s="728"/>
      <c r="Y71" s="728">
        <v>242.14295999999999</v>
      </c>
      <c r="Z71" s="729"/>
      <c r="AA71" s="729"/>
      <c r="AB71" s="729"/>
      <c r="AC71" s="729"/>
      <c r="AD71" s="729">
        <v>227.62907999999999</v>
      </c>
      <c r="AE71" s="729"/>
      <c r="AF71" s="729"/>
      <c r="AG71" s="729"/>
      <c r="AH71" s="729"/>
      <c r="AI71" s="729"/>
      <c r="AJ71" s="725"/>
      <c r="AK71" s="729"/>
      <c r="AL71" s="729"/>
      <c r="AM71" s="729"/>
      <c r="AN71" s="729"/>
      <c r="AO71" s="729"/>
      <c r="AP71" s="729"/>
      <c r="AQ71" s="729"/>
      <c r="AR71" s="729"/>
    </row>
    <row r="72" spans="3:46" ht="14.4">
      <c r="C72" s="686"/>
      <c r="D72" s="687"/>
      <c r="E72" s="777"/>
      <c r="G72" s="730">
        <v>44747</v>
      </c>
      <c r="Q72" s="728">
        <v>270.43583999999998</v>
      </c>
      <c r="R72" s="728"/>
      <c r="S72" s="728">
        <v>217.61633999999998</v>
      </c>
      <c r="T72" s="728"/>
      <c r="U72" s="728"/>
      <c r="V72" s="728">
        <v>212.56404000000001</v>
      </c>
      <c r="W72" s="728"/>
      <c r="X72" s="728"/>
      <c r="Y72" s="728">
        <v>214.95239999999998</v>
      </c>
      <c r="Z72" s="729"/>
      <c r="AA72" s="729"/>
      <c r="AB72" s="729"/>
      <c r="AC72" s="729"/>
      <c r="AD72" s="729">
        <v>206.59314000000001</v>
      </c>
      <c r="AE72" s="729"/>
      <c r="AF72" s="729"/>
      <c r="AG72" s="731">
        <v>202.73501999999999</v>
      </c>
      <c r="AH72" s="731"/>
      <c r="AI72" s="731"/>
      <c r="AJ72" s="731"/>
      <c r="AK72" s="731"/>
      <c r="AL72" s="731"/>
      <c r="AM72" s="731"/>
      <c r="AN72" s="731"/>
      <c r="AO72" s="731"/>
      <c r="AP72" s="731"/>
      <c r="AQ72" s="731"/>
      <c r="AR72" s="731"/>
      <c r="AS72" s="731"/>
      <c r="AT72" s="731"/>
    </row>
    <row r="73" spans="3:46" ht="14.4">
      <c r="C73" s="686"/>
      <c r="D73" s="687"/>
      <c r="E73" s="777"/>
      <c r="G73" s="730">
        <v>44753</v>
      </c>
      <c r="Q73" s="728">
        <v>287.0625</v>
      </c>
      <c r="R73" s="728"/>
      <c r="S73" s="728">
        <v>234.05928</v>
      </c>
      <c r="T73" s="728"/>
      <c r="U73" s="728"/>
      <c r="V73" s="728">
        <v>231.11975999999999</v>
      </c>
      <c r="W73" s="728"/>
      <c r="X73" s="728"/>
      <c r="Y73" s="728">
        <v>232.77323999999999</v>
      </c>
      <c r="Z73" s="729"/>
      <c r="AA73" s="729"/>
      <c r="AB73" s="729"/>
      <c r="AC73" s="729"/>
      <c r="AD73" s="729">
        <v>216.97332</v>
      </c>
      <c r="AE73" s="729"/>
      <c r="AF73" s="729"/>
      <c r="AG73" s="731">
        <v>210.63497999999998</v>
      </c>
      <c r="AH73" s="731"/>
      <c r="AI73" s="731"/>
      <c r="AJ73" s="731"/>
      <c r="AK73" s="731"/>
      <c r="AL73" s="731"/>
      <c r="AM73" s="731"/>
      <c r="AN73" s="731"/>
      <c r="AO73" s="731"/>
      <c r="AP73" s="731"/>
      <c r="AQ73" s="731"/>
      <c r="AR73" s="731"/>
      <c r="AS73" s="731"/>
      <c r="AT73" s="731"/>
    </row>
    <row r="74" spans="3:46" ht="14.4">
      <c r="C74" s="686"/>
      <c r="D74" s="687"/>
      <c r="E74" s="777"/>
      <c r="G74" s="730">
        <v>44760</v>
      </c>
      <c r="Q74" s="728"/>
      <c r="R74" s="728"/>
      <c r="S74" s="728">
        <v>224.96513999999999</v>
      </c>
      <c r="T74" s="728"/>
      <c r="U74" s="728"/>
      <c r="V74" s="728">
        <v>224.41397999999998</v>
      </c>
      <c r="W74" s="728"/>
      <c r="X74" s="728"/>
      <c r="Y74" s="728">
        <v>226.52676</v>
      </c>
      <c r="Z74" s="729"/>
      <c r="AA74" s="729"/>
      <c r="AB74" s="729"/>
      <c r="AC74" s="729"/>
      <c r="AD74" s="729">
        <v>215.68727999999999</v>
      </c>
      <c r="AE74" s="729"/>
      <c r="AF74" s="729"/>
      <c r="AG74" s="731">
        <v>210.72683999999998</v>
      </c>
      <c r="AH74" s="731"/>
      <c r="AI74" s="731"/>
      <c r="AJ74" s="731"/>
      <c r="AK74" s="731"/>
      <c r="AL74" s="731"/>
      <c r="AM74" s="731"/>
      <c r="AN74" s="731"/>
      <c r="AO74" s="731"/>
      <c r="AP74" s="731"/>
      <c r="AQ74" s="731"/>
      <c r="AR74" s="731"/>
      <c r="AS74" s="731"/>
      <c r="AT74" s="731"/>
    </row>
    <row r="75" spans="3:46" ht="14.4">
      <c r="C75" s="686"/>
      <c r="D75" s="687"/>
      <c r="E75" s="777"/>
      <c r="G75" s="730">
        <v>44767</v>
      </c>
      <c r="S75" s="728">
        <v>213.11519999999999</v>
      </c>
      <c r="T75" s="728"/>
      <c r="U75" s="728"/>
      <c r="V75" s="728">
        <v>214.4931</v>
      </c>
      <c r="W75" s="728"/>
      <c r="X75" s="728"/>
      <c r="Y75" s="728">
        <v>217.06518</v>
      </c>
      <c r="Z75" s="729"/>
      <c r="AA75" s="729"/>
      <c r="AB75" s="729"/>
      <c r="AC75" s="729"/>
      <c r="AD75" s="729">
        <v>208.15475999999998</v>
      </c>
      <c r="AE75" s="729"/>
      <c r="AF75" s="729"/>
      <c r="AG75" s="731">
        <v>203.65361999999999</v>
      </c>
      <c r="AH75" s="731"/>
      <c r="AI75" s="731"/>
      <c r="AJ75" s="731"/>
      <c r="AK75" s="731"/>
      <c r="AL75" s="731"/>
      <c r="AM75" s="731"/>
      <c r="AN75" s="731"/>
      <c r="AO75" s="731"/>
      <c r="AP75" s="731"/>
      <c r="AQ75" s="731"/>
      <c r="AR75" s="731"/>
      <c r="AS75" s="731"/>
      <c r="AT75" s="731"/>
    </row>
    <row r="76" spans="3:46" ht="14.4">
      <c r="C76" s="686"/>
      <c r="D76" s="687"/>
      <c r="E76" s="777"/>
      <c r="G76" s="730">
        <v>44774</v>
      </c>
      <c r="S76" s="728">
        <v>223.03608</v>
      </c>
      <c r="T76" s="728"/>
      <c r="U76" s="728"/>
      <c r="V76" s="728">
        <v>224.04653999999999</v>
      </c>
      <c r="W76" s="728"/>
      <c r="X76" s="728"/>
      <c r="Y76" s="728">
        <v>226.61861999999999</v>
      </c>
      <c r="Z76" s="729"/>
      <c r="AA76" s="729"/>
      <c r="AB76" s="729"/>
      <c r="AC76" s="729"/>
      <c r="AD76" s="729">
        <v>217.24889999999999</v>
      </c>
      <c r="AE76" s="729"/>
      <c r="AF76" s="729"/>
      <c r="AG76" s="731">
        <v>212.38031999999998</v>
      </c>
      <c r="AH76" s="731"/>
      <c r="AI76" s="731"/>
      <c r="AJ76" s="731"/>
      <c r="AK76" s="731"/>
      <c r="AL76" s="731"/>
      <c r="AM76" s="731"/>
      <c r="AN76" s="731"/>
      <c r="AO76" s="731"/>
      <c r="AP76" s="731"/>
      <c r="AQ76" s="731"/>
      <c r="AR76" s="731"/>
      <c r="AS76" s="731"/>
      <c r="AT76" s="731"/>
    </row>
    <row r="77" spans="3:46" ht="14.4">
      <c r="C77" s="686"/>
      <c r="D77" s="687"/>
      <c r="E77" s="777"/>
      <c r="G77" s="730">
        <v>44781</v>
      </c>
      <c r="S77" s="728">
        <v>223.58723999999998</v>
      </c>
      <c r="T77" s="728"/>
      <c r="U77" s="728"/>
      <c r="V77" s="728">
        <v>223.12794</v>
      </c>
      <c r="W77" s="728"/>
      <c r="X77" s="728"/>
      <c r="Y77" s="728">
        <v>226.06745999999998</v>
      </c>
      <c r="Z77" s="729"/>
      <c r="AA77" s="729"/>
      <c r="AB77" s="729"/>
      <c r="AC77" s="729"/>
      <c r="AD77" s="729">
        <v>217.06518</v>
      </c>
      <c r="AE77" s="729"/>
      <c r="AF77" s="729"/>
      <c r="AG77" s="731">
        <v>213.20705999999998</v>
      </c>
      <c r="AH77" s="731"/>
      <c r="AI77" s="731"/>
      <c r="AJ77" s="731"/>
      <c r="AK77" s="731"/>
      <c r="AL77" s="731"/>
      <c r="AM77" s="731"/>
      <c r="AN77" s="731"/>
      <c r="AO77" s="731"/>
      <c r="AP77" s="731"/>
      <c r="AQ77" s="731"/>
      <c r="AR77" s="731"/>
      <c r="AS77" s="731"/>
      <c r="AT77" s="731"/>
    </row>
    <row r="78" spans="3:46" ht="14.4">
      <c r="C78" s="686"/>
      <c r="D78" s="687"/>
      <c r="E78" s="777"/>
      <c r="G78" s="730">
        <v>44788</v>
      </c>
      <c r="S78" s="728">
        <v>230.29301999999998</v>
      </c>
      <c r="T78" s="728"/>
      <c r="U78" s="728"/>
      <c r="V78" s="728">
        <v>230.84417999999999</v>
      </c>
      <c r="W78" s="728"/>
      <c r="X78" s="728"/>
      <c r="Y78" s="728">
        <v>233.59997999999999</v>
      </c>
      <c r="Z78" s="729"/>
      <c r="AA78" s="729"/>
      <c r="AB78" s="729"/>
      <c r="AC78" s="729"/>
      <c r="AD78" s="729">
        <v>222.57677999999999</v>
      </c>
      <c r="AE78" s="729"/>
      <c r="AF78" s="729"/>
      <c r="AG78" s="731">
        <v>219.08609999999999</v>
      </c>
      <c r="AH78" s="731"/>
      <c r="AI78" s="731"/>
      <c r="AJ78" s="731"/>
      <c r="AK78" s="731"/>
      <c r="AL78" s="731"/>
      <c r="AM78" s="731"/>
      <c r="AN78" s="731"/>
      <c r="AO78" s="731"/>
      <c r="AP78" s="731"/>
      <c r="AQ78" s="731"/>
      <c r="AR78" s="731"/>
      <c r="AS78" s="731"/>
      <c r="AT78" s="731"/>
    </row>
    <row r="79" spans="3:46" ht="14.4">
      <c r="C79" s="686"/>
      <c r="D79" s="687"/>
      <c r="E79" s="777"/>
      <c r="G79" s="730">
        <v>44795</v>
      </c>
      <c r="S79" s="728">
        <v>232.77323999999999</v>
      </c>
      <c r="T79" s="728"/>
      <c r="U79" s="728"/>
      <c r="V79" s="728">
        <v>231.11975999999999</v>
      </c>
      <c r="W79" s="728"/>
      <c r="X79" s="728"/>
      <c r="Y79" s="728">
        <v>233.78369999999998</v>
      </c>
      <c r="Z79" s="729"/>
      <c r="AA79" s="729"/>
      <c r="AB79" s="729"/>
      <c r="AC79" s="729"/>
      <c r="AD79" s="729">
        <v>222.20934</v>
      </c>
      <c r="AE79" s="729"/>
      <c r="AF79" s="729"/>
      <c r="AG79" s="731">
        <v>219.45354</v>
      </c>
      <c r="AH79" s="731"/>
      <c r="AI79" s="731"/>
      <c r="AJ79" s="731"/>
      <c r="AK79" s="731"/>
      <c r="AL79" s="731"/>
      <c r="AM79" s="731"/>
      <c r="AN79" s="731"/>
      <c r="AO79" s="731"/>
      <c r="AP79" s="731"/>
      <c r="AQ79" s="731"/>
      <c r="AR79" s="731"/>
      <c r="AS79" s="731"/>
      <c r="AT79" s="731"/>
    </row>
    <row r="80" spans="3:46" ht="14.4">
      <c r="C80" s="686"/>
      <c r="D80" s="687"/>
      <c r="E80" s="777"/>
      <c r="G80" s="730">
        <v>44802</v>
      </c>
      <c r="S80" s="728">
        <v>251.2371</v>
      </c>
      <c r="T80" s="728"/>
      <c r="U80" s="728"/>
      <c r="V80" s="728">
        <v>250.96151999999998</v>
      </c>
      <c r="W80" s="728"/>
      <c r="X80" s="728"/>
      <c r="Y80" s="728">
        <v>252.70686000000001</v>
      </c>
      <c r="Z80" s="729"/>
      <c r="AA80" s="729"/>
      <c r="AB80" s="729"/>
      <c r="AC80" s="729"/>
      <c r="AD80" s="729">
        <v>233.96742</v>
      </c>
      <c r="AE80" s="729"/>
      <c r="AF80" s="729"/>
      <c r="AG80" s="731">
        <v>229.00698</v>
      </c>
      <c r="AH80" s="731"/>
      <c r="AI80" s="731"/>
      <c r="AJ80" s="731"/>
      <c r="AK80" s="731"/>
      <c r="AL80" s="731"/>
      <c r="AM80" s="731"/>
      <c r="AN80" s="731"/>
      <c r="AO80" s="731"/>
      <c r="AP80" s="731"/>
      <c r="AQ80" s="731"/>
      <c r="AR80" s="731"/>
      <c r="AS80" s="731"/>
      <c r="AT80" s="731"/>
    </row>
    <row r="81" spans="3:46" ht="14.4">
      <c r="C81" s="686"/>
      <c r="D81" s="687"/>
      <c r="E81" s="777"/>
      <c r="G81" s="730">
        <v>44810</v>
      </c>
      <c r="S81" s="728">
        <v>250.13478000000001</v>
      </c>
      <c r="T81" s="728"/>
      <c r="U81" s="728"/>
      <c r="V81" s="728">
        <v>248.38943999999998</v>
      </c>
      <c r="W81" s="728"/>
      <c r="X81" s="728"/>
      <c r="Y81" s="728">
        <v>250.50221999999999</v>
      </c>
      <c r="Z81" s="729"/>
      <c r="AA81" s="729"/>
      <c r="AB81" s="729"/>
      <c r="AC81" s="729"/>
      <c r="AD81" s="729">
        <v>233.96742</v>
      </c>
      <c r="AE81" s="729"/>
      <c r="AF81" s="729"/>
      <c r="AG81" s="731">
        <v>229.00698</v>
      </c>
      <c r="AH81" s="731"/>
      <c r="AI81" s="731"/>
      <c r="AJ81" s="731"/>
      <c r="AK81" s="731"/>
      <c r="AL81" s="731"/>
      <c r="AM81" s="731"/>
      <c r="AN81" s="731"/>
      <c r="AO81" s="731"/>
      <c r="AP81" s="731"/>
      <c r="AQ81" s="731"/>
      <c r="AR81" s="731"/>
      <c r="AS81" s="731"/>
      <c r="AT81" s="731"/>
    </row>
    <row r="82" spans="3:46" ht="14.4">
      <c r="C82" s="686"/>
      <c r="D82" s="687"/>
      <c r="E82" s="777"/>
      <c r="G82" s="730">
        <v>44816</v>
      </c>
      <c r="S82" s="728">
        <v>261.70913999999999</v>
      </c>
      <c r="T82" s="728"/>
      <c r="U82" s="728"/>
      <c r="V82" s="728">
        <v>255.73823999999999</v>
      </c>
      <c r="W82" s="728"/>
      <c r="X82" s="728"/>
      <c r="Y82" s="728">
        <v>257.02427999999998</v>
      </c>
      <c r="Z82" s="729"/>
      <c r="AA82" s="729"/>
      <c r="AB82" s="729"/>
      <c r="AC82" s="729"/>
      <c r="AD82" s="729">
        <v>237.91739999999999</v>
      </c>
      <c r="AE82" s="729"/>
      <c r="AF82" s="729"/>
      <c r="AG82" s="731">
        <v>232.31394</v>
      </c>
      <c r="AH82" s="731"/>
      <c r="AI82" s="731"/>
      <c r="AJ82" s="731"/>
      <c r="AK82" s="731"/>
      <c r="AL82" s="731"/>
      <c r="AM82" s="731"/>
      <c r="AN82" s="731"/>
      <c r="AO82" s="731"/>
      <c r="AP82" s="731"/>
      <c r="AQ82" s="731"/>
      <c r="AR82" s="731"/>
      <c r="AS82" s="731"/>
      <c r="AT82" s="731"/>
    </row>
    <row r="83" spans="3:46" ht="14.4">
      <c r="C83" s="686"/>
      <c r="D83" s="687"/>
      <c r="E83" s="777"/>
      <c r="G83" s="730">
        <v>44823</v>
      </c>
      <c r="S83" s="728"/>
      <c r="T83" s="728"/>
      <c r="U83" s="728"/>
      <c r="V83" s="728">
        <v>249.21617999999998</v>
      </c>
      <c r="W83" s="728"/>
      <c r="X83" s="728"/>
      <c r="Y83" s="728">
        <v>251.14524</v>
      </c>
      <c r="Z83" s="729"/>
      <c r="AA83" s="729"/>
      <c r="AB83" s="729"/>
      <c r="AC83" s="729"/>
      <c r="AD83" s="729">
        <v>233.41625999999999</v>
      </c>
      <c r="AE83" s="729"/>
      <c r="AF83" s="729"/>
      <c r="AG83" s="731">
        <v>228.54767999999999</v>
      </c>
      <c r="AH83" s="731"/>
      <c r="AI83" s="731"/>
      <c r="AJ83" s="731">
        <v>231.02789999999999</v>
      </c>
      <c r="AK83" s="731"/>
      <c r="AL83" s="731"/>
      <c r="AM83" s="731"/>
      <c r="AN83" s="731"/>
      <c r="AO83" s="731"/>
      <c r="AP83" s="731"/>
      <c r="AQ83" s="731"/>
      <c r="AR83" s="731"/>
      <c r="AS83" s="731"/>
      <c r="AT83" s="731"/>
    </row>
    <row r="84" spans="3:46" ht="14.4">
      <c r="C84" s="686"/>
      <c r="D84" s="687"/>
      <c r="E84" s="777"/>
      <c r="G84" s="730">
        <v>44830</v>
      </c>
      <c r="T84" s="729"/>
      <c r="U84" s="729"/>
      <c r="V84" s="728">
        <v>244.80689999999998</v>
      </c>
      <c r="W84" s="728"/>
      <c r="X84" s="728"/>
      <c r="Y84" s="728">
        <v>246.46037999999999</v>
      </c>
      <c r="Z84" s="729"/>
      <c r="AA84" s="729"/>
      <c r="AB84" s="729"/>
      <c r="AC84" s="729"/>
      <c r="AD84" s="729">
        <v>228.36395999999999</v>
      </c>
      <c r="AE84" s="729"/>
      <c r="AF84" s="729"/>
      <c r="AG84" s="731">
        <v>224.50584000000001</v>
      </c>
      <c r="AH84" s="731"/>
      <c r="AI84" s="731"/>
      <c r="AJ84" s="731">
        <v>226.98605999999998</v>
      </c>
      <c r="AK84" s="731"/>
      <c r="AL84" s="731"/>
      <c r="AM84" s="731"/>
      <c r="AN84" s="731"/>
      <c r="AO84" s="731"/>
      <c r="AP84" s="731"/>
      <c r="AQ84" s="731"/>
      <c r="AR84" s="731"/>
      <c r="AS84" s="731"/>
      <c r="AT84" s="731"/>
    </row>
    <row r="85" spans="3:46" ht="14.4">
      <c r="C85" s="686"/>
      <c r="D85" s="687"/>
      <c r="E85" s="777"/>
      <c r="G85" s="730">
        <v>44837</v>
      </c>
      <c r="T85" s="729"/>
      <c r="U85" s="729"/>
      <c r="V85" s="728">
        <v>250.13478000000001</v>
      </c>
      <c r="W85" s="728"/>
      <c r="X85" s="728"/>
      <c r="Y85" s="728">
        <v>252.61499999999998</v>
      </c>
      <c r="Z85" s="729"/>
      <c r="AA85" s="729"/>
      <c r="AB85" s="729"/>
      <c r="AC85" s="729"/>
      <c r="AD85" s="729">
        <v>231.21161999999998</v>
      </c>
      <c r="AE85" s="729"/>
      <c r="AF85" s="729"/>
      <c r="AG85" s="731">
        <v>226.06745999999998</v>
      </c>
      <c r="AH85" s="731"/>
      <c r="AI85" s="731"/>
      <c r="AJ85" s="731">
        <v>228.54767999999999</v>
      </c>
      <c r="AK85" s="731"/>
      <c r="AL85" s="731"/>
      <c r="AM85" s="731"/>
      <c r="AN85" s="731"/>
      <c r="AO85" s="731"/>
      <c r="AP85" s="731"/>
      <c r="AQ85" s="731"/>
      <c r="AR85" s="731"/>
      <c r="AS85" s="731"/>
      <c r="AT85" s="731"/>
    </row>
    <row r="86" spans="3:46" ht="14.4">
      <c r="C86" s="686"/>
      <c r="D86" s="687"/>
      <c r="E86" s="777"/>
      <c r="G86" s="730">
        <v>44844</v>
      </c>
      <c r="T86" s="729"/>
      <c r="U86" s="729"/>
      <c r="V86" s="728">
        <v>256.56497999999999</v>
      </c>
      <c r="W86" s="728"/>
      <c r="X86" s="728"/>
      <c r="Y86" s="728">
        <v>258.95333999999997</v>
      </c>
      <c r="Z86" s="729"/>
      <c r="AA86" s="729"/>
      <c r="AB86" s="729"/>
      <c r="AC86" s="729"/>
      <c r="AD86" s="729">
        <v>238.56041999999999</v>
      </c>
      <c r="AE86" s="729"/>
      <c r="AF86" s="729"/>
      <c r="AG86" s="731">
        <v>232.77323999999999</v>
      </c>
      <c r="AH86" s="731"/>
      <c r="AI86" s="731"/>
      <c r="AJ86" s="731">
        <v>235.06974</v>
      </c>
      <c r="AK86" s="731"/>
      <c r="AL86" s="731"/>
      <c r="AM86" s="731"/>
      <c r="AN86" s="731"/>
      <c r="AO86" s="731"/>
      <c r="AP86" s="731"/>
      <c r="AQ86" s="731"/>
      <c r="AR86" s="731"/>
      <c r="AS86" s="731"/>
      <c r="AT86" s="731"/>
    </row>
    <row r="87" spans="3:46" ht="14.4">
      <c r="C87" s="686"/>
      <c r="D87" s="687"/>
      <c r="E87" s="777"/>
      <c r="G87" s="730">
        <v>44851</v>
      </c>
      <c r="T87" s="729"/>
      <c r="U87" s="729"/>
      <c r="V87" s="728">
        <v>251.14524</v>
      </c>
      <c r="W87" s="728"/>
      <c r="X87" s="728"/>
      <c r="Y87" s="728">
        <v>253.44173999999998</v>
      </c>
      <c r="Z87" s="729"/>
      <c r="AA87" s="729"/>
      <c r="AB87" s="729"/>
      <c r="AC87" s="729"/>
      <c r="AD87" s="729">
        <v>234.42671999999999</v>
      </c>
      <c r="AE87" s="729"/>
      <c r="AF87" s="729"/>
      <c r="AG87" s="731">
        <v>229.46627999999998</v>
      </c>
      <c r="AH87" s="731"/>
      <c r="AI87" s="731"/>
      <c r="AJ87" s="731">
        <v>231.94649999999999</v>
      </c>
      <c r="AK87" s="731"/>
      <c r="AL87" s="731"/>
      <c r="AM87" s="731"/>
      <c r="AN87" s="731"/>
      <c r="AO87" s="731"/>
      <c r="AP87" s="731"/>
      <c r="AQ87" s="731"/>
      <c r="AR87" s="731"/>
      <c r="AS87" s="731"/>
      <c r="AT87" s="731"/>
    </row>
    <row r="88" spans="3:46" ht="14.4">
      <c r="C88" s="686"/>
      <c r="D88" s="687"/>
      <c r="E88" s="777"/>
      <c r="G88" s="730">
        <v>44858</v>
      </c>
      <c r="T88" s="729"/>
      <c r="U88" s="729"/>
      <c r="V88" s="728">
        <v>250.41036</v>
      </c>
      <c r="W88" s="728"/>
      <c r="X88" s="728"/>
      <c r="Y88" s="728">
        <v>252.70686000000001</v>
      </c>
      <c r="Z88" s="729"/>
      <c r="AA88" s="729"/>
      <c r="AB88" s="729"/>
      <c r="AC88" s="729"/>
      <c r="AD88" s="729">
        <v>233.50811999999999</v>
      </c>
      <c r="AE88" s="729"/>
      <c r="AF88" s="729"/>
      <c r="AG88" s="731">
        <v>228.73139999999998</v>
      </c>
      <c r="AH88" s="731"/>
      <c r="AI88" s="731"/>
      <c r="AJ88" s="731">
        <v>231.30347999999998</v>
      </c>
      <c r="AK88" s="731"/>
      <c r="AL88" s="731"/>
      <c r="AM88" s="731"/>
      <c r="AN88" s="731"/>
      <c r="AO88" s="731"/>
      <c r="AP88" s="731"/>
      <c r="AQ88" s="731"/>
      <c r="AR88" s="731"/>
      <c r="AS88" s="731"/>
      <c r="AT88" s="731"/>
    </row>
    <row r="89" spans="3:46" ht="14.4">
      <c r="C89" s="686"/>
      <c r="D89" s="687"/>
      <c r="E89" s="777"/>
      <c r="G89" s="730">
        <v>44865</v>
      </c>
      <c r="V89" s="728">
        <v>254.08475999999999</v>
      </c>
      <c r="W89" s="728"/>
      <c r="X89" s="728"/>
      <c r="Y89" s="728">
        <v>256.01382000000001</v>
      </c>
      <c r="Z89" s="729"/>
      <c r="AA89" s="729"/>
      <c r="AB89" s="729"/>
      <c r="AC89" s="729"/>
      <c r="AD89" s="729">
        <v>235.16159999999999</v>
      </c>
      <c r="AE89" s="729"/>
      <c r="AF89" s="729"/>
      <c r="AG89" s="731">
        <v>229.92558</v>
      </c>
      <c r="AH89" s="731"/>
      <c r="AI89" s="731"/>
      <c r="AJ89" s="731">
        <v>232.31394</v>
      </c>
      <c r="AK89" s="731"/>
      <c r="AL89" s="731"/>
      <c r="AM89" s="731"/>
      <c r="AN89" s="731"/>
      <c r="AO89" s="731"/>
      <c r="AP89" s="731"/>
      <c r="AQ89" s="731"/>
      <c r="AR89" s="731"/>
      <c r="AS89" s="731"/>
      <c r="AT89" s="731"/>
    </row>
    <row r="90" spans="3:46" ht="14.4">
      <c r="C90" s="686"/>
      <c r="D90" s="687"/>
      <c r="E90" s="777"/>
      <c r="G90" s="730">
        <v>44872</v>
      </c>
      <c r="V90" s="728">
        <v>248.29757999999998</v>
      </c>
      <c r="W90" s="728"/>
      <c r="X90" s="728"/>
      <c r="Y90" s="728">
        <v>250.41036</v>
      </c>
      <c r="Z90" s="729"/>
      <c r="AA90" s="729"/>
      <c r="AB90" s="729"/>
      <c r="AC90" s="729"/>
      <c r="AD90" s="729">
        <v>233.96742</v>
      </c>
      <c r="AE90" s="729"/>
      <c r="AF90" s="729"/>
      <c r="AG90" s="731">
        <v>229.09884</v>
      </c>
      <c r="AH90" s="731"/>
      <c r="AI90" s="731"/>
      <c r="AJ90" s="731">
        <v>231.57906</v>
      </c>
      <c r="AK90" s="731"/>
      <c r="AL90" s="731"/>
      <c r="AM90" s="731"/>
      <c r="AN90" s="731"/>
      <c r="AO90" s="731"/>
      <c r="AP90" s="731">
        <v>232.4058</v>
      </c>
      <c r="AQ90" s="731"/>
      <c r="AR90" s="731"/>
      <c r="AS90" s="731"/>
      <c r="AT90" s="731"/>
    </row>
    <row r="91" spans="3:46" ht="14.4">
      <c r="C91" s="686"/>
      <c r="D91" s="687"/>
      <c r="E91" s="777"/>
      <c r="G91" s="730">
        <v>44879</v>
      </c>
      <c r="V91" s="728">
        <v>241.49993999999998</v>
      </c>
      <c r="W91" s="728"/>
      <c r="X91" s="728"/>
      <c r="Y91" s="728">
        <v>242.23481999999998</v>
      </c>
      <c r="Z91" s="729"/>
      <c r="AA91" s="729"/>
      <c r="AB91" s="729"/>
      <c r="AC91" s="729"/>
      <c r="AD91" s="729">
        <v>227.44535999999999</v>
      </c>
      <c r="AE91" s="729"/>
      <c r="AF91" s="729"/>
      <c r="AG91" s="731">
        <v>223.12794</v>
      </c>
      <c r="AH91" s="731"/>
      <c r="AI91" s="731"/>
      <c r="AJ91" s="731">
        <v>225.60816</v>
      </c>
      <c r="AK91" s="731"/>
      <c r="AL91" s="731"/>
      <c r="AM91" s="731"/>
      <c r="AN91" s="731"/>
      <c r="AO91" s="731"/>
      <c r="AP91" s="731">
        <v>210.81870000000001</v>
      </c>
      <c r="AQ91" s="731"/>
      <c r="AR91" s="731"/>
      <c r="AS91" s="731"/>
      <c r="AT91" s="731"/>
    </row>
    <row r="92" spans="3:46" ht="14.4">
      <c r="C92" s="686"/>
      <c r="D92" s="687"/>
      <c r="E92" s="777"/>
      <c r="G92" s="730">
        <v>44886</v>
      </c>
      <c r="V92" s="728">
        <v>242.32667999999998</v>
      </c>
      <c r="W92" s="728"/>
      <c r="X92" s="728"/>
      <c r="Y92" s="728">
        <v>243.79643999999999</v>
      </c>
      <c r="Z92" s="729"/>
      <c r="AA92" s="729"/>
      <c r="AB92" s="729"/>
      <c r="AC92" s="729"/>
      <c r="AD92" s="729">
        <v>227.53721999999999</v>
      </c>
      <c r="AE92" s="729"/>
      <c r="AF92" s="729"/>
      <c r="AG92" s="731">
        <v>223.12794</v>
      </c>
      <c r="AH92" s="731"/>
      <c r="AI92" s="731"/>
      <c r="AJ92" s="731">
        <v>225.60816</v>
      </c>
      <c r="AK92" s="731"/>
      <c r="AL92" s="731"/>
      <c r="AM92" s="731"/>
      <c r="AN92" s="731"/>
      <c r="AO92" s="731"/>
      <c r="AP92" s="731">
        <v>211.36985999999999</v>
      </c>
      <c r="AQ92" s="731"/>
      <c r="AR92" s="731"/>
      <c r="AS92" s="731"/>
      <c r="AT92" s="731"/>
    </row>
    <row r="93" spans="3:46" ht="14.4">
      <c r="C93" s="686"/>
      <c r="D93" s="687"/>
      <c r="E93" s="777"/>
      <c r="G93" s="730">
        <v>44893</v>
      </c>
      <c r="V93" s="728">
        <v>245.72549999999998</v>
      </c>
      <c r="W93" s="728"/>
      <c r="X93" s="728"/>
      <c r="Y93" s="728">
        <v>246.64409999999998</v>
      </c>
      <c r="Z93" s="729"/>
      <c r="AA93" s="729"/>
      <c r="AB93" s="729"/>
      <c r="AC93" s="729"/>
      <c r="AD93" s="729">
        <v>228.36395999999999</v>
      </c>
      <c r="AE93" s="729"/>
      <c r="AF93" s="729"/>
      <c r="AG93" s="731">
        <v>224.50584000000001</v>
      </c>
      <c r="AH93" s="731"/>
      <c r="AI93" s="731"/>
      <c r="AJ93" s="731">
        <v>226.98605999999998</v>
      </c>
      <c r="AK93" s="731"/>
      <c r="AL93" s="731"/>
      <c r="AM93" s="731"/>
      <c r="AN93" s="731"/>
      <c r="AO93" s="731"/>
      <c r="AP93" s="731">
        <v>212.83962</v>
      </c>
      <c r="AQ93" s="731"/>
      <c r="AR93" s="731"/>
      <c r="AS93" s="731"/>
      <c r="AT93" s="731"/>
    </row>
    <row r="94" spans="3:46" ht="14.4">
      <c r="C94" s="686"/>
      <c r="D94" s="687"/>
      <c r="E94" s="777"/>
      <c r="G94" s="730">
        <v>44900</v>
      </c>
      <c r="V94" s="728">
        <v>231.02789999999999</v>
      </c>
      <c r="W94" s="728"/>
      <c r="X94" s="728"/>
      <c r="Y94" s="728">
        <v>235.34531999999999</v>
      </c>
      <c r="Z94" s="729"/>
      <c r="AA94" s="729"/>
      <c r="AB94" s="729"/>
      <c r="AC94" s="729"/>
      <c r="AD94" s="729">
        <v>222.66863999999998</v>
      </c>
      <c r="AE94" s="729"/>
      <c r="AF94" s="729"/>
      <c r="AG94" s="731">
        <v>218.71866</v>
      </c>
      <c r="AH94" s="731"/>
      <c r="AI94" s="731"/>
      <c r="AJ94" s="731">
        <v>221.56631999999999</v>
      </c>
      <c r="AK94" s="731"/>
      <c r="AL94" s="731"/>
      <c r="AM94" s="731"/>
      <c r="AN94" s="731"/>
      <c r="AO94" s="731"/>
      <c r="AP94" s="731">
        <v>210.08382</v>
      </c>
      <c r="AQ94" s="731"/>
      <c r="AR94" s="731"/>
      <c r="AS94" s="731"/>
      <c r="AT94" s="731"/>
    </row>
    <row r="95" spans="3:46" ht="14.4">
      <c r="C95" s="686"/>
      <c r="D95" s="687"/>
      <c r="E95" s="777"/>
      <c r="G95" s="730">
        <v>44907</v>
      </c>
      <c r="V95" s="728">
        <v>235.62090000000001</v>
      </c>
      <c r="W95" s="728"/>
      <c r="X95" s="728"/>
      <c r="Y95" s="728">
        <v>240.30575999999999</v>
      </c>
      <c r="Z95" s="729"/>
      <c r="AA95" s="729"/>
      <c r="AB95" s="729"/>
      <c r="AC95" s="729"/>
      <c r="AD95" s="729">
        <v>224.41397999999998</v>
      </c>
      <c r="AE95" s="729"/>
      <c r="AF95" s="729"/>
      <c r="AG95" s="731">
        <v>219.36168000000001</v>
      </c>
      <c r="AH95" s="731"/>
      <c r="AI95" s="731"/>
      <c r="AJ95" s="731">
        <v>222.20934</v>
      </c>
      <c r="AK95" s="731"/>
      <c r="AL95" s="731"/>
      <c r="AM95" s="731"/>
      <c r="AN95" s="731"/>
      <c r="AO95" s="731"/>
      <c r="AP95" s="731">
        <v>210.26754</v>
      </c>
      <c r="AQ95" s="731"/>
      <c r="AR95" s="731"/>
      <c r="AS95" s="731"/>
      <c r="AT95" s="731"/>
    </row>
    <row r="96" spans="3:46" ht="14.4">
      <c r="C96" s="686"/>
      <c r="D96" s="687"/>
      <c r="E96" s="777"/>
      <c r="G96" s="730">
        <v>44914</v>
      </c>
      <c r="V96" s="728"/>
      <c r="W96" s="728"/>
      <c r="X96" s="728"/>
      <c r="Y96" s="728">
        <v>237.82553999999999</v>
      </c>
      <c r="Z96" s="729"/>
      <c r="AA96" s="729"/>
      <c r="AB96" s="729"/>
      <c r="AC96" s="729"/>
      <c r="AD96" s="729">
        <v>223.12794</v>
      </c>
      <c r="AE96" s="729"/>
      <c r="AF96" s="729"/>
      <c r="AG96" s="731">
        <v>218.71866</v>
      </c>
      <c r="AH96" s="731"/>
      <c r="AI96" s="731"/>
      <c r="AJ96" s="731">
        <v>221.75003999999998</v>
      </c>
      <c r="AK96" s="731"/>
      <c r="AL96" s="731"/>
      <c r="AM96" s="731"/>
      <c r="AN96" s="731"/>
      <c r="AO96" s="731"/>
      <c r="AP96" s="731">
        <v>209.34894</v>
      </c>
      <c r="AQ96" s="731"/>
      <c r="AR96" s="731"/>
      <c r="AS96" s="731"/>
      <c r="AT96" s="731"/>
    </row>
    <row r="97" spans="3:46" ht="14.4">
      <c r="C97" s="687"/>
      <c r="D97" s="687"/>
      <c r="E97" s="777"/>
      <c r="G97" s="730">
        <v>44922</v>
      </c>
      <c r="Y97" s="728">
        <v>247.93013999999999</v>
      </c>
      <c r="Z97" s="729"/>
      <c r="AA97" s="729"/>
      <c r="AB97" s="729"/>
      <c r="AC97" s="729"/>
      <c r="AD97" s="729">
        <v>228.82326</v>
      </c>
      <c r="AE97" s="729"/>
      <c r="AF97" s="729"/>
      <c r="AG97" s="731">
        <v>223.03608</v>
      </c>
      <c r="AH97" s="731"/>
      <c r="AI97" s="731"/>
      <c r="AJ97" s="731">
        <v>225.88373999999999</v>
      </c>
      <c r="AK97" s="731"/>
      <c r="AL97" s="731"/>
      <c r="AM97" s="731"/>
      <c r="AN97" s="731"/>
      <c r="AO97" s="731"/>
      <c r="AP97" s="731">
        <v>211.18613999999999</v>
      </c>
      <c r="AQ97" s="731"/>
      <c r="AR97" s="731"/>
      <c r="AS97" s="731"/>
      <c r="AT97" s="731"/>
    </row>
    <row r="98" spans="3:46" ht="14.4">
      <c r="C98" s="687"/>
      <c r="D98" s="687"/>
      <c r="E98" s="777"/>
      <c r="G98" s="730">
        <v>44956</v>
      </c>
      <c r="Y98" s="728">
        <v>269.17869999999999</v>
      </c>
      <c r="Z98" s="729"/>
      <c r="AA98" s="729"/>
      <c r="AB98" s="729"/>
      <c r="AC98" s="729"/>
      <c r="AD98" s="729">
        <v>238.37323999999998</v>
      </c>
      <c r="AE98" s="729"/>
      <c r="AF98" s="729"/>
      <c r="AG98" s="731">
        <v>232.17277999999999</v>
      </c>
      <c r="AH98" s="731"/>
      <c r="AI98" s="731"/>
      <c r="AJ98" s="731">
        <v>234.92854</v>
      </c>
      <c r="AK98" s="731"/>
      <c r="AL98" s="731"/>
      <c r="AM98" s="731"/>
      <c r="AN98" s="731"/>
      <c r="AO98" s="731"/>
      <c r="AP98" s="731">
        <v>220.9529</v>
      </c>
      <c r="AQ98" s="731"/>
      <c r="AR98" s="731"/>
      <c r="AS98" s="731"/>
      <c r="AT98" s="731"/>
    </row>
    <row r="99" spans="3:46" ht="14.4">
      <c r="C99" s="687"/>
      <c r="D99" s="687"/>
      <c r="E99" s="777"/>
      <c r="G99" s="730">
        <v>44963</v>
      </c>
      <c r="Y99" s="728">
        <v>266.72000000000003</v>
      </c>
      <c r="Z99" s="729"/>
      <c r="AA99" s="729"/>
      <c r="AB99" s="729"/>
      <c r="AC99" s="729"/>
      <c r="AD99" s="729">
        <v>240.34</v>
      </c>
      <c r="AE99" s="729"/>
      <c r="AF99" s="729"/>
      <c r="AG99" s="731">
        <v>234.63</v>
      </c>
      <c r="AH99" s="731"/>
      <c r="AI99" s="731"/>
      <c r="AJ99" s="731">
        <v>237.29</v>
      </c>
      <c r="AK99" s="731"/>
      <c r="AL99" s="731"/>
      <c r="AM99" s="731"/>
      <c r="AN99" s="731"/>
      <c r="AO99" s="731"/>
      <c r="AP99" s="731">
        <v>222.53</v>
      </c>
      <c r="AQ99" s="731"/>
      <c r="AR99" s="731"/>
      <c r="AS99" s="731"/>
      <c r="AT99" s="731"/>
    </row>
    <row r="100" spans="3:46" ht="14.4">
      <c r="C100" s="687"/>
      <c r="D100" s="687"/>
      <c r="E100" s="777"/>
      <c r="G100" s="730">
        <v>44970</v>
      </c>
      <c r="Y100" s="728">
        <v>269.67079999999999</v>
      </c>
      <c r="Z100" s="729"/>
      <c r="AA100" s="729"/>
      <c r="AB100" s="729"/>
      <c r="AC100" s="729"/>
      <c r="AD100" s="729">
        <v>240.83373999999998</v>
      </c>
      <c r="AE100" s="729"/>
      <c r="AF100" s="729"/>
      <c r="AG100" s="731">
        <v>234.92854</v>
      </c>
      <c r="AH100" s="731"/>
      <c r="AI100" s="731"/>
      <c r="AJ100" s="731">
        <v>237.88113999999999</v>
      </c>
      <c r="AK100" s="731"/>
      <c r="AL100" s="731"/>
      <c r="AM100" s="731"/>
      <c r="AN100" s="731"/>
      <c r="AO100" s="731"/>
      <c r="AP100" s="731">
        <v>223.21655999999999</v>
      </c>
      <c r="AQ100" s="731"/>
      <c r="AR100" s="731"/>
      <c r="AS100" s="731"/>
      <c r="AT100" s="731"/>
    </row>
    <row r="101" spans="3:46" ht="14.4">
      <c r="C101" s="687"/>
      <c r="D101" s="687"/>
      <c r="E101" s="777"/>
      <c r="G101" s="730">
        <v>44977</v>
      </c>
      <c r="Y101" s="728">
        <v>268.58817999999997</v>
      </c>
      <c r="Z101" s="729"/>
      <c r="AA101" s="729"/>
      <c r="AB101" s="729"/>
      <c r="AC101" s="729"/>
      <c r="AD101" s="729">
        <v>241.32583999999997</v>
      </c>
      <c r="AE101" s="729"/>
      <c r="AF101" s="729"/>
      <c r="AG101" s="731">
        <v>235.32221999999999</v>
      </c>
      <c r="AH101" s="731"/>
      <c r="AI101" s="731"/>
      <c r="AJ101" s="731">
        <v>237.38903999999999</v>
      </c>
      <c r="AK101" s="731"/>
      <c r="AL101" s="731"/>
      <c r="AM101" s="731"/>
      <c r="AN101" s="731"/>
      <c r="AO101" s="731"/>
      <c r="AP101" s="731">
        <v>222.92129999999997</v>
      </c>
      <c r="AQ101" s="731"/>
      <c r="AR101" s="731"/>
      <c r="AS101" s="731"/>
      <c r="AT101" s="731"/>
    </row>
    <row r="102" spans="3:46" ht="14.4">
      <c r="C102" s="687"/>
      <c r="D102" s="687"/>
      <c r="E102" s="777"/>
      <c r="G102" s="730">
        <v>44984</v>
      </c>
      <c r="Y102" s="728">
        <v>253.03781999999998</v>
      </c>
      <c r="Z102" s="729"/>
      <c r="AA102" s="729"/>
      <c r="AB102" s="729"/>
      <c r="AC102" s="729"/>
      <c r="AD102" s="729">
        <v>232.27119999999999</v>
      </c>
      <c r="AE102" s="729"/>
      <c r="AF102" s="729"/>
      <c r="AG102" s="731">
        <v>226.75967999999997</v>
      </c>
      <c r="AH102" s="731"/>
      <c r="AI102" s="731"/>
      <c r="AJ102" s="731">
        <v>230.00753999999998</v>
      </c>
      <c r="AK102" s="731"/>
      <c r="AL102" s="731"/>
      <c r="AM102" s="731"/>
      <c r="AN102" s="731"/>
      <c r="AO102" s="731"/>
      <c r="AP102" s="731">
        <v>220.65763999999999</v>
      </c>
      <c r="AQ102" s="731"/>
      <c r="AR102" s="731"/>
      <c r="AS102" s="731"/>
      <c r="AT102" s="731"/>
    </row>
    <row r="103" spans="3:46" ht="14.4">
      <c r="C103" s="687"/>
      <c r="D103" s="687"/>
      <c r="E103" s="777"/>
      <c r="G103" s="730">
        <v>44999</v>
      </c>
      <c r="Z103" s="729"/>
      <c r="AA103" s="729"/>
      <c r="AB103" s="729"/>
      <c r="AC103" s="729"/>
      <c r="AD103" s="729">
        <v>223.4134</v>
      </c>
      <c r="AE103" s="729"/>
      <c r="AF103" s="729"/>
      <c r="AG103" s="731">
        <v>220.16553999999999</v>
      </c>
      <c r="AH103" s="731"/>
      <c r="AI103" s="731"/>
      <c r="AJ103" s="731">
        <v>223.61023999999998</v>
      </c>
      <c r="AK103" s="731"/>
      <c r="AL103" s="731"/>
      <c r="AM103" s="731"/>
      <c r="AN103" s="731"/>
      <c r="AO103" s="731"/>
      <c r="AP103" s="731">
        <v>215.73663999999999</v>
      </c>
      <c r="AQ103" s="731"/>
      <c r="AR103" s="731"/>
      <c r="AS103" s="731"/>
      <c r="AT103" s="731"/>
    </row>
    <row r="104" spans="3:46" ht="14.4">
      <c r="C104" s="687"/>
      <c r="D104" s="687"/>
      <c r="E104" s="777"/>
      <c r="G104" s="730">
        <v>45005</v>
      </c>
      <c r="Z104" s="729"/>
      <c r="AA104" s="729"/>
      <c r="AB104" s="729"/>
      <c r="AC104" s="729"/>
      <c r="AD104" s="729">
        <v>223.51181999999997</v>
      </c>
      <c r="AE104" s="729"/>
      <c r="AF104" s="729"/>
      <c r="AG104" s="731">
        <v>220.46079999999998</v>
      </c>
      <c r="AH104" s="731"/>
      <c r="AI104" s="731"/>
      <c r="AJ104" s="731">
        <v>223.70865999999998</v>
      </c>
      <c r="AK104" s="731"/>
      <c r="AL104" s="731"/>
      <c r="AM104" s="731"/>
      <c r="AN104" s="731"/>
      <c r="AO104" s="731"/>
      <c r="AP104" s="731">
        <v>216.03189999999998</v>
      </c>
      <c r="AQ104" s="731"/>
      <c r="AR104" s="731"/>
      <c r="AS104" s="731"/>
      <c r="AT104" s="731"/>
    </row>
    <row r="105" spans="3:46" ht="14.4">
      <c r="C105" s="687"/>
      <c r="D105" s="687"/>
      <c r="E105" s="777"/>
      <c r="G105" s="732">
        <v>45012</v>
      </c>
      <c r="Z105" s="729"/>
      <c r="AA105" s="729"/>
      <c r="AB105" s="729"/>
      <c r="AC105" s="729"/>
      <c r="AD105" s="729">
        <v>227.74387999999999</v>
      </c>
      <c r="AE105" s="729"/>
      <c r="AF105" s="729"/>
      <c r="AG105" s="731">
        <v>224.29917999999998</v>
      </c>
      <c r="AH105" s="731"/>
      <c r="AI105" s="731"/>
      <c r="AJ105" s="731">
        <v>227.64545999999999</v>
      </c>
      <c r="AK105" s="731"/>
      <c r="AL105" s="731"/>
      <c r="AM105" s="731"/>
      <c r="AN105" s="731"/>
      <c r="AO105" s="731"/>
      <c r="AP105" s="731">
        <v>218.78765999999999</v>
      </c>
      <c r="AQ105" s="731"/>
      <c r="AR105" s="731"/>
      <c r="AS105" s="731"/>
      <c r="AT105" s="731"/>
    </row>
    <row r="106" spans="3:46" ht="14.4">
      <c r="C106" s="687"/>
      <c r="D106" s="687"/>
      <c r="E106" s="777"/>
      <c r="G106" s="732">
        <v>45019</v>
      </c>
      <c r="Z106" s="729">
        <v>258.94301999999999</v>
      </c>
      <c r="AA106" s="729"/>
      <c r="AB106" s="729"/>
      <c r="AC106" s="729"/>
      <c r="AD106" s="729">
        <v>227.64545999999999</v>
      </c>
      <c r="AE106" s="729"/>
      <c r="AF106" s="729"/>
      <c r="AG106" s="731">
        <v>223.4134</v>
      </c>
      <c r="AH106" s="731"/>
      <c r="AI106" s="731"/>
      <c r="AJ106" s="731">
        <v>226.36599999999999</v>
      </c>
      <c r="AK106" s="731"/>
      <c r="AL106" s="731"/>
      <c r="AM106" s="731"/>
      <c r="AN106" s="731"/>
      <c r="AO106" s="731"/>
      <c r="AP106" s="731">
        <v>216.13031999999998</v>
      </c>
      <c r="AQ106" s="731"/>
      <c r="AR106" s="731"/>
      <c r="AS106" s="731"/>
      <c r="AT106" s="731"/>
    </row>
    <row r="107" spans="3:46" ht="14.4">
      <c r="C107" s="687"/>
      <c r="D107" s="687"/>
      <c r="E107" s="777"/>
      <c r="G107" s="732">
        <v>45026</v>
      </c>
      <c r="Z107" s="729">
        <v>257.46672000000001</v>
      </c>
      <c r="AA107" s="729"/>
      <c r="AB107" s="729"/>
      <c r="AC107" s="729"/>
      <c r="AD107" s="729">
        <v>224.49601999999999</v>
      </c>
      <c r="AE107" s="729"/>
      <c r="AF107" s="729"/>
      <c r="AG107" s="731">
        <v>221.54342</v>
      </c>
      <c r="AH107" s="731"/>
      <c r="AI107" s="731"/>
      <c r="AJ107" s="731">
        <v>224.49601999999999</v>
      </c>
      <c r="AK107" s="731"/>
      <c r="AL107" s="731"/>
      <c r="AM107" s="731"/>
      <c r="AN107" s="731"/>
      <c r="AO107" s="731"/>
      <c r="AP107" s="731">
        <v>216.13031999999998</v>
      </c>
      <c r="AQ107" s="731"/>
      <c r="AR107" s="731"/>
      <c r="AS107" s="731"/>
      <c r="AT107" s="731"/>
    </row>
    <row r="108" spans="3:46" ht="14.4">
      <c r="C108" s="687"/>
      <c r="D108" s="687"/>
      <c r="E108" s="777"/>
      <c r="G108" s="732">
        <v>45033</v>
      </c>
      <c r="Z108" s="729">
        <v>266.32452000000001</v>
      </c>
      <c r="AA108" s="729"/>
      <c r="AB108" s="729"/>
      <c r="AC108" s="729"/>
      <c r="AD108" s="729">
        <v>226.16915999999998</v>
      </c>
      <c r="AE108" s="729"/>
      <c r="AF108" s="729"/>
      <c r="AG108" s="731">
        <v>223.11813999999998</v>
      </c>
      <c r="AH108" s="731"/>
      <c r="AI108" s="731"/>
      <c r="AJ108" s="731">
        <v>226.26757999999998</v>
      </c>
      <c r="AK108" s="731"/>
      <c r="AL108" s="731"/>
      <c r="AM108" s="731"/>
      <c r="AN108" s="731"/>
      <c r="AO108" s="731"/>
      <c r="AP108" s="731">
        <v>218.19713999999999</v>
      </c>
      <c r="AQ108" s="731"/>
      <c r="AR108" s="731"/>
      <c r="AS108" s="731"/>
      <c r="AT108" s="731"/>
    </row>
    <row r="109" spans="3:46" ht="14.4">
      <c r="C109" s="687"/>
      <c r="D109" s="687"/>
      <c r="E109" s="777"/>
      <c r="G109" s="732">
        <v>45040</v>
      </c>
      <c r="Z109" s="729">
        <v>256.38409999999999</v>
      </c>
      <c r="AA109" s="729"/>
      <c r="AB109" s="729">
        <v>239.16059999999999</v>
      </c>
      <c r="AC109" s="729"/>
      <c r="AD109" s="729">
        <v>216.81925999999999</v>
      </c>
      <c r="AE109" s="729"/>
      <c r="AF109" s="729"/>
      <c r="AG109" s="731">
        <v>215.53979999999999</v>
      </c>
      <c r="AH109" s="731"/>
      <c r="AI109" s="731"/>
      <c r="AJ109" s="731">
        <v>219.27975999999998</v>
      </c>
      <c r="AK109" s="731"/>
      <c r="AL109" s="731"/>
      <c r="AM109" s="731"/>
      <c r="AN109" s="731"/>
      <c r="AO109" s="731"/>
      <c r="AP109" s="731">
        <v>213.66981999999999</v>
      </c>
      <c r="AQ109" s="731"/>
      <c r="AR109" s="731"/>
      <c r="AS109" s="731"/>
      <c r="AT109" s="731"/>
    </row>
    <row r="110" spans="3:46" ht="14.4">
      <c r="C110" s="687"/>
      <c r="D110" s="687"/>
      <c r="E110" s="777"/>
      <c r="G110" s="732">
        <v>45048</v>
      </c>
      <c r="Z110" s="729">
        <v>251.16783999999998</v>
      </c>
      <c r="AA110" s="729"/>
      <c r="AB110" s="729">
        <v>228.33439999999999</v>
      </c>
      <c r="AC110" s="729"/>
      <c r="AD110" s="729">
        <v>205.00886</v>
      </c>
      <c r="AE110" s="729"/>
      <c r="AF110" s="729"/>
      <c r="AG110" s="731">
        <v>204.61517999999998</v>
      </c>
      <c r="AH110" s="731"/>
      <c r="AI110" s="731"/>
      <c r="AJ110" s="731">
        <v>208.65039999999999</v>
      </c>
      <c r="AK110" s="731"/>
      <c r="AL110" s="731"/>
      <c r="AM110" s="731"/>
      <c r="AN110" s="731"/>
      <c r="AO110" s="731"/>
      <c r="AP110" s="731">
        <v>204.81201999999999</v>
      </c>
      <c r="AQ110" s="731"/>
      <c r="AR110" s="731"/>
      <c r="AS110" s="731"/>
      <c r="AT110" s="731"/>
    </row>
    <row r="111" spans="3:46" ht="14.4">
      <c r="C111" s="687"/>
      <c r="D111" s="687"/>
      <c r="E111" s="777"/>
      <c r="G111" s="732">
        <v>45054</v>
      </c>
      <c r="Z111" s="729">
        <v>258.45092</v>
      </c>
      <c r="AA111" s="729"/>
      <c r="AB111" s="729">
        <v>234.83011999999999</v>
      </c>
      <c r="AC111" s="729"/>
      <c r="AD111" s="729">
        <v>209.73301999999998</v>
      </c>
      <c r="AE111" s="729"/>
      <c r="AF111" s="729"/>
      <c r="AG111" s="731">
        <v>208.55197999999999</v>
      </c>
      <c r="AH111" s="731"/>
      <c r="AI111" s="731"/>
      <c r="AJ111" s="731">
        <v>212.19351999999998</v>
      </c>
      <c r="AK111" s="731"/>
      <c r="AL111" s="731"/>
      <c r="AM111" s="731"/>
      <c r="AN111" s="731"/>
      <c r="AO111" s="731"/>
      <c r="AP111" s="731">
        <v>205.59938</v>
      </c>
      <c r="AQ111" s="731"/>
      <c r="AR111" s="731"/>
      <c r="AS111" s="731"/>
      <c r="AT111" s="731"/>
    </row>
    <row r="112" spans="3:46" ht="14.4">
      <c r="C112" s="687"/>
      <c r="D112" s="687"/>
      <c r="E112" s="777"/>
      <c r="G112" s="732">
        <v>45061</v>
      </c>
      <c r="AA112" s="729"/>
      <c r="AB112" s="729">
        <v>233.25539999999998</v>
      </c>
      <c r="AC112" s="729"/>
      <c r="AD112" s="729">
        <v>203.92623999999998</v>
      </c>
      <c r="AE112" s="729"/>
      <c r="AF112" s="729"/>
      <c r="AG112" s="731">
        <v>202.74519999999998</v>
      </c>
      <c r="AH112" s="731"/>
      <c r="AI112" s="731"/>
      <c r="AJ112" s="731">
        <v>206.78041999999999</v>
      </c>
      <c r="AK112" s="731"/>
      <c r="AL112" s="731"/>
      <c r="AM112" s="731"/>
      <c r="AN112" s="731"/>
      <c r="AO112" s="731"/>
      <c r="AP112" s="731">
        <v>201.66257999999999</v>
      </c>
      <c r="AQ112" s="731"/>
      <c r="AR112" s="731"/>
      <c r="AS112" s="731"/>
      <c r="AT112" s="731"/>
    </row>
    <row r="113" spans="3:46" ht="14.4">
      <c r="C113" s="687"/>
      <c r="D113" s="687"/>
      <c r="E113" s="777"/>
      <c r="G113" s="732">
        <v>45069</v>
      </c>
      <c r="AB113" s="729">
        <v>224.79127999999997</v>
      </c>
      <c r="AC113" s="729"/>
      <c r="AD113" s="729">
        <v>198.70997999999997</v>
      </c>
      <c r="AE113" s="729"/>
      <c r="AF113" s="729"/>
      <c r="AG113" s="731">
        <v>200.38311999999999</v>
      </c>
      <c r="AH113" s="731"/>
      <c r="AI113" s="731"/>
      <c r="AJ113" s="731">
        <v>204.12307999999999</v>
      </c>
      <c r="AK113" s="731"/>
      <c r="AL113" s="731"/>
      <c r="AM113" s="731"/>
      <c r="AN113" s="731"/>
      <c r="AO113" s="731"/>
      <c r="AP113" s="731">
        <v>198.41471999999999</v>
      </c>
      <c r="AQ113" s="731"/>
      <c r="AR113" s="731"/>
      <c r="AS113" s="731"/>
      <c r="AT113" s="731"/>
    </row>
    <row r="114" spans="3:46" ht="14.4">
      <c r="C114" s="687"/>
      <c r="D114" s="687"/>
      <c r="E114" s="777"/>
      <c r="G114" s="732">
        <v>45075</v>
      </c>
      <c r="AB114" s="729">
        <v>237.78271999999998</v>
      </c>
      <c r="AC114" s="729"/>
      <c r="AD114" s="729">
        <v>208.25671999999997</v>
      </c>
      <c r="AE114" s="729"/>
      <c r="AF114" s="729"/>
      <c r="AG114" s="731">
        <v>210.42195999999998</v>
      </c>
      <c r="AH114" s="731"/>
      <c r="AI114" s="731"/>
      <c r="AJ114" s="731">
        <v>213.86666</v>
      </c>
      <c r="AK114" s="731"/>
      <c r="AL114" s="731"/>
      <c r="AM114" s="731"/>
      <c r="AN114" s="731"/>
      <c r="AO114" s="731"/>
      <c r="AP114" s="731">
        <v>203.92623999999998</v>
      </c>
      <c r="AQ114" s="731"/>
      <c r="AR114" s="731"/>
      <c r="AS114" s="731"/>
      <c r="AT114" s="731"/>
    </row>
    <row r="115" spans="3:46" ht="14.4">
      <c r="C115" s="687"/>
      <c r="D115" s="687"/>
      <c r="E115" s="777"/>
      <c r="G115" s="732">
        <v>45082</v>
      </c>
      <c r="AB115" s="729">
        <v>235.22379999999998</v>
      </c>
      <c r="AC115" s="729"/>
      <c r="AD115" s="729">
        <v>208.74881999999999</v>
      </c>
      <c r="AE115" s="729"/>
      <c r="AF115" s="729"/>
      <c r="AG115" s="731">
        <v>211.40616</v>
      </c>
      <c r="AH115" s="731"/>
      <c r="AI115" s="731"/>
      <c r="AJ115" s="731">
        <v>215.24453999999997</v>
      </c>
      <c r="AK115" s="731"/>
      <c r="AL115" s="731"/>
      <c r="AM115" s="731"/>
      <c r="AN115" s="731"/>
      <c r="AO115" s="731"/>
      <c r="AP115" s="731">
        <v>204.31992</v>
      </c>
      <c r="AQ115" s="731"/>
      <c r="AR115" s="731"/>
      <c r="AS115" s="731"/>
      <c r="AT115" s="731"/>
    </row>
    <row r="116" spans="3:46" ht="14.4">
      <c r="C116" s="687"/>
      <c r="D116" s="687"/>
      <c r="E116" s="777"/>
      <c r="G116" s="732">
        <v>45090</v>
      </c>
      <c r="AB116" s="729">
        <v>241.12899999999999</v>
      </c>
      <c r="AC116" s="729"/>
      <c r="AD116" s="729">
        <v>214.94927999999999</v>
      </c>
      <c r="AE116" s="729"/>
      <c r="AF116" s="729"/>
      <c r="AG116" s="731">
        <v>217.01609999999999</v>
      </c>
      <c r="AH116" s="731"/>
      <c r="AI116" s="731"/>
      <c r="AJ116" s="731">
        <v>220.55921999999998</v>
      </c>
      <c r="AK116" s="731"/>
      <c r="AL116" s="731"/>
      <c r="AM116" s="731"/>
      <c r="AN116" s="731"/>
      <c r="AO116" s="731"/>
      <c r="AP116" s="731">
        <v>205.69779999999997</v>
      </c>
      <c r="AQ116" s="731"/>
      <c r="AR116" s="731"/>
      <c r="AS116" s="731"/>
      <c r="AT116" s="731"/>
    </row>
    <row r="117" spans="3:46" ht="14.4">
      <c r="C117" s="687"/>
      <c r="D117" s="687"/>
      <c r="E117" s="777"/>
      <c r="G117" s="732">
        <v>45099</v>
      </c>
      <c r="AB117" s="729">
        <v>260.02564000000001</v>
      </c>
      <c r="AC117" s="729"/>
      <c r="AD117" s="729">
        <v>242.90055999999998</v>
      </c>
      <c r="AE117" s="729"/>
      <c r="AF117" s="729"/>
      <c r="AG117" s="731">
        <v>244.37685999999999</v>
      </c>
      <c r="AH117" s="731"/>
      <c r="AI117" s="731"/>
      <c r="AJ117" s="731">
        <v>247.23103999999998</v>
      </c>
      <c r="AK117" s="731"/>
      <c r="AL117" s="731"/>
      <c r="AM117" s="731"/>
      <c r="AN117" s="731"/>
      <c r="AO117" s="731"/>
      <c r="AP117" s="731">
        <v>223.01971999999998</v>
      </c>
      <c r="AQ117" s="731"/>
      <c r="AR117" s="731"/>
      <c r="AS117" s="731"/>
      <c r="AT117" s="731"/>
    </row>
    <row r="118" spans="3:46" ht="14.4">
      <c r="C118" s="687"/>
      <c r="D118" s="687"/>
      <c r="E118" s="777"/>
      <c r="G118" s="732">
        <v>45103</v>
      </c>
      <c r="AB118" s="729">
        <v>250.87257999999997</v>
      </c>
      <c r="AC118" s="729"/>
      <c r="AD118" s="729">
        <v>229.90911999999997</v>
      </c>
      <c r="AE118" s="729"/>
      <c r="AF118" s="729"/>
      <c r="AG118" s="731">
        <v>231.58225999999999</v>
      </c>
      <c r="AH118" s="731"/>
      <c r="AI118" s="731"/>
      <c r="AJ118" s="731">
        <v>234.92854</v>
      </c>
      <c r="AK118" s="731"/>
      <c r="AL118" s="731"/>
      <c r="AM118" s="731"/>
      <c r="AN118" s="731"/>
      <c r="AO118" s="731"/>
      <c r="AP118" s="731">
        <v>215.34295999999998</v>
      </c>
      <c r="AQ118" s="731"/>
      <c r="AR118" s="731"/>
      <c r="AS118" s="731"/>
      <c r="AT118" s="731"/>
    </row>
    <row r="119" spans="3:46" ht="14.4">
      <c r="C119" s="687"/>
      <c r="D119" s="687"/>
      <c r="E119" s="777"/>
      <c r="G119" s="732">
        <v>45110</v>
      </c>
      <c r="AB119" s="729">
        <v>219.37817999999999</v>
      </c>
      <c r="AC119" s="729"/>
      <c r="AD119" s="729">
        <v>192.11583999999999</v>
      </c>
      <c r="AE119" s="729"/>
      <c r="AF119" s="729"/>
      <c r="AG119" s="731">
        <v>194.28107999999997</v>
      </c>
      <c r="AH119" s="731"/>
      <c r="AI119" s="731"/>
      <c r="AJ119" s="731">
        <v>198.61156</v>
      </c>
      <c r="AK119" s="731"/>
      <c r="AL119" s="731"/>
      <c r="AM119" s="731"/>
      <c r="AN119" s="731"/>
      <c r="AO119" s="731"/>
      <c r="AP119" s="731">
        <v>196.34789999999998</v>
      </c>
      <c r="AQ119" s="731"/>
      <c r="AR119" s="731"/>
      <c r="AS119" s="731"/>
      <c r="AT119" s="731"/>
    </row>
    <row r="120" spans="3:46" ht="14.4">
      <c r="C120" s="687"/>
      <c r="D120" s="687"/>
      <c r="E120" s="777"/>
      <c r="G120" s="732">
        <v>45117</v>
      </c>
      <c r="AB120" s="729">
        <v>224.69286</v>
      </c>
      <c r="AC120" s="729"/>
      <c r="AD120" s="729">
        <v>193.78897999999998</v>
      </c>
      <c r="AE120" s="729"/>
      <c r="AF120" s="729"/>
      <c r="AG120" s="731">
        <v>196.64315999999999</v>
      </c>
      <c r="AH120" s="731"/>
      <c r="AI120" s="731"/>
      <c r="AJ120" s="731">
        <v>201.17048</v>
      </c>
      <c r="AK120" s="731"/>
      <c r="AL120" s="731"/>
      <c r="AM120" s="731"/>
      <c r="AN120" s="731"/>
      <c r="AO120" s="731"/>
      <c r="AP120" s="731">
        <v>199.3005</v>
      </c>
      <c r="AQ120" s="731"/>
      <c r="AR120" s="731"/>
      <c r="AS120" s="731"/>
      <c r="AT120" s="731"/>
    </row>
    <row r="121" spans="3:46" ht="14.4">
      <c r="C121" s="687"/>
      <c r="D121" s="687"/>
      <c r="E121" s="777"/>
      <c r="G121" s="732">
        <v>45124</v>
      </c>
      <c r="AB121" s="729">
        <v>196.54473999999999</v>
      </c>
      <c r="AC121" s="729"/>
      <c r="AD121" s="729">
        <v>196.54473999999999</v>
      </c>
      <c r="AE121" s="729"/>
      <c r="AF121" s="729"/>
      <c r="AG121" s="731">
        <v>199.20208</v>
      </c>
      <c r="AH121" s="731"/>
      <c r="AI121" s="731"/>
      <c r="AJ121" s="731">
        <v>203.63097999999999</v>
      </c>
      <c r="AK121" s="731"/>
      <c r="AL121" s="731"/>
      <c r="AM121" s="731"/>
      <c r="AN121" s="731"/>
      <c r="AO121" s="731"/>
      <c r="AP121" s="731">
        <v>200.97363999999999</v>
      </c>
      <c r="AQ121" s="731"/>
      <c r="AR121" s="731"/>
      <c r="AS121" s="731"/>
      <c r="AT121" s="731"/>
    </row>
    <row r="122" spans="3:46" ht="14.4">
      <c r="C122" s="687"/>
      <c r="D122" s="687"/>
      <c r="E122" s="777"/>
      <c r="G122" s="732">
        <v>45131</v>
      </c>
      <c r="AD122" s="729">
        <v>220.65763999999999</v>
      </c>
      <c r="AE122" s="729"/>
      <c r="AF122" s="729"/>
      <c r="AG122" s="731">
        <v>223.70865999999998</v>
      </c>
      <c r="AH122" s="731"/>
      <c r="AI122" s="731"/>
      <c r="AJ122" s="731">
        <v>227.64545999999999</v>
      </c>
      <c r="AK122" s="731"/>
      <c r="AL122" s="731">
        <v>229.61385999999999</v>
      </c>
      <c r="AM122" s="731"/>
      <c r="AN122" s="731">
        <v>229.71227999999999</v>
      </c>
      <c r="AO122" s="731"/>
      <c r="AP122" s="731">
        <v>217.40977999999998</v>
      </c>
      <c r="AQ122" s="731"/>
      <c r="AR122" s="731"/>
      <c r="AS122" s="731"/>
      <c r="AT122" s="731"/>
    </row>
    <row r="123" spans="3:46" ht="14.4">
      <c r="C123" s="687"/>
      <c r="D123" s="687"/>
      <c r="E123" s="777"/>
      <c r="G123" s="732">
        <v>45138</v>
      </c>
      <c r="AD123" s="729">
        <v>198.41471999999999</v>
      </c>
      <c r="AE123" s="729"/>
      <c r="AF123" s="729"/>
      <c r="AG123" s="731">
        <v>201.95783999999998</v>
      </c>
      <c r="AH123" s="731"/>
      <c r="AI123" s="731"/>
      <c r="AJ123" s="731">
        <v>206.68199999999999</v>
      </c>
      <c r="AK123" s="731"/>
      <c r="AL123" s="731">
        <v>209.43776</v>
      </c>
      <c r="AM123" s="731"/>
      <c r="AN123" s="731">
        <v>210.61879999999999</v>
      </c>
      <c r="AO123" s="731"/>
      <c r="AP123" s="731">
        <v>204.61517999999998</v>
      </c>
      <c r="AQ123" s="731"/>
      <c r="AR123" s="731"/>
      <c r="AS123" s="731"/>
      <c r="AT123" s="731"/>
    </row>
    <row r="124" spans="3:46" ht="14.4">
      <c r="C124" s="687"/>
      <c r="D124" s="687"/>
      <c r="E124" s="777"/>
      <c r="G124" s="732">
        <v>45145</v>
      </c>
      <c r="AD124" s="729">
        <v>189.85217999999998</v>
      </c>
      <c r="AE124" s="729"/>
      <c r="AF124" s="729"/>
      <c r="AG124" s="731">
        <v>195.16685999999999</v>
      </c>
      <c r="AH124" s="731"/>
      <c r="AI124" s="731"/>
      <c r="AJ124" s="731">
        <v>200.48154</v>
      </c>
      <c r="AK124" s="731"/>
      <c r="AL124" s="731">
        <v>203.7294</v>
      </c>
      <c r="AM124" s="731"/>
      <c r="AN124" s="731">
        <v>205.50095999999999</v>
      </c>
      <c r="AO124" s="731"/>
      <c r="AP124" s="731">
        <v>202.54835999999997</v>
      </c>
      <c r="AQ124" s="731"/>
      <c r="AR124" s="731"/>
      <c r="AS124" s="731"/>
      <c r="AT124" s="731"/>
    </row>
    <row r="125" spans="3:46" ht="14.4">
      <c r="C125" s="687"/>
      <c r="D125" s="687"/>
      <c r="E125" s="777"/>
      <c r="G125" s="732">
        <v>45152</v>
      </c>
      <c r="AD125" s="729">
        <v>187.29325999999998</v>
      </c>
      <c r="AE125" s="729"/>
      <c r="AF125" s="729"/>
      <c r="AG125" s="731">
        <v>192.01741999999999</v>
      </c>
      <c r="AH125" s="731"/>
      <c r="AI125" s="731"/>
      <c r="AJ125" s="731">
        <v>197.43052</v>
      </c>
      <c r="AK125" s="731"/>
      <c r="AL125" s="731">
        <v>200.77679999999998</v>
      </c>
      <c r="AM125" s="731"/>
      <c r="AN125" s="731">
        <v>202.74519999999998</v>
      </c>
      <c r="AO125" s="731"/>
      <c r="AP125" s="731">
        <v>200.28469999999999</v>
      </c>
      <c r="AQ125" s="731"/>
      <c r="AR125" s="731"/>
      <c r="AS125" s="731"/>
      <c r="AT125" s="731"/>
    </row>
    <row r="126" spans="3:46" ht="14.4">
      <c r="C126" s="687"/>
      <c r="D126" s="687"/>
      <c r="E126" s="777"/>
      <c r="G126" s="732">
        <v>45159</v>
      </c>
      <c r="AD126" s="729">
        <v>184.73433999999997</v>
      </c>
      <c r="AE126" s="729"/>
      <c r="AF126" s="729"/>
      <c r="AG126" s="731">
        <v>189.95059999999998</v>
      </c>
      <c r="AH126" s="731"/>
      <c r="AI126" s="731"/>
      <c r="AJ126" s="731">
        <v>195.56053999999997</v>
      </c>
      <c r="AK126" s="731"/>
      <c r="AL126" s="731">
        <v>198.61156</v>
      </c>
      <c r="AM126" s="731"/>
      <c r="AN126" s="731">
        <v>200.18627999999998</v>
      </c>
      <c r="AO126" s="731"/>
      <c r="AP126" s="731">
        <v>198.21787999999998</v>
      </c>
      <c r="AQ126" s="731"/>
      <c r="AR126" s="731"/>
      <c r="AS126" s="731"/>
      <c r="AT126" s="731"/>
    </row>
    <row r="127" spans="3:46" ht="14.4">
      <c r="C127" s="687"/>
      <c r="D127" s="687"/>
      <c r="E127" s="777"/>
      <c r="G127" s="732">
        <v>45166</v>
      </c>
      <c r="AG127" s="731">
        <v>195.36369999999999</v>
      </c>
      <c r="AH127" s="731"/>
      <c r="AI127" s="731"/>
      <c r="AJ127" s="731">
        <v>201.17048</v>
      </c>
      <c r="AK127" s="731"/>
      <c r="AL127" s="731">
        <v>204.41834</v>
      </c>
      <c r="AM127" s="731"/>
      <c r="AN127" s="731">
        <v>205.69779999999997</v>
      </c>
      <c r="AO127" s="731"/>
      <c r="AP127" s="731">
        <v>202.35151999999999</v>
      </c>
      <c r="AQ127" s="731"/>
      <c r="AR127" s="731"/>
      <c r="AS127" s="731"/>
      <c r="AT127" s="731"/>
    </row>
    <row r="128" spans="3:46" ht="14.4">
      <c r="C128" s="687"/>
      <c r="D128" s="687"/>
      <c r="E128" s="777"/>
      <c r="G128" s="732">
        <v>45173</v>
      </c>
      <c r="AD128" s="729">
        <v>182.96277999999998</v>
      </c>
      <c r="AE128" s="729"/>
      <c r="AF128" s="729"/>
      <c r="AG128" s="731">
        <v>189.55691999999999</v>
      </c>
      <c r="AH128" s="731"/>
      <c r="AI128" s="731"/>
      <c r="AJ128" s="731">
        <v>195.46212</v>
      </c>
      <c r="AK128" s="731"/>
      <c r="AL128" s="731">
        <v>198.80839999999998</v>
      </c>
      <c r="AM128" s="731"/>
      <c r="AN128" s="731">
        <v>200.28469999999999</v>
      </c>
      <c r="AO128" s="731"/>
      <c r="AP128" s="731">
        <v>198.90681999999998</v>
      </c>
      <c r="AQ128" s="731"/>
      <c r="AR128" s="731"/>
      <c r="AS128" s="731"/>
      <c r="AT128" s="731"/>
    </row>
    <row r="129" spans="3:46" ht="14.4">
      <c r="C129" s="687"/>
      <c r="D129" s="687"/>
      <c r="E129" s="777"/>
      <c r="G129" s="732">
        <v>45180</v>
      </c>
      <c r="AD129" s="729">
        <v>185.52169999999998</v>
      </c>
      <c r="AE129" s="729"/>
      <c r="AF129" s="729"/>
      <c r="AG129" s="731">
        <v>191.23005999999998</v>
      </c>
      <c r="AH129" s="731"/>
      <c r="AI129" s="731"/>
      <c r="AJ129" s="731">
        <v>196.93841999999998</v>
      </c>
      <c r="AK129" s="731"/>
      <c r="AL129" s="731">
        <v>200.28469999999999</v>
      </c>
      <c r="AM129" s="731"/>
      <c r="AN129" s="731">
        <v>201.85942</v>
      </c>
      <c r="AO129" s="731"/>
      <c r="AP129" s="731">
        <v>200.28469999999999</v>
      </c>
      <c r="AQ129" s="731"/>
      <c r="AR129" s="731"/>
      <c r="AS129" s="731"/>
      <c r="AT129" s="731"/>
    </row>
    <row r="130" spans="3:46" ht="14.4">
      <c r="C130" s="687"/>
      <c r="D130" s="687"/>
      <c r="E130" s="777"/>
      <c r="G130" s="732">
        <v>45187</v>
      </c>
      <c r="AD130" s="729"/>
      <c r="AE130" s="729"/>
      <c r="AF130" s="729"/>
      <c r="AG130" s="731">
        <v>185.62011999999999</v>
      </c>
      <c r="AH130" s="731"/>
      <c r="AI130" s="731"/>
      <c r="AJ130" s="731">
        <v>191.23005999999998</v>
      </c>
      <c r="AK130" s="731"/>
      <c r="AL130" s="731">
        <v>194.67475999999999</v>
      </c>
      <c r="AM130" s="731"/>
      <c r="AN130" s="731">
        <v>196.44631999999999</v>
      </c>
      <c r="AO130" s="731"/>
      <c r="AP130" s="731">
        <v>196.44631999999999</v>
      </c>
      <c r="AQ130" s="731"/>
      <c r="AR130" s="731"/>
      <c r="AS130" s="731">
        <v>198.51314000000002</v>
      </c>
      <c r="AT130" s="731"/>
    </row>
    <row r="131" spans="3:46" ht="14.4">
      <c r="C131" s="687"/>
      <c r="D131" s="687"/>
      <c r="E131" s="777"/>
      <c r="G131" s="732">
        <v>45194</v>
      </c>
      <c r="AD131" s="729"/>
      <c r="AE131" s="729"/>
      <c r="AF131" s="729"/>
      <c r="AG131" s="731">
        <v>189.45849999999999</v>
      </c>
      <c r="AH131" s="731"/>
      <c r="AI131" s="731"/>
      <c r="AJ131" s="731">
        <v>195.16685999999999</v>
      </c>
      <c r="AK131" s="731"/>
      <c r="AL131" s="731">
        <v>198.51313999999999</v>
      </c>
      <c r="AM131" s="731"/>
      <c r="AN131" s="731">
        <v>200.18627999999998</v>
      </c>
      <c r="AO131" s="731"/>
      <c r="AP131" s="731">
        <v>199.20208</v>
      </c>
      <c r="AQ131" s="731"/>
      <c r="AR131" s="731"/>
      <c r="AS131" s="731">
        <v>200.57996</v>
      </c>
      <c r="AT131" s="731"/>
    </row>
    <row r="132" spans="3:46" ht="14.4">
      <c r="C132" s="687"/>
      <c r="D132" s="687"/>
      <c r="E132" s="777"/>
      <c r="G132" s="732">
        <v>45201</v>
      </c>
      <c r="AG132" s="731">
        <v>192.41109999999998</v>
      </c>
      <c r="AH132" s="731"/>
      <c r="AI132" s="731"/>
      <c r="AJ132" s="731">
        <v>198.31629999999998</v>
      </c>
      <c r="AK132" s="731"/>
      <c r="AL132" s="731">
        <v>201.66257999999999</v>
      </c>
      <c r="AM132" s="731"/>
      <c r="AN132" s="731">
        <v>203.63097999999999</v>
      </c>
      <c r="AO132" s="731"/>
      <c r="AP132" s="731">
        <v>202.35151999999999</v>
      </c>
      <c r="AQ132" s="731"/>
      <c r="AR132" s="731"/>
      <c r="AS132" s="731">
        <v>203.63097999999999</v>
      </c>
      <c r="AT132" s="731"/>
    </row>
    <row r="133" spans="3:46" ht="14.4">
      <c r="C133" s="687"/>
      <c r="D133" s="687"/>
      <c r="E133" s="777"/>
      <c r="G133" s="732">
        <v>45208</v>
      </c>
      <c r="AG133" s="731">
        <v>192.21426</v>
      </c>
      <c r="AH133" s="731"/>
      <c r="AI133" s="731"/>
      <c r="AJ133" s="731">
        <v>198.31629999999998</v>
      </c>
      <c r="AK133" s="731"/>
      <c r="AL133" s="731">
        <v>201.56415999999999</v>
      </c>
      <c r="AM133" s="731"/>
      <c r="AN133" s="731">
        <v>203.53255999999999</v>
      </c>
      <c r="AO133" s="731"/>
      <c r="AP133" s="731">
        <v>201.95783999999998</v>
      </c>
      <c r="AQ133" s="731"/>
      <c r="AR133" s="731"/>
      <c r="AS133" s="731">
        <v>203.23729999999998</v>
      </c>
      <c r="AT133" s="731"/>
    </row>
    <row r="134" spans="3:46" ht="14.4">
      <c r="C134" s="687"/>
      <c r="D134" s="687"/>
      <c r="E134" s="777"/>
      <c r="G134" s="732">
        <v>45215</v>
      </c>
      <c r="AG134" s="731">
        <v>192.9032</v>
      </c>
      <c r="AH134" s="731"/>
      <c r="AI134" s="731"/>
      <c r="AJ134" s="731">
        <v>198.80839999999998</v>
      </c>
      <c r="AK134" s="731"/>
      <c r="AL134" s="731">
        <v>201.85942</v>
      </c>
      <c r="AM134" s="731"/>
      <c r="AN134" s="731">
        <v>204.02465999999998</v>
      </c>
      <c r="AO134" s="731"/>
      <c r="AP134" s="731">
        <v>202.44994</v>
      </c>
      <c r="AQ134" s="731"/>
      <c r="AR134" s="731"/>
      <c r="AS134" s="731">
        <v>203.82781999999997</v>
      </c>
      <c r="AT134" s="731"/>
    </row>
    <row r="135" spans="3:46" ht="14.4">
      <c r="C135" s="687"/>
      <c r="D135" s="687"/>
      <c r="E135" s="777"/>
      <c r="G135" s="732">
        <v>45222</v>
      </c>
      <c r="AG135" s="731">
        <v>193.00161999999997</v>
      </c>
      <c r="AH135" s="731"/>
      <c r="AI135" s="731"/>
      <c r="AJ135" s="731">
        <v>198.41471999999999</v>
      </c>
      <c r="AK135" s="731"/>
      <c r="AL135" s="731">
        <v>201.56415999999999</v>
      </c>
      <c r="AM135" s="731"/>
      <c r="AN135" s="731">
        <v>203.63097999999999</v>
      </c>
      <c r="AO135" s="731"/>
      <c r="AP135" s="731">
        <v>202.54835999999997</v>
      </c>
      <c r="AQ135" s="731"/>
      <c r="AR135" s="731"/>
      <c r="AS135" s="731">
        <v>204.02465999999998</v>
      </c>
      <c r="AT135" s="731"/>
    </row>
    <row r="136" spans="3:46" ht="14.4">
      <c r="C136" s="687"/>
      <c r="D136" s="687"/>
      <c r="E136" s="777"/>
      <c r="G136" s="732">
        <v>45229</v>
      </c>
      <c r="AG136" s="731">
        <v>188.27745999999999</v>
      </c>
      <c r="AH136" s="731"/>
      <c r="AI136" s="731"/>
      <c r="AJ136" s="731">
        <v>193.98581999999999</v>
      </c>
      <c r="AK136" s="731"/>
      <c r="AL136" s="731">
        <v>197.23367999999999</v>
      </c>
      <c r="AM136" s="731"/>
      <c r="AN136" s="731">
        <v>199.79259999999999</v>
      </c>
      <c r="AO136" s="731"/>
      <c r="AP136" s="731">
        <v>199.69417999999999</v>
      </c>
      <c r="AQ136" s="731"/>
      <c r="AR136" s="731"/>
      <c r="AS136" s="731">
        <v>201.26889999999997</v>
      </c>
      <c r="AT136" s="731"/>
    </row>
    <row r="137" spans="3:46" ht="14.4">
      <c r="C137" s="687"/>
      <c r="D137" s="687"/>
      <c r="E137" s="777"/>
      <c r="G137" s="732">
        <v>45236</v>
      </c>
      <c r="AG137" s="731">
        <v>187.88378</v>
      </c>
      <c r="AH137" s="731"/>
      <c r="AI137" s="731"/>
      <c r="AJ137" s="731">
        <v>193.88739999999999</v>
      </c>
      <c r="AK137" s="731"/>
      <c r="AL137" s="731">
        <v>197.62735999999998</v>
      </c>
      <c r="AM137" s="731"/>
      <c r="AN137" s="731">
        <v>200.87521999999998</v>
      </c>
      <c r="AO137" s="731"/>
      <c r="AP137" s="731">
        <v>201.85942</v>
      </c>
      <c r="AQ137" s="731"/>
      <c r="AR137" s="731"/>
      <c r="AS137" s="731">
        <v>203.63097999999999</v>
      </c>
      <c r="AT137" s="731"/>
    </row>
    <row r="138" spans="3:46" ht="14.4">
      <c r="C138" s="687"/>
      <c r="D138" s="687"/>
      <c r="E138" s="777"/>
      <c r="G138" s="732">
        <v>45243</v>
      </c>
      <c r="AG138" s="731">
        <v>187.88378</v>
      </c>
      <c r="AH138" s="731"/>
      <c r="AI138" s="731"/>
      <c r="AJ138" s="731">
        <v>193.98581999999999</v>
      </c>
      <c r="AK138" s="731"/>
      <c r="AL138" s="731">
        <v>197.62735999999998</v>
      </c>
      <c r="AM138" s="731"/>
      <c r="AN138" s="731">
        <v>201.07205999999999</v>
      </c>
      <c r="AO138" s="731"/>
      <c r="AP138" s="731">
        <v>201.46573999999998</v>
      </c>
      <c r="AQ138" s="731"/>
      <c r="AR138" s="731"/>
      <c r="AS138" s="731">
        <v>203.7294</v>
      </c>
      <c r="AT138" s="731"/>
    </row>
    <row r="139" spans="3:46" ht="14.4">
      <c r="C139" s="687"/>
      <c r="D139" s="687"/>
      <c r="E139" s="777"/>
      <c r="G139" s="732">
        <v>45257</v>
      </c>
      <c r="AG139" s="731">
        <v>179.32123999999999</v>
      </c>
      <c r="AH139" s="731"/>
      <c r="AI139" s="731"/>
      <c r="AJ139" s="731">
        <v>187.09641999999999</v>
      </c>
      <c r="AK139" s="731"/>
      <c r="AL139" s="731">
        <v>191.62374</v>
      </c>
      <c r="AM139" s="731"/>
      <c r="AN139" s="731">
        <v>195.26527999999999</v>
      </c>
      <c r="AO139" s="731"/>
      <c r="AP139" s="731">
        <v>196.15106</v>
      </c>
      <c r="AQ139" s="731"/>
      <c r="AR139" s="731"/>
      <c r="AS139" s="731">
        <v>198.51313999999999</v>
      </c>
      <c r="AT139" s="731"/>
    </row>
    <row r="140" spans="3:46" ht="14.4">
      <c r="C140" s="687"/>
      <c r="D140" s="687"/>
      <c r="E140" s="777"/>
      <c r="G140" s="732">
        <v>45264</v>
      </c>
      <c r="AG140" s="731">
        <v>181.19121999999999</v>
      </c>
      <c r="AH140" s="731"/>
      <c r="AI140" s="731"/>
      <c r="AJ140" s="731">
        <v>191.13163999999998</v>
      </c>
      <c r="AK140" s="731"/>
      <c r="AL140" s="731">
        <v>195.65895999999998</v>
      </c>
      <c r="AM140" s="731"/>
      <c r="AN140" s="731">
        <v>199.10365999999999</v>
      </c>
      <c r="AO140" s="731"/>
      <c r="AP140" s="731">
        <v>199.79259999999999</v>
      </c>
      <c r="AQ140" s="731"/>
      <c r="AR140" s="731"/>
      <c r="AS140" s="731">
        <v>202.05625999999998</v>
      </c>
      <c r="AT140" s="731"/>
    </row>
    <row r="141" spans="3:46" ht="14.4">
      <c r="C141" s="687"/>
      <c r="D141" s="687"/>
      <c r="E141" s="777"/>
      <c r="G141" s="732">
        <v>45271</v>
      </c>
      <c r="AG141" s="731">
        <v>181.28963999999999</v>
      </c>
      <c r="AH141" s="731"/>
      <c r="AI141" s="731"/>
      <c r="AJ141" s="731">
        <v>189.55691999999999</v>
      </c>
      <c r="AK141" s="731"/>
      <c r="AL141" s="731">
        <v>194.47791999999998</v>
      </c>
      <c r="AM141" s="731"/>
      <c r="AN141" s="731">
        <v>198.21787999999998</v>
      </c>
      <c r="AO141" s="731"/>
      <c r="AP141" s="731">
        <v>198.70997999999997</v>
      </c>
      <c r="AQ141" s="731"/>
      <c r="AR141" s="731"/>
      <c r="AS141" s="731">
        <v>201.07205999999999</v>
      </c>
      <c r="AT141" s="731"/>
    </row>
    <row r="142" spans="3:46" ht="14.4">
      <c r="C142" s="687"/>
      <c r="D142" s="687"/>
      <c r="E142" s="777"/>
      <c r="G142" s="732">
        <v>45278</v>
      </c>
      <c r="AG142" s="731"/>
      <c r="AH142" s="731"/>
      <c r="AI142" s="731"/>
      <c r="AJ142" s="731">
        <v>187.78536</v>
      </c>
      <c r="AK142" s="731"/>
      <c r="AL142" s="731">
        <v>192.70635999999999</v>
      </c>
      <c r="AM142" s="731"/>
      <c r="AN142" s="731">
        <v>196.64315999999999</v>
      </c>
      <c r="AO142" s="731"/>
      <c r="AP142" s="731">
        <v>197.43052</v>
      </c>
      <c r="AQ142" s="731"/>
      <c r="AR142" s="731"/>
      <c r="AS142" s="731">
        <v>200.18627999999998</v>
      </c>
      <c r="AT142" s="731">
        <v>204.02465999999998</v>
      </c>
    </row>
    <row r="143" spans="3:46" ht="14.4">
      <c r="G143" s="732">
        <v>45286</v>
      </c>
      <c r="AJ143" s="731">
        <v>189.06482</v>
      </c>
      <c r="AK143" s="731"/>
      <c r="AL143" s="731">
        <v>193.78897999999998</v>
      </c>
      <c r="AM143" s="731"/>
      <c r="AN143" s="731">
        <v>197.43052</v>
      </c>
      <c r="AO143" s="731"/>
      <c r="AP143" s="731">
        <v>198.21787999999998</v>
      </c>
      <c r="AQ143" s="731"/>
      <c r="AR143" s="731"/>
      <c r="AS143" s="731">
        <v>200.57996</v>
      </c>
      <c r="AT143" s="731">
        <v>204.81201999999999</v>
      </c>
    </row>
    <row r="144" spans="3:46" ht="14.4">
      <c r="G144" s="732">
        <v>45293</v>
      </c>
      <c r="AJ144" s="731">
        <v>182.56909999999999</v>
      </c>
      <c r="AK144" s="731"/>
      <c r="AL144" s="731">
        <v>187.78536</v>
      </c>
      <c r="AM144" s="731"/>
      <c r="AN144" s="731">
        <v>192.01741999999999</v>
      </c>
      <c r="AO144" s="731"/>
      <c r="AP144" s="731">
        <v>193.49372</v>
      </c>
      <c r="AQ144" s="731"/>
      <c r="AR144" s="731"/>
      <c r="AS144" s="731">
        <v>196.15106</v>
      </c>
      <c r="AT144" s="731">
        <v>200.48154</v>
      </c>
    </row>
    <row r="145" spans="7:48" ht="14.4">
      <c r="G145" s="732">
        <v>45299</v>
      </c>
      <c r="AJ145" s="731">
        <v>179.12439999999998</v>
      </c>
      <c r="AK145" s="731"/>
      <c r="AL145" s="731">
        <v>184.0454</v>
      </c>
      <c r="AM145" s="731"/>
      <c r="AN145" s="731">
        <v>188.17903999999999</v>
      </c>
      <c r="AO145" s="731"/>
      <c r="AP145" s="731">
        <v>189.75376</v>
      </c>
      <c r="AQ145" s="731"/>
      <c r="AR145" s="731"/>
      <c r="AS145" s="731">
        <v>192.60793999999999</v>
      </c>
      <c r="AT145" s="731">
        <v>196.83999999999997</v>
      </c>
    </row>
    <row r="146" spans="7:48" ht="14.4">
      <c r="G146" s="732">
        <v>45306</v>
      </c>
      <c r="AJ146" s="731">
        <v>175.97495999999998</v>
      </c>
      <c r="AK146" s="731"/>
      <c r="AL146" s="731">
        <v>180.69911999999999</v>
      </c>
      <c r="AM146" s="731"/>
      <c r="AN146" s="731">
        <v>184.34065999999999</v>
      </c>
      <c r="AO146" s="731"/>
      <c r="AP146" s="731">
        <v>186.70273999999998</v>
      </c>
      <c r="AQ146" s="731"/>
      <c r="AR146" s="731"/>
      <c r="AS146" s="731">
        <v>189.65534</v>
      </c>
      <c r="AT146" s="731">
        <v>193.98581999999999</v>
      </c>
    </row>
    <row r="147" spans="7:48" ht="14.4">
      <c r="G147" s="732">
        <v>45317</v>
      </c>
      <c r="AJ147" s="731">
        <v>175.6797</v>
      </c>
      <c r="AK147" s="731"/>
      <c r="AL147" s="731">
        <v>179.41965999999999</v>
      </c>
      <c r="AM147" s="731"/>
      <c r="AN147" s="731">
        <v>182.47067999999999</v>
      </c>
      <c r="AO147" s="731"/>
      <c r="AP147" s="731">
        <v>184.43907999999999</v>
      </c>
      <c r="AQ147" s="731"/>
      <c r="AR147" s="731"/>
      <c r="AS147" s="731">
        <v>187.49009999999998</v>
      </c>
      <c r="AT147" s="731">
        <v>191.91899999999998</v>
      </c>
    </row>
    <row r="148" spans="7:48" ht="14.4">
      <c r="G148" s="732">
        <v>45327</v>
      </c>
      <c r="AJ148" s="731">
        <v>174.30181999999999</v>
      </c>
      <c r="AK148" s="731"/>
      <c r="AL148" s="731">
        <v>178.43545999999998</v>
      </c>
      <c r="AM148" s="731"/>
      <c r="AN148" s="731">
        <v>181.88015999999999</v>
      </c>
      <c r="AO148" s="731"/>
      <c r="AP148" s="731">
        <v>184.43907999999999</v>
      </c>
      <c r="AQ148" s="731"/>
      <c r="AR148" s="731"/>
      <c r="AS148" s="731">
        <v>188.08061999999998</v>
      </c>
      <c r="AT148" s="731">
        <v>192.31268</v>
      </c>
    </row>
    <row r="149" spans="7:48" ht="14.4">
      <c r="G149" s="732">
        <v>45334</v>
      </c>
      <c r="AJ149" s="731">
        <v>169.47923999999998</v>
      </c>
      <c r="AK149" s="731"/>
      <c r="AL149" s="731">
        <v>174.20339999999999</v>
      </c>
      <c r="AM149" s="731"/>
      <c r="AN149" s="731">
        <v>178.04177999999999</v>
      </c>
      <c r="AO149" s="731"/>
      <c r="AP149" s="731">
        <v>180.60069999999999</v>
      </c>
      <c r="AQ149" s="731"/>
      <c r="AR149" s="731"/>
      <c r="AS149" s="731">
        <v>184.73433999999997</v>
      </c>
      <c r="AT149" s="731">
        <v>189.26165999999998</v>
      </c>
    </row>
    <row r="150" spans="7:48" ht="14.4">
      <c r="G150" s="732">
        <v>45341</v>
      </c>
      <c r="AJ150" s="731">
        <v>163.96771999999999</v>
      </c>
      <c r="AK150" s="731"/>
      <c r="AL150" s="731">
        <v>169.08555999999999</v>
      </c>
      <c r="AM150" s="731"/>
      <c r="AN150" s="731">
        <v>173.31761999999998</v>
      </c>
      <c r="AO150" s="731"/>
      <c r="AP150" s="731">
        <v>175.97495999999998</v>
      </c>
      <c r="AQ150" s="731"/>
      <c r="AR150" s="731"/>
      <c r="AS150" s="731">
        <v>180.60069999999999</v>
      </c>
      <c r="AT150" s="731">
        <v>185.22644</v>
      </c>
      <c r="AU150" s="731"/>
    </row>
    <row r="151" spans="7:48" ht="14.4">
      <c r="G151" s="732">
        <v>45348</v>
      </c>
      <c r="AJ151" s="731">
        <v>160.22775999999999</v>
      </c>
      <c r="AK151" s="731"/>
      <c r="AL151" s="731">
        <v>165.93611999999999</v>
      </c>
      <c r="AM151" s="731"/>
      <c r="AN151" s="731">
        <v>170.75869999999998</v>
      </c>
      <c r="AO151" s="731"/>
      <c r="AP151" s="731">
        <v>174.49866</v>
      </c>
      <c r="AQ151" s="731"/>
      <c r="AR151" s="731"/>
      <c r="AS151" s="731">
        <v>179.91175999999999</v>
      </c>
      <c r="AT151" s="731">
        <v>185.12801999999999</v>
      </c>
      <c r="AU151" s="731">
        <v>187.68693999999999</v>
      </c>
    </row>
    <row r="152" spans="7:48" ht="14.4">
      <c r="G152" s="732">
        <v>45355</v>
      </c>
      <c r="AJ152" s="731">
        <v>164.3614</v>
      </c>
      <c r="AK152" s="731"/>
      <c r="AL152" s="731">
        <v>169.2824</v>
      </c>
      <c r="AM152" s="731"/>
      <c r="AN152" s="731">
        <v>173.71129999999999</v>
      </c>
      <c r="AO152" s="731"/>
      <c r="AP152" s="731">
        <v>177.25441999999998</v>
      </c>
      <c r="AQ152" s="731"/>
      <c r="AR152" s="731"/>
      <c r="AS152" s="731">
        <v>182.27383999999998</v>
      </c>
      <c r="AT152" s="731">
        <v>187.58851999999999</v>
      </c>
      <c r="AU152" s="731">
        <v>190.24585999999999</v>
      </c>
    </row>
    <row r="153" spans="7:48" ht="14.4">
      <c r="G153" s="732">
        <v>45358</v>
      </c>
      <c r="AJ153" s="731">
        <v>167.70767999999998</v>
      </c>
      <c r="AK153" s="731"/>
      <c r="AL153" s="731">
        <v>172.43183999999999</v>
      </c>
      <c r="AM153" s="731"/>
      <c r="AN153" s="731">
        <v>176.95916</v>
      </c>
      <c r="AO153" s="731"/>
      <c r="AP153" s="731">
        <v>179.71491999999998</v>
      </c>
      <c r="AQ153" s="731"/>
      <c r="AR153" s="731"/>
      <c r="AS153" s="731">
        <v>184.63592</v>
      </c>
      <c r="AT153" s="731">
        <v>189.55691999999999</v>
      </c>
      <c r="AU153" s="731">
        <v>188.86797999999999</v>
      </c>
    </row>
    <row r="154" spans="7:48" ht="14.4">
      <c r="G154" s="732">
        <v>45362</v>
      </c>
      <c r="AJ154" s="731"/>
      <c r="AK154" s="731"/>
      <c r="AL154" s="731">
        <v>173.90813999999997</v>
      </c>
      <c r="AM154" s="731"/>
      <c r="AN154" s="731">
        <v>178.63229999999999</v>
      </c>
      <c r="AO154" s="731"/>
      <c r="AP154" s="731"/>
      <c r="AQ154" s="731"/>
      <c r="AR154" s="731"/>
      <c r="AS154" s="731">
        <v>186.11221999999998</v>
      </c>
      <c r="AT154" s="731">
        <v>191.03322</v>
      </c>
      <c r="AU154" s="731">
        <v>188.86797999999999</v>
      </c>
      <c r="AV154" s="731"/>
    </row>
    <row r="155" spans="7:48" ht="14.4">
      <c r="G155" s="732">
        <v>45371</v>
      </c>
      <c r="AJ155" s="731"/>
      <c r="AK155" s="731"/>
      <c r="AL155" s="731">
        <v>172.82551999999998</v>
      </c>
      <c r="AM155" s="731"/>
      <c r="AN155" s="731">
        <v>178.04177999999999</v>
      </c>
      <c r="AO155" s="731"/>
      <c r="AP155" s="731">
        <v>181.68331999999998</v>
      </c>
      <c r="AQ155" s="731"/>
      <c r="AR155" s="731"/>
      <c r="AS155" s="731">
        <v>186.89957999999999</v>
      </c>
      <c r="AT155" s="731">
        <v>192.41109999999998</v>
      </c>
      <c r="AU155" s="731">
        <v>195.16685999999999</v>
      </c>
      <c r="AV155" s="731">
        <v>196.15106</v>
      </c>
    </row>
    <row r="156" spans="7:48" ht="14.4">
      <c r="G156" s="732">
        <v>45383</v>
      </c>
      <c r="AJ156" s="731"/>
      <c r="AK156" s="731"/>
      <c r="AL156" s="731">
        <v>171.44763999999998</v>
      </c>
      <c r="AM156" s="731"/>
      <c r="AN156" s="731">
        <v>176.86073999999999</v>
      </c>
      <c r="AO156" s="731"/>
      <c r="AP156" s="731">
        <v>181.38806</v>
      </c>
      <c r="AQ156" s="731"/>
      <c r="AR156" s="731"/>
      <c r="AS156" s="731">
        <v>186.89957999999999</v>
      </c>
      <c r="AT156" s="731">
        <v>191.82057999999998</v>
      </c>
      <c r="AU156" s="731">
        <v>194.18266</v>
      </c>
      <c r="AV156" s="731">
        <v>195.16685999999999</v>
      </c>
    </row>
    <row r="157" spans="7:48" ht="14.4">
      <c r="G157" s="732">
        <v>45390</v>
      </c>
      <c r="AJ157" s="731"/>
      <c r="AK157" s="731"/>
      <c r="AL157" s="731">
        <v>171.44763999999998</v>
      </c>
      <c r="AM157" s="731"/>
      <c r="AN157" s="731">
        <v>176.17179999999999</v>
      </c>
      <c r="AO157" s="731"/>
      <c r="AP157" s="731">
        <v>180.01017999999999</v>
      </c>
      <c r="AQ157" s="731"/>
      <c r="AR157" s="731"/>
      <c r="AS157" s="731">
        <v>186.21063999999998</v>
      </c>
      <c r="AT157" s="731">
        <v>191.32847999999998</v>
      </c>
      <c r="AU157" s="731">
        <v>194.18266</v>
      </c>
      <c r="AV157" s="731">
        <v>195.56053999999997</v>
      </c>
    </row>
    <row r="158" spans="7:48" ht="14.4">
      <c r="G158" s="732">
        <v>45398</v>
      </c>
      <c r="AJ158" s="731"/>
      <c r="AK158" s="731"/>
      <c r="AL158" s="731">
        <v>169.67607999999998</v>
      </c>
      <c r="AM158" s="731"/>
      <c r="AN158" s="731">
        <v>174.30181999999999</v>
      </c>
      <c r="AO158" s="731"/>
      <c r="AP158" s="731">
        <v>177.84493999999998</v>
      </c>
      <c r="AQ158" s="731"/>
      <c r="AR158" s="731"/>
      <c r="AS158" s="731">
        <v>183.94698</v>
      </c>
      <c r="AT158" s="731">
        <v>189.06482</v>
      </c>
      <c r="AU158" s="731">
        <v>192.01741999999999</v>
      </c>
      <c r="AV158" s="731">
        <v>193.78897999999998</v>
      </c>
    </row>
    <row r="159" spans="7:48" ht="14.4">
      <c r="G159" s="732">
        <v>45404</v>
      </c>
      <c r="AJ159" s="731"/>
      <c r="AK159" s="731"/>
      <c r="AL159" s="731">
        <v>173.12078</v>
      </c>
      <c r="AM159" s="731"/>
      <c r="AN159" s="731">
        <v>177.05758</v>
      </c>
      <c r="AO159" s="731"/>
      <c r="AP159" s="731">
        <v>180.30543999999998</v>
      </c>
      <c r="AQ159" s="731"/>
      <c r="AR159" s="731"/>
      <c r="AS159" s="731">
        <v>186.01379999999997</v>
      </c>
      <c r="AT159" s="731">
        <v>191.03322</v>
      </c>
      <c r="AU159" s="731">
        <v>193.98581999999999</v>
      </c>
      <c r="AV159" s="731">
        <v>195.85579999999999</v>
      </c>
    </row>
    <row r="160" spans="7:48" ht="14.4">
      <c r="G160" s="732">
        <v>45407</v>
      </c>
      <c r="AJ160" s="731"/>
      <c r="AK160" s="731"/>
      <c r="AL160" s="731">
        <v>173.61287999999999</v>
      </c>
      <c r="AM160" s="731"/>
      <c r="AN160" s="731">
        <v>177.94335999999998</v>
      </c>
      <c r="AO160" s="731"/>
      <c r="AP160" s="731">
        <v>181.78173999999999</v>
      </c>
      <c r="AQ160" s="731"/>
      <c r="AR160" s="731"/>
      <c r="AS160" s="731">
        <v>187.49009999999998</v>
      </c>
      <c r="AT160" s="731">
        <v>192.70635999999999</v>
      </c>
      <c r="AU160" s="731">
        <v>196.34789999999998</v>
      </c>
      <c r="AV160" s="731">
        <v>199.00523999999999</v>
      </c>
    </row>
    <row r="161" spans="7:49" ht="14.4">
      <c r="G161" s="732">
        <v>45411</v>
      </c>
      <c r="AL161" s="731">
        <v>172.92393999999999</v>
      </c>
      <c r="AM161" s="731"/>
      <c r="AN161" s="731">
        <v>176.86073999999999</v>
      </c>
      <c r="AO161" s="731"/>
      <c r="AP161" s="731">
        <v>180.50227999999998</v>
      </c>
      <c r="AQ161" s="731"/>
      <c r="AR161" s="731"/>
      <c r="AS161" s="731">
        <v>186.11221999999998</v>
      </c>
      <c r="AT161" s="731">
        <v>191.42689999999999</v>
      </c>
      <c r="AU161" s="731">
        <v>194.8716</v>
      </c>
      <c r="AV161" s="731">
        <v>197.43052</v>
      </c>
      <c r="AW161" s="731"/>
    </row>
    <row r="162" spans="7:49" ht="14.4">
      <c r="G162" s="732">
        <v>45418</v>
      </c>
      <c r="AL162" s="731">
        <v>179.91175999999999</v>
      </c>
      <c r="AM162" s="731"/>
      <c r="AN162" s="731">
        <v>184.63592</v>
      </c>
      <c r="AO162" s="731"/>
      <c r="AP162" s="731">
        <v>187.68693999999999</v>
      </c>
      <c r="AQ162" s="731"/>
      <c r="AR162" s="731"/>
      <c r="AS162" s="731">
        <v>192.31268</v>
      </c>
      <c r="AT162" s="731">
        <v>196.83999999999997</v>
      </c>
      <c r="AU162" s="731">
        <v>199.79259999999999</v>
      </c>
      <c r="AV162" s="731">
        <v>201.85942</v>
      </c>
      <c r="AW162" s="731"/>
    </row>
    <row r="163" spans="7:49" ht="14.4">
      <c r="G163" s="732">
        <v>45425</v>
      </c>
      <c r="AL163" s="731">
        <v>180.50227999999998</v>
      </c>
      <c r="AM163" s="731"/>
      <c r="AN163" s="731">
        <v>186.01379999999997</v>
      </c>
      <c r="AO163" s="731"/>
      <c r="AP163" s="731">
        <v>189.65534</v>
      </c>
      <c r="AQ163" s="731"/>
      <c r="AR163" s="731"/>
      <c r="AS163" s="731">
        <v>194.08423999999999</v>
      </c>
      <c r="AT163" s="731">
        <v>198.51313999999999</v>
      </c>
      <c r="AU163" s="731">
        <v>201.36731999999998</v>
      </c>
      <c r="AV163" s="731">
        <v>203.33571999999998</v>
      </c>
      <c r="AW163" s="731"/>
    </row>
    <row r="164" spans="7:49" ht="14.4">
      <c r="G164" s="732">
        <v>45436</v>
      </c>
      <c r="AL164" s="731"/>
      <c r="AM164" s="731"/>
      <c r="AN164" s="731">
        <v>182.96277999999998</v>
      </c>
      <c r="AO164" s="731"/>
      <c r="AP164" s="731">
        <v>186.80115999999998</v>
      </c>
      <c r="AQ164" s="731"/>
      <c r="AR164" s="731"/>
      <c r="AS164" s="731">
        <v>192.21426</v>
      </c>
      <c r="AT164" s="731">
        <v>196.93841999999998</v>
      </c>
      <c r="AU164" s="731">
        <v>199.59575999999998</v>
      </c>
      <c r="AV164" s="731">
        <v>201.36731999999998</v>
      </c>
      <c r="AW164" s="731">
        <v>193.88739999999999</v>
      </c>
    </row>
    <row r="165" spans="7:49">
      <c r="G165" s="732">
        <v>45443</v>
      </c>
      <c r="AN165" s="729">
        <v>175.6797</v>
      </c>
      <c r="AO165" s="729"/>
      <c r="AP165" s="729">
        <v>178.73071999999999</v>
      </c>
      <c r="AQ165" s="729"/>
      <c r="AR165" s="729"/>
      <c r="AS165" s="729">
        <v>183.84855999999999</v>
      </c>
      <c r="AT165" s="729">
        <v>188.76955999999998</v>
      </c>
      <c r="AU165" s="729">
        <v>191.72215999999997</v>
      </c>
      <c r="AV165" s="729">
        <v>193.69055999999998</v>
      </c>
      <c r="AW165" s="760">
        <v>188.4743</v>
      </c>
    </row>
    <row r="166" spans="7:49">
      <c r="G166" s="732">
        <v>45450</v>
      </c>
      <c r="AN166" s="729">
        <v>176.66389999999998</v>
      </c>
      <c r="AO166" s="729"/>
      <c r="AP166" s="729">
        <v>179.02597999999998</v>
      </c>
      <c r="AQ166" s="729"/>
      <c r="AR166" s="729"/>
      <c r="AS166" s="729">
        <v>183.94698</v>
      </c>
      <c r="AT166" s="729">
        <v>188.76955999999998</v>
      </c>
      <c r="AU166" s="729">
        <v>191.82057999999998</v>
      </c>
      <c r="AV166" s="729">
        <v>193.98581999999999</v>
      </c>
      <c r="AW166" s="760">
        <v>188.17903999999999</v>
      </c>
    </row>
    <row r="167" spans="7:49">
      <c r="G167" s="732">
        <v>45457</v>
      </c>
      <c r="AN167" s="729">
        <v>177.15599999999998</v>
      </c>
      <c r="AO167" s="729"/>
      <c r="AP167" s="729">
        <v>179.91175999999999</v>
      </c>
      <c r="AQ167" s="729"/>
      <c r="AR167" s="729"/>
      <c r="AS167" s="729">
        <v>185.12801999999999</v>
      </c>
      <c r="AT167" s="729">
        <v>189.45849999999999</v>
      </c>
      <c r="AU167" s="729">
        <v>192.21426</v>
      </c>
      <c r="AV167" s="729">
        <v>194.18266</v>
      </c>
      <c r="AW167" s="760">
        <v>187.98219999999998</v>
      </c>
    </row>
    <row r="168" spans="7:49">
      <c r="G168" s="732">
        <v>45463</v>
      </c>
      <c r="AN168" s="729">
        <v>173.12078</v>
      </c>
      <c r="AO168" s="729"/>
      <c r="AP168" s="729">
        <v>175.08918</v>
      </c>
      <c r="AQ168" s="729"/>
      <c r="AR168" s="729"/>
      <c r="AS168" s="729">
        <v>179.81333999999998</v>
      </c>
      <c r="AT168" s="729">
        <v>184.0454</v>
      </c>
      <c r="AU168" s="729">
        <v>186.99799999999999</v>
      </c>
      <c r="AV168" s="729">
        <v>189.26165999999998</v>
      </c>
      <c r="AW168" s="760">
        <v>184.14381999999998</v>
      </c>
    </row>
    <row r="169" spans="7:49">
      <c r="G169" s="732">
        <v>45467</v>
      </c>
      <c r="AN169" s="729">
        <v>170.66028</v>
      </c>
      <c r="AO169" s="729"/>
      <c r="AP169" s="729">
        <v>173.02235999999999</v>
      </c>
      <c r="AQ169" s="729"/>
      <c r="AR169" s="729"/>
      <c r="AS169" s="729">
        <v>177.84493999999998</v>
      </c>
      <c r="AT169" s="729">
        <v>182.37225999999998</v>
      </c>
      <c r="AU169" s="729">
        <v>185.52169999999998</v>
      </c>
      <c r="AV169" s="729">
        <v>187.98219999999998</v>
      </c>
      <c r="AW169" s="760">
        <v>183.25803999999999</v>
      </c>
    </row>
    <row r="170" spans="7:49">
      <c r="G170" s="732">
        <v>45474</v>
      </c>
      <c r="AN170" s="729">
        <v>156.78305999999998</v>
      </c>
      <c r="AO170" s="729"/>
      <c r="AP170" s="729">
        <v>160.22775999999999</v>
      </c>
      <c r="AQ170" s="729"/>
      <c r="AR170" s="729"/>
      <c r="AS170" s="729">
        <v>165.54244</v>
      </c>
      <c r="AT170" s="729">
        <v>171.15237999999999</v>
      </c>
      <c r="AU170" s="729">
        <v>174.99075999999999</v>
      </c>
      <c r="AV170" s="729">
        <v>178.14019999999999</v>
      </c>
      <c r="AW170" s="760">
        <v>178.43545999999998</v>
      </c>
    </row>
    <row r="171" spans="7:49">
      <c r="G171" s="732">
        <v>45481</v>
      </c>
      <c r="AN171" s="729">
        <v>155.79885999999999</v>
      </c>
      <c r="AO171" s="729"/>
      <c r="AP171" s="729">
        <v>154.81466</v>
      </c>
      <c r="AQ171" s="729"/>
      <c r="AR171" s="729"/>
      <c r="AS171" s="729">
        <v>160.52302</v>
      </c>
      <c r="AT171" s="729">
        <v>166.32979999999998</v>
      </c>
      <c r="AU171" s="729">
        <v>170.66028</v>
      </c>
      <c r="AV171" s="729">
        <v>174.30181999999999</v>
      </c>
      <c r="AW171" s="760">
        <v>175.18759999999997</v>
      </c>
    </row>
    <row r="172" spans="7:49">
      <c r="G172" s="732">
        <v>45488</v>
      </c>
      <c r="AN172" s="729"/>
      <c r="AO172" s="729"/>
      <c r="AP172" s="729">
        <v>153.73203999999998</v>
      </c>
      <c r="AQ172" s="729"/>
      <c r="AR172" s="729"/>
      <c r="AS172" s="729">
        <v>159.14514</v>
      </c>
      <c r="AT172" s="729">
        <v>164.45981999999998</v>
      </c>
      <c r="AU172" s="729">
        <v>168.39661999999998</v>
      </c>
      <c r="AV172" s="729">
        <v>171.44763999999998</v>
      </c>
      <c r="AW172" s="760">
        <v>173.2192</v>
      </c>
    </row>
    <row r="173" spans="7:49">
      <c r="G173" s="732">
        <v>45495</v>
      </c>
      <c r="AN173" s="729"/>
      <c r="AO173" s="729"/>
      <c r="AP173" s="729">
        <v>157.57041999999998</v>
      </c>
      <c r="AQ173" s="729"/>
      <c r="AR173" s="729"/>
      <c r="AS173" s="729">
        <v>163.37719999999999</v>
      </c>
      <c r="AT173" s="729">
        <v>168.98713999999998</v>
      </c>
      <c r="AU173" s="729">
        <v>173.02235999999999</v>
      </c>
      <c r="AV173" s="729">
        <v>175.87653999999998</v>
      </c>
      <c r="AW173" s="760">
        <v>177.05758</v>
      </c>
    </row>
    <row r="174" spans="7:49">
      <c r="G174" s="732">
        <v>45502</v>
      </c>
      <c r="AN174" s="729"/>
      <c r="AO174" s="729"/>
      <c r="AP174" s="729">
        <v>155.9957</v>
      </c>
      <c r="AQ174" s="729"/>
      <c r="AR174" s="729"/>
      <c r="AS174" s="729">
        <v>162.29458</v>
      </c>
      <c r="AT174" s="729">
        <v>168.10136</v>
      </c>
      <c r="AU174" s="729">
        <v>172.13657999999998</v>
      </c>
      <c r="AV174" s="729">
        <v>174.99075999999999</v>
      </c>
      <c r="AW174" s="760">
        <v>175.6797</v>
      </c>
    </row>
    <row r="175" spans="7:49">
      <c r="G175" s="727">
        <v>45509</v>
      </c>
      <c r="AN175" s="729"/>
      <c r="AO175" s="729"/>
      <c r="AP175" s="729">
        <v>153.83045999999999</v>
      </c>
      <c r="AQ175" s="729"/>
      <c r="AR175" s="729"/>
      <c r="AS175" s="729">
        <v>160.22775999999999</v>
      </c>
      <c r="AT175" s="729">
        <v>167.01873999999998</v>
      </c>
      <c r="AU175" s="729">
        <v>171.44763999999998</v>
      </c>
      <c r="AV175" s="729">
        <v>174.20339999999999</v>
      </c>
      <c r="AW175" s="760">
        <v>174.89233999999999</v>
      </c>
    </row>
    <row r="176" spans="7:49">
      <c r="G176" s="727">
        <v>45516</v>
      </c>
      <c r="AN176" s="729"/>
      <c r="AO176" s="729"/>
      <c r="AP176" s="729">
        <v>150.87786</v>
      </c>
      <c r="AQ176" s="729"/>
      <c r="AR176" s="729"/>
      <c r="AS176" s="729">
        <v>158.06251999999998</v>
      </c>
      <c r="AT176" s="729">
        <v>164.95192</v>
      </c>
      <c r="AU176" s="729">
        <v>169.47923999999998</v>
      </c>
      <c r="AV176" s="729">
        <v>172.43183999999999</v>
      </c>
      <c r="AW176" s="760">
        <v>173.12078</v>
      </c>
    </row>
    <row r="177" spans="7:49">
      <c r="G177" s="727">
        <v>45523</v>
      </c>
      <c r="AN177" s="729"/>
      <c r="AO177" s="729"/>
      <c r="AP177" s="729">
        <v>148.81103999999999</v>
      </c>
      <c r="AQ177" s="729"/>
      <c r="AR177" s="729"/>
      <c r="AS177" s="729">
        <v>157.57041999999998</v>
      </c>
      <c r="AT177" s="729">
        <v>165.05033999999998</v>
      </c>
      <c r="AU177" s="729">
        <v>168.98713999999998</v>
      </c>
      <c r="AV177" s="729">
        <v>171.2508</v>
      </c>
      <c r="AW177" s="760">
        <v>171.54605999999998</v>
      </c>
    </row>
    <row r="178" spans="7:49">
      <c r="G178" s="727">
        <v>45530</v>
      </c>
      <c r="AN178" s="729"/>
      <c r="AO178" s="729"/>
      <c r="AP178" s="729">
        <v>142.51215999999999</v>
      </c>
      <c r="AQ178" s="729"/>
      <c r="AR178" s="729"/>
      <c r="AS178" s="729">
        <v>152.15732</v>
      </c>
      <c r="AT178" s="729">
        <v>159.53881999999999</v>
      </c>
      <c r="AU178" s="729">
        <v>163.86929999999998</v>
      </c>
      <c r="AV178" s="729">
        <v>166.72348</v>
      </c>
      <c r="AW178" s="760">
        <v>166.92031999999998</v>
      </c>
    </row>
    <row r="179" spans="7:49">
      <c r="AN179" s="729"/>
      <c r="AO179" s="729"/>
      <c r="AP179" s="729"/>
      <c r="AQ179" s="729"/>
      <c r="AR179" s="729"/>
      <c r="AS179" s="729"/>
      <c r="AT179" s="729"/>
      <c r="AU179" s="729"/>
      <c r="AV179" s="729"/>
      <c r="AW179" s="760"/>
    </row>
  </sheetData>
  <pageMargins left="0.70866141732283472" right="0.70866141732283472" top="0.74803149606299213" bottom="0.74803149606299213" header="0.31496062992125984" footer="0.31496062992125984"/>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79998168889431442"/>
    <pageSetUpPr fitToPage="1"/>
  </sheetPr>
  <dimension ref="A1:K44"/>
  <sheetViews>
    <sheetView topLeftCell="A18" workbookViewId="0">
      <selection activeCell="K31" sqref="K31"/>
    </sheetView>
  </sheetViews>
  <sheetFormatPr baseColWidth="10" defaultColWidth="11.08203125" defaultRowHeight="15.05" customHeight="1"/>
  <cols>
    <col min="1" max="1" width="5.5" style="230" customWidth="1"/>
    <col min="2" max="2" width="8.9140625" style="230" customWidth="1"/>
    <col min="3" max="5" width="10.25" style="230" customWidth="1"/>
    <col min="6" max="6" width="7.4140625" style="230" customWidth="1"/>
    <col min="7" max="7" width="5.4140625" style="230" customWidth="1"/>
    <col min="8" max="8" width="6.33203125" style="230" customWidth="1"/>
    <col min="9" max="16384" width="11.08203125" style="230"/>
  </cols>
  <sheetData>
    <row r="1" spans="1:8" s="231" customFormat="1" ht="10" customHeight="1">
      <c r="A1" s="801"/>
      <c r="B1" s="801"/>
      <c r="C1" s="801"/>
      <c r="D1" s="801"/>
      <c r="E1" s="801"/>
      <c r="F1" s="801"/>
      <c r="G1" s="801"/>
      <c r="H1" s="329"/>
    </row>
    <row r="2" spans="1:8" s="231" customFormat="1" ht="15.05" customHeight="1">
      <c r="A2" s="813" t="s">
        <v>523</v>
      </c>
      <c r="B2" s="813"/>
      <c r="C2" s="813"/>
      <c r="D2" s="813"/>
      <c r="E2" s="813"/>
      <c r="F2" s="813"/>
      <c r="G2" s="813"/>
      <c r="H2" s="329"/>
    </row>
    <row r="3" spans="1:8" s="231" customFormat="1" ht="15.05" customHeight="1">
      <c r="A3" s="801" t="s">
        <v>524</v>
      </c>
      <c r="B3" s="801"/>
      <c r="C3" s="801"/>
      <c r="D3" s="801"/>
      <c r="E3" s="801"/>
      <c r="F3" s="801"/>
      <c r="G3" s="801"/>
      <c r="H3" s="329"/>
    </row>
    <row r="4" spans="1:8" s="231" customFormat="1" ht="15.05" customHeight="1">
      <c r="A4" s="242"/>
      <c r="B4" s="242"/>
      <c r="C4" s="242"/>
      <c r="D4" s="242"/>
      <c r="E4" s="242"/>
      <c r="F4" s="242"/>
      <c r="G4" s="242"/>
      <c r="H4" s="329"/>
    </row>
    <row r="5" spans="1:8" s="231" customFormat="1" ht="15.05" customHeight="1">
      <c r="A5" s="232"/>
      <c r="B5" s="233" t="s">
        <v>20</v>
      </c>
      <c r="C5" s="233"/>
      <c r="D5" s="233"/>
      <c r="E5" s="233"/>
      <c r="F5" s="233"/>
      <c r="G5" s="234" t="s">
        <v>21</v>
      </c>
      <c r="H5" s="98"/>
    </row>
    <row r="6" spans="1:8" s="231" customFormat="1" ht="10" customHeight="1">
      <c r="A6" s="235"/>
      <c r="B6" s="235"/>
      <c r="C6" s="235"/>
      <c r="D6" s="235"/>
      <c r="E6" s="235"/>
      <c r="F6" s="235"/>
      <c r="G6" s="229"/>
      <c r="H6" s="329"/>
    </row>
    <row r="7" spans="1:8" s="231" customFormat="1" ht="27" customHeight="1">
      <c r="A7" s="243" t="s">
        <v>525</v>
      </c>
      <c r="B7" s="1029" t="s">
        <v>526</v>
      </c>
      <c r="C7" s="1029"/>
      <c r="D7" s="1029"/>
      <c r="E7" s="1029"/>
      <c r="F7" s="1029"/>
      <c r="G7" s="326">
        <v>44</v>
      </c>
      <c r="H7" s="329"/>
    </row>
    <row r="8" spans="1:8" s="231" customFormat="1" ht="15.05" customHeight="1">
      <c r="A8" s="243" t="s">
        <v>527</v>
      </c>
      <c r="B8" s="1024" t="s">
        <v>528</v>
      </c>
      <c r="C8" s="1024"/>
      <c r="D8" s="1024"/>
      <c r="E8" s="1024"/>
      <c r="F8" s="1024"/>
      <c r="G8" s="326">
        <v>45</v>
      </c>
      <c r="H8" s="329"/>
    </row>
    <row r="9" spans="1:8" s="231" customFormat="1" ht="15.05" customHeight="1">
      <c r="A9" s="243" t="s">
        <v>529</v>
      </c>
      <c r="B9" s="1024" t="s">
        <v>530</v>
      </c>
      <c r="C9" s="1024"/>
      <c r="D9" s="1024"/>
      <c r="E9" s="1024"/>
      <c r="F9" s="1024"/>
      <c r="G9" s="326">
        <v>46</v>
      </c>
      <c r="H9" s="329"/>
    </row>
    <row r="10" spans="1:8" s="231" customFormat="1" ht="12.45">
      <c r="A10" s="243" t="s">
        <v>531</v>
      </c>
      <c r="B10" s="1024" t="s">
        <v>532</v>
      </c>
      <c r="C10" s="1024"/>
      <c r="D10" s="1024"/>
      <c r="E10" s="1024"/>
      <c r="F10" s="1024"/>
      <c r="G10" s="326">
        <v>47</v>
      </c>
      <c r="H10" s="329"/>
    </row>
    <row r="11" spans="1:8" s="231" customFormat="1" ht="27" customHeight="1">
      <c r="A11" s="243" t="s">
        <v>533</v>
      </c>
      <c r="B11" s="1024" t="s">
        <v>534</v>
      </c>
      <c r="C11" s="1024"/>
      <c r="D11" s="1024"/>
      <c r="E11" s="1024"/>
      <c r="F11" s="1024"/>
      <c r="G11" s="326">
        <v>48</v>
      </c>
      <c r="H11" s="329"/>
    </row>
    <row r="12" spans="1:8" s="231" customFormat="1" ht="15.05" customHeight="1">
      <c r="A12" s="243" t="s">
        <v>535</v>
      </c>
      <c r="B12" s="1024" t="s">
        <v>536</v>
      </c>
      <c r="C12" s="1024"/>
      <c r="D12" s="1024"/>
      <c r="E12" s="1024"/>
      <c r="F12" s="1024"/>
      <c r="G12" s="326">
        <v>49</v>
      </c>
      <c r="H12" s="329"/>
    </row>
    <row r="13" spans="1:8" s="231" customFormat="1" ht="15.05" customHeight="1">
      <c r="A13" s="243" t="s">
        <v>537</v>
      </c>
      <c r="B13" s="1024" t="s">
        <v>538</v>
      </c>
      <c r="C13" s="1024"/>
      <c r="D13" s="1024"/>
      <c r="E13" s="1024"/>
      <c r="F13" s="1024"/>
      <c r="G13" s="326">
        <v>50</v>
      </c>
      <c r="H13" s="329"/>
    </row>
    <row r="14" spans="1:8" s="231" customFormat="1" ht="15.05" customHeight="1">
      <c r="A14" s="243" t="s">
        <v>539</v>
      </c>
      <c r="B14" s="1026" t="s">
        <v>540</v>
      </c>
      <c r="C14" s="1026"/>
      <c r="D14" s="1026"/>
      <c r="E14" s="1026"/>
      <c r="F14" s="1026"/>
      <c r="G14" s="326">
        <v>51</v>
      </c>
      <c r="H14" s="329"/>
    </row>
    <row r="15" spans="1:8" s="231" customFormat="1" ht="15.05" customHeight="1">
      <c r="A15" s="243" t="s">
        <v>541</v>
      </c>
      <c r="B15" s="1026" t="s">
        <v>542</v>
      </c>
      <c r="C15" s="1026"/>
      <c r="D15" s="1026"/>
      <c r="E15" s="1026"/>
      <c r="F15" s="1026"/>
      <c r="G15" s="326">
        <v>52</v>
      </c>
      <c r="H15" s="329"/>
    </row>
    <row r="16" spans="1:8" s="231" customFormat="1" ht="15.05" customHeight="1">
      <c r="A16" s="243" t="s">
        <v>543</v>
      </c>
      <c r="B16" s="1026" t="s">
        <v>544</v>
      </c>
      <c r="C16" s="1026"/>
      <c r="D16" s="1026"/>
      <c r="E16" s="1026"/>
      <c r="F16" s="1026"/>
      <c r="G16" s="326">
        <v>53</v>
      </c>
      <c r="H16" s="329"/>
    </row>
    <row r="17" spans="1:8" s="231" customFormat="1" ht="15.05" customHeight="1">
      <c r="A17" s="243" t="s">
        <v>545</v>
      </c>
      <c r="B17" s="1024" t="s">
        <v>546</v>
      </c>
      <c r="C17" s="1024"/>
      <c r="D17" s="1024"/>
      <c r="E17" s="1024"/>
      <c r="F17" s="1024"/>
      <c r="G17" s="326">
        <v>54</v>
      </c>
      <c r="H17" s="329"/>
    </row>
    <row r="18" spans="1:8" s="231" customFormat="1" ht="15.05" customHeight="1">
      <c r="A18" s="243" t="s">
        <v>547</v>
      </c>
      <c r="B18" s="1024" t="s">
        <v>251</v>
      </c>
      <c r="C18" s="1024"/>
      <c r="D18" s="1024"/>
      <c r="E18" s="1024"/>
      <c r="F18" s="1024"/>
      <c r="G18" s="326">
        <v>55</v>
      </c>
      <c r="H18" s="329"/>
    </row>
    <row r="19" spans="1:8" s="231" customFormat="1" ht="15.05" customHeight="1">
      <c r="A19" s="243" t="s">
        <v>548</v>
      </c>
      <c r="B19" s="1024" t="s">
        <v>53</v>
      </c>
      <c r="C19" s="1024"/>
      <c r="D19" s="1024"/>
      <c r="E19" s="1024"/>
      <c r="F19" s="1024"/>
      <c r="G19" s="326">
        <v>56</v>
      </c>
      <c r="H19" s="329"/>
    </row>
    <row r="20" spans="1:8" s="231" customFormat="1" ht="15.05" customHeight="1">
      <c r="A20" s="243" t="s">
        <v>549</v>
      </c>
      <c r="B20" s="1024" t="s">
        <v>735</v>
      </c>
      <c r="C20" s="1024"/>
      <c r="D20" s="1024"/>
      <c r="E20" s="1024"/>
      <c r="F20" s="1024"/>
      <c r="G20" s="326" t="s">
        <v>730</v>
      </c>
      <c r="H20" s="329"/>
    </row>
    <row r="21" spans="1:8" s="231" customFormat="1" ht="15.05" customHeight="1">
      <c r="A21" s="243" t="s">
        <v>733</v>
      </c>
      <c r="B21" s="1024" t="s">
        <v>737</v>
      </c>
      <c r="C21" s="1024"/>
      <c r="D21" s="1024"/>
      <c r="E21" s="1024"/>
      <c r="F21" s="1024"/>
      <c r="G21" s="326" t="s">
        <v>731</v>
      </c>
      <c r="H21" s="329"/>
    </row>
    <row r="22" spans="1:8" s="231" customFormat="1" ht="30.8" customHeight="1">
      <c r="A22" s="240" t="s">
        <v>734</v>
      </c>
      <c r="B22" s="1024" t="s">
        <v>550</v>
      </c>
      <c r="C22" s="1024"/>
      <c r="D22" s="1024"/>
      <c r="E22" s="1024"/>
      <c r="F22" s="1024"/>
      <c r="G22" s="326">
        <v>59</v>
      </c>
      <c r="H22" s="329"/>
    </row>
    <row r="23" spans="1:8" s="231" customFormat="1" ht="15.05" customHeight="1">
      <c r="A23" s="329"/>
      <c r="B23" s="235"/>
      <c r="C23" s="235"/>
      <c r="D23" s="235"/>
      <c r="E23" s="235"/>
      <c r="F23" s="235"/>
      <c r="G23" s="327"/>
      <c r="H23" s="329"/>
    </row>
    <row r="24" spans="1:8" s="231" customFormat="1" ht="15.05" customHeight="1">
      <c r="A24" s="232" t="s">
        <v>75</v>
      </c>
      <c r="B24" s="233" t="s">
        <v>20</v>
      </c>
      <c r="C24" s="233"/>
      <c r="D24" s="233"/>
      <c r="E24" s="233"/>
      <c r="F24" s="233"/>
      <c r="G24" s="234" t="s">
        <v>21</v>
      </c>
      <c r="H24" s="329"/>
    </row>
    <row r="25" spans="1:8" s="231" customFormat="1" ht="11.95" customHeight="1">
      <c r="A25" s="329"/>
      <c r="B25" s="235"/>
      <c r="C25" s="235"/>
      <c r="D25" s="235"/>
      <c r="E25" s="235"/>
      <c r="F25" s="235"/>
      <c r="G25" s="229"/>
      <c r="H25" s="329"/>
    </row>
    <row r="26" spans="1:8" s="231" customFormat="1" ht="15.75" customHeight="1">
      <c r="A26" s="243" t="s">
        <v>525</v>
      </c>
      <c r="B26" s="982" t="s">
        <v>551</v>
      </c>
      <c r="C26" s="982"/>
      <c r="D26" s="982"/>
      <c r="E26" s="982"/>
      <c r="F26" s="982"/>
      <c r="G26" s="328">
        <v>44</v>
      </c>
      <c r="H26" s="329"/>
    </row>
    <row r="27" spans="1:8" s="231" customFormat="1" ht="15.75" customHeight="1">
      <c r="A27" s="243" t="s">
        <v>527</v>
      </c>
      <c r="B27" s="1025" t="s">
        <v>552</v>
      </c>
      <c r="C27" s="1025"/>
      <c r="D27" s="1025"/>
      <c r="E27" s="1025"/>
      <c r="F27" s="1025"/>
      <c r="G27" s="328">
        <v>45</v>
      </c>
      <c r="H27" s="329"/>
    </row>
    <row r="28" spans="1:8" s="231" customFormat="1" ht="30.8" customHeight="1">
      <c r="A28" s="243" t="s">
        <v>529</v>
      </c>
      <c r="B28" s="1024" t="s">
        <v>553</v>
      </c>
      <c r="C28" s="1024"/>
      <c r="D28" s="1024"/>
      <c r="E28" s="1024"/>
      <c r="F28" s="1024"/>
      <c r="G28" s="328">
        <v>47</v>
      </c>
      <c r="H28" s="329"/>
    </row>
    <row r="29" spans="1:8" s="231" customFormat="1" ht="18" customHeight="1">
      <c r="A29" s="475" t="s">
        <v>531</v>
      </c>
      <c r="B29" s="1025" t="s">
        <v>554</v>
      </c>
      <c r="C29" s="1025"/>
      <c r="D29" s="1025"/>
      <c r="E29" s="1025"/>
      <c r="F29" s="1025"/>
      <c r="G29" s="328">
        <v>50</v>
      </c>
      <c r="H29" s="329"/>
    </row>
    <row r="30" spans="1:8" s="231" customFormat="1" ht="19" customHeight="1">
      <c r="A30" s="475" t="s">
        <v>533</v>
      </c>
      <c r="B30" s="982" t="s">
        <v>555</v>
      </c>
      <c r="C30" s="984"/>
      <c r="D30" s="984"/>
      <c r="E30" s="984"/>
      <c r="F30" s="984"/>
      <c r="G30" s="328">
        <v>51</v>
      </c>
      <c r="H30" s="329"/>
    </row>
    <row r="31" spans="1:8" s="231" customFormat="1" ht="17.2" customHeight="1">
      <c r="A31" s="475" t="s">
        <v>535</v>
      </c>
      <c r="B31" s="982" t="s">
        <v>556</v>
      </c>
      <c r="C31" s="984"/>
      <c r="D31" s="984"/>
      <c r="E31" s="984"/>
      <c r="F31" s="984"/>
      <c r="G31" s="328">
        <v>52</v>
      </c>
      <c r="H31" s="329"/>
    </row>
    <row r="32" spans="1:8" s="231" customFormat="1" ht="15.05" customHeight="1">
      <c r="A32" s="475" t="s">
        <v>537</v>
      </c>
      <c r="B32" s="1027" t="s">
        <v>557</v>
      </c>
      <c r="C32" s="1028"/>
      <c r="D32" s="1028"/>
      <c r="E32" s="1028"/>
      <c r="F32" s="1028"/>
      <c r="G32" s="328">
        <v>53</v>
      </c>
      <c r="H32" s="329"/>
    </row>
    <row r="33" spans="1:11" s="231" customFormat="1" ht="15.05" customHeight="1">
      <c r="A33" s="475" t="s">
        <v>539</v>
      </c>
      <c r="B33" s="1025" t="s">
        <v>558</v>
      </c>
      <c r="C33" s="1025"/>
      <c r="D33" s="1025"/>
      <c r="E33" s="1025"/>
      <c r="F33" s="1025"/>
      <c r="G33" s="328">
        <v>54</v>
      </c>
      <c r="H33" s="329"/>
    </row>
    <row r="34" spans="1:11" s="231" customFormat="1" ht="15.05" customHeight="1">
      <c r="A34" s="475" t="s">
        <v>541</v>
      </c>
      <c r="B34" s="1025" t="s">
        <v>559</v>
      </c>
      <c r="C34" s="1025"/>
      <c r="D34" s="1025"/>
      <c r="E34" s="1025"/>
      <c r="F34" s="1025"/>
      <c r="G34" s="328">
        <v>55</v>
      </c>
      <c r="H34" s="329"/>
      <c r="I34" s="329"/>
      <c r="J34" s="329"/>
      <c r="K34" s="329"/>
    </row>
    <row r="35" spans="1:11" s="231" customFormat="1" ht="19.5" customHeight="1">
      <c r="A35" s="475" t="s">
        <v>738</v>
      </c>
      <c r="B35" s="1025" t="s">
        <v>560</v>
      </c>
      <c r="C35" s="1025"/>
      <c r="D35" s="1025"/>
      <c r="E35" s="1025"/>
      <c r="F35" s="1025"/>
      <c r="G35" s="328" t="s">
        <v>730</v>
      </c>
      <c r="H35" s="329"/>
      <c r="I35" s="329"/>
      <c r="J35" s="329"/>
      <c r="K35" s="329"/>
    </row>
    <row r="36" spans="1:11" s="231" customFormat="1" ht="19.5" customHeight="1">
      <c r="A36" s="475" t="s">
        <v>739</v>
      </c>
      <c r="B36" s="1025" t="s">
        <v>560</v>
      </c>
      <c r="C36" s="1025"/>
      <c r="D36" s="1025"/>
      <c r="E36" s="1025"/>
      <c r="F36" s="1025"/>
      <c r="G36" s="328" t="s">
        <v>731</v>
      </c>
      <c r="H36" s="329"/>
      <c r="I36" s="329"/>
      <c r="J36" s="329"/>
      <c r="K36" s="329"/>
    </row>
    <row r="37" spans="1:11" s="231" customFormat="1" ht="16.55" customHeight="1">
      <c r="A37" s="329" t="s">
        <v>545</v>
      </c>
      <c r="B37" s="1027" t="s">
        <v>561</v>
      </c>
      <c r="C37" s="1028"/>
      <c r="D37" s="1028"/>
      <c r="E37" s="1028"/>
      <c r="F37" s="1028"/>
      <c r="G37" s="328">
        <v>58</v>
      </c>
      <c r="H37" s="329"/>
      <c r="I37" s="329"/>
      <c r="J37" s="329"/>
      <c r="K37" s="329"/>
    </row>
    <row r="38" spans="1:11" s="231" customFormat="1" ht="30.8" customHeight="1">
      <c r="A38" s="329" t="s">
        <v>547</v>
      </c>
      <c r="B38" s="1027" t="s">
        <v>562</v>
      </c>
      <c r="C38" s="1027"/>
      <c r="D38" s="1027"/>
      <c r="E38" s="1027"/>
      <c r="F38" s="1027"/>
      <c r="G38" s="328">
        <v>60</v>
      </c>
      <c r="H38" s="329"/>
      <c r="I38" s="329"/>
      <c r="J38" s="329"/>
      <c r="K38" s="329"/>
    </row>
    <row r="39" spans="1:11" s="231" customFormat="1" ht="37.5" customHeight="1">
      <c r="A39" s="329" t="s">
        <v>548</v>
      </c>
      <c r="B39" s="1027" t="s">
        <v>563</v>
      </c>
      <c r="C39" s="1027"/>
      <c r="D39" s="1027"/>
      <c r="E39" s="1027"/>
      <c r="F39" s="1027"/>
      <c r="G39" s="328">
        <v>61</v>
      </c>
      <c r="H39" s="329"/>
      <c r="I39" s="329"/>
      <c r="J39" s="329"/>
      <c r="K39" s="403"/>
    </row>
    <row r="40" spans="1:11" s="231" customFormat="1" ht="11.95" customHeight="1">
      <c r="A40" s="238"/>
      <c r="B40" s="329"/>
      <c r="C40" s="329"/>
      <c r="D40" s="329"/>
      <c r="E40" s="329"/>
      <c r="F40" s="329"/>
      <c r="G40" s="329"/>
      <c r="H40" s="329"/>
      <c r="I40" s="329"/>
      <c r="J40" s="329"/>
      <c r="K40" s="403"/>
    </row>
    <row r="41" spans="1:11" s="231" customFormat="1" ht="11.95" customHeight="1">
      <c r="A41" s="329"/>
      <c r="B41" s="99"/>
      <c r="C41" s="329"/>
      <c r="D41" s="329"/>
      <c r="E41" s="329"/>
      <c r="F41" s="329"/>
      <c r="G41" s="329"/>
      <c r="H41" s="329"/>
      <c r="I41" s="329"/>
      <c r="J41" s="329"/>
      <c r="K41" s="403"/>
    </row>
    <row r="42" spans="1:11" ht="15.05" customHeight="1">
      <c r="B42" s="329"/>
      <c r="C42" s="329"/>
      <c r="D42" s="329"/>
      <c r="E42" s="329"/>
      <c r="F42" s="329"/>
      <c r="G42" s="329"/>
      <c r="H42" s="329"/>
    </row>
    <row r="43" spans="1:11" ht="15.05" customHeight="1">
      <c r="A43" s="240"/>
    </row>
    <row r="44" spans="1:11" ht="15.05" customHeight="1">
      <c r="B44" s="983"/>
      <c r="C44" s="983"/>
      <c r="D44" s="983"/>
      <c r="E44" s="983"/>
      <c r="F44" s="983"/>
    </row>
  </sheetData>
  <mergeCells count="34">
    <mergeCell ref="B31:F31"/>
    <mergeCell ref="B26:F26"/>
    <mergeCell ref="B44:F44"/>
    <mergeCell ref="B27:F27"/>
    <mergeCell ref="B28:F28"/>
    <mergeCell ref="B29:F29"/>
    <mergeCell ref="B30:F30"/>
    <mergeCell ref="B35:F35"/>
    <mergeCell ref="B37:F37"/>
    <mergeCell ref="B38:F38"/>
    <mergeCell ref="B39:F39"/>
    <mergeCell ref="A1:G1"/>
    <mergeCell ref="B7:F7"/>
    <mergeCell ref="B8:F8"/>
    <mergeCell ref="B9:F9"/>
    <mergeCell ref="B10:F10"/>
    <mergeCell ref="A2:G2"/>
    <mergeCell ref="A3:G3"/>
    <mergeCell ref="B21:F21"/>
    <mergeCell ref="B36:F36"/>
    <mergeCell ref="B19:F19"/>
    <mergeCell ref="B11:F11"/>
    <mergeCell ref="B18:F18"/>
    <mergeCell ref="B12:F12"/>
    <mergeCell ref="B14:F14"/>
    <mergeCell ref="B15:F15"/>
    <mergeCell ref="B16:F16"/>
    <mergeCell ref="B22:F22"/>
    <mergeCell ref="B32:F32"/>
    <mergeCell ref="B33:F33"/>
    <mergeCell ref="B34:F34"/>
    <mergeCell ref="B20:F20"/>
    <mergeCell ref="B17:F17"/>
    <mergeCell ref="B13:F13"/>
  </mergeCells>
  <phoneticPr fontId="47" type="noConversion"/>
  <hyperlinks>
    <hyperlink ref="G7" location="'44'!A1" display="'44'!A1" xr:uid="{00000000-0004-0000-2900-000000000000}"/>
    <hyperlink ref="G37" location="'58'!A1" display="'58'!A1" xr:uid="{00000000-0004-0000-2900-00000F000000}"/>
    <hyperlink ref="G38" location="'60'!A1" display="'60'!A1" xr:uid="{00000000-0004-0000-2900-000010000000}"/>
    <hyperlink ref="G35" location="'57'!A1" display="'57'!A1" xr:uid="{00000000-0004-0000-2900-000011000000}"/>
    <hyperlink ref="G34" location="'55'!A1" display="'55'!A1" xr:uid="{00000000-0004-0000-2900-000012000000}"/>
    <hyperlink ref="G33" location="'54'!A1" display="'54'!A1" xr:uid="{00000000-0004-0000-2900-000013000000}"/>
    <hyperlink ref="G32" location="'53'!A1" display="'53'!A1" xr:uid="{00000000-0004-0000-2900-000014000000}"/>
    <hyperlink ref="G31" location="'52'!A1" display="'52'!A1" xr:uid="{00000000-0004-0000-2900-000015000000}"/>
    <hyperlink ref="G30" location="'51'!A1" display="'51'!A1" xr:uid="{00000000-0004-0000-2900-000016000000}"/>
    <hyperlink ref="G29" location="'50'!A1" display="'50'!A1" xr:uid="{00000000-0004-0000-2900-000017000000}"/>
    <hyperlink ref="G28" location="'47'!A1" display="'47'!A1" xr:uid="{00000000-0004-0000-2900-000018000000}"/>
    <hyperlink ref="G27" location="'45'!A1" display="'45'!A1" xr:uid="{00000000-0004-0000-2900-000019000000}"/>
    <hyperlink ref="G26" location="'44'!A1" display="'44'!A1" xr:uid="{00000000-0004-0000-2900-00001A000000}"/>
    <hyperlink ref="G8:G22" location="'43'!A1" display="'43'!A1" xr:uid="{FBFB2FC5-56C0-4DCE-A4AD-8A6A3A667A7F}"/>
    <hyperlink ref="G8" location="'45'!A1" display="'45'!A1" xr:uid="{2AFC091E-B10F-44B6-9EFE-9DE3874C503F}"/>
    <hyperlink ref="G9" location="'46'!A1" display="'46'!A1" xr:uid="{655A4661-2893-422F-908E-F3F539871BA1}"/>
    <hyperlink ref="G10" location="'47'!A1" display="'47'!A1" xr:uid="{DDA651F3-1D6E-4642-8906-6E427B1742D0}"/>
    <hyperlink ref="G11" location="'48'!A1" display="'48'!A1" xr:uid="{8594B57E-1C81-4B35-9739-E62922889CA9}"/>
    <hyperlink ref="G12" location="'49'!A1" display="'49'!A1" xr:uid="{E14D4818-DE84-4C58-A507-C2FC8C9C7BE8}"/>
    <hyperlink ref="G13" location="'50'!A1" display="'50'!A1" xr:uid="{67564D7F-784F-4BE3-8688-B8674F0042E3}"/>
    <hyperlink ref="G14" location="'51'!A1" display="'51'!A1" xr:uid="{455EEDBB-1CDE-46D2-8A3E-1A940CC53217}"/>
    <hyperlink ref="G15" location="'52'!A1" display="'52'!A1" xr:uid="{124394AD-1EE0-426B-BEF9-DDB6A996CBAC}"/>
    <hyperlink ref="G16" location="'53'!A1" display="'53'!A1" xr:uid="{AA079403-F594-47F8-A3A7-8DF820D61043}"/>
    <hyperlink ref="G17" location="'54'!A1" display="'54'!A1" xr:uid="{F646339F-DB31-4847-AFB0-B7CA683080A4}"/>
    <hyperlink ref="G18" location="'55'!A1" display="'55'!A1" xr:uid="{AF0CDB29-F6DF-4EDC-A4D6-85A17DF5C187}"/>
    <hyperlink ref="G19" location="'56'!A1" display="'56'!A1" xr:uid="{CA53EDFB-A20F-47F9-9239-CE83BFF16D7A}"/>
    <hyperlink ref="G20" location="'57'!A1" display="'57'!A1" xr:uid="{AC2F1343-DBBB-4BCB-A715-470D1A20C0F7}"/>
    <hyperlink ref="G22" location="'59'!A1" display="'59'!A1" xr:uid="{C47FE304-B2D3-4B63-9810-C730BFB6401F}"/>
    <hyperlink ref="G39" location="'61'!A1" display="'61'!A1" xr:uid="{E2CE65FC-9153-4DB8-A450-CDF82036A244}"/>
    <hyperlink ref="G21" location="'57'!A1" display="'57'!A1" xr:uid="{59DC15B9-6FD2-4151-B869-0F2F296E4113}"/>
    <hyperlink ref="G36" location="'57'!A1" display="'57'!A1" xr:uid="{22EA334E-EE79-4BD6-8006-AC84B9341546}"/>
  </hyperlinks>
  <pageMargins left="0.70866141732283472" right="0.70866141732283472" top="1.299212598425197" bottom="0.74803149606299213" header="0.31496062992125984" footer="0.31496062992125984"/>
  <pageSetup paperSize="126" scale="95" orientation="portrait" r:id="rId1"/>
  <headerFooter differentFirst="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BC56"/>
  <sheetViews>
    <sheetView topLeftCell="A3" zoomScale="90" zoomScaleNormal="90" workbookViewId="0">
      <selection activeCell="T16" sqref="T16"/>
    </sheetView>
  </sheetViews>
  <sheetFormatPr baseColWidth="10" defaultColWidth="10.9140625" defaultRowHeight="11.8"/>
  <cols>
    <col min="1" max="1" width="0.6640625" style="1" customWidth="1"/>
    <col min="2" max="2" width="10.08203125" style="1" customWidth="1"/>
    <col min="3" max="7" width="10.75" style="1" customWidth="1"/>
    <col min="8" max="8" width="4.33203125" style="1" customWidth="1"/>
    <col min="9" max="9" width="7.9140625" style="1" hidden="1" customWidth="1"/>
    <col min="10" max="10" width="5.4140625" style="1" hidden="1" customWidth="1"/>
    <col min="11" max="15" width="7.9140625" style="1" hidden="1" customWidth="1"/>
    <col min="16" max="16" width="5.4140625" style="1" hidden="1" customWidth="1"/>
    <col min="17" max="17" width="6.6640625" style="1" hidden="1" customWidth="1"/>
    <col min="18" max="19" width="7.9140625" style="1" hidden="1" customWidth="1"/>
    <col min="20" max="16384" width="10.9140625" style="1"/>
  </cols>
  <sheetData>
    <row r="1" spans="2:55" s="15" customFormat="1" ht="13.1">
      <c r="B1" s="791" t="s">
        <v>89</v>
      </c>
      <c r="C1" s="791"/>
      <c r="D1" s="791"/>
      <c r="E1" s="791"/>
      <c r="F1" s="791"/>
      <c r="G1" s="791"/>
      <c r="I1" s="1036" t="s">
        <v>564</v>
      </c>
      <c r="J1" s="1031"/>
      <c r="K1" s="1031"/>
      <c r="L1" s="1031"/>
      <c r="M1" s="1031"/>
      <c r="N1" s="1031"/>
      <c r="O1" s="1031"/>
      <c r="P1" s="1031"/>
      <c r="Q1" s="1031"/>
      <c r="R1" s="1031"/>
      <c r="S1" s="1031"/>
    </row>
    <row r="2" spans="2:55" s="15" customFormat="1" ht="13.1">
      <c r="B2" s="17"/>
      <c r="C2" s="17"/>
      <c r="D2" s="17"/>
      <c r="E2" s="17"/>
      <c r="F2" s="17"/>
      <c r="G2" s="17"/>
    </row>
    <row r="3" spans="2:55" s="15" customFormat="1" ht="13.75" customHeight="1">
      <c r="B3" s="898" t="s">
        <v>750</v>
      </c>
      <c r="C3" s="898"/>
      <c r="D3" s="898"/>
      <c r="E3" s="898"/>
      <c r="F3" s="898"/>
      <c r="G3" s="898"/>
      <c r="I3" s="1030" t="s">
        <v>565</v>
      </c>
      <c r="J3" s="1031"/>
      <c r="K3" s="1031"/>
      <c r="L3" s="1031"/>
      <c r="M3" s="1031"/>
      <c r="N3" s="1031"/>
      <c r="O3" s="1031"/>
      <c r="P3" s="1031"/>
      <c r="Q3" s="1031"/>
      <c r="R3" s="1031"/>
      <c r="S3" s="1031"/>
    </row>
    <row r="4" spans="2:55" s="15" customFormat="1" ht="13.1">
      <c r="B4" s="791" t="s">
        <v>90</v>
      </c>
      <c r="C4" s="791"/>
      <c r="D4" s="791"/>
      <c r="E4" s="791"/>
      <c r="F4" s="791"/>
      <c r="G4" s="791"/>
    </row>
    <row r="5" spans="2:55" s="22" customFormat="1" ht="29.95" customHeight="1">
      <c r="B5" s="157" t="s">
        <v>91</v>
      </c>
      <c r="C5" s="100" t="s">
        <v>436</v>
      </c>
      <c r="D5" s="100" t="s">
        <v>93</v>
      </c>
      <c r="E5" s="100" t="s">
        <v>94</v>
      </c>
      <c r="F5" s="100" t="s">
        <v>95</v>
      </c>
      <c r="G5" s="100" t="s">
        <v>437</v>
      </c>
      <c r="H5" s="15"/>
      <c r="I5" s="1030" t="s">
        <v>566</v>
      </c>
      <c r="J5" s="1031"/>
      <c r="K5" s="1031"/>
      <c r="L5" s="1031"/>
      <c r="M5" s="1031"/>
      <c r="N5" s="1031"/>
      <c r="O5" s="1031"/>
      <c r="P5" s="1031"/>
      <c r="Q5" s="1031"/>
      <c r="R5" s="1031"/>
      <c r="S5" s="1031"/>
      <c r="T5" s="22" t="s">
        <v>97</v>
      </c>
    </row>
    <row r="6" spans="2:55" s="22" customFormat="1" ht="15.55" customHeight="1">
      <c r="B6" s="525">
        <v>45413</v>
      </c>
      <c r="C6" s="640">
        <v>174.91</v>
      </c>
      <c r="D6" s="640">
        <v>527.61</v>
      </c>
      <c r="E6" s="640">
        <v>526.4</v>
      </c>
      <c r="F6" s="640">
        <v>53.76</v>
      </c>
      <c r="G6" s="640">
        <v>176.12</v>
      </c>
      <c r="T6" s="22" t="s">
        <v>97</v>
      </c>
    </row>
    <row r="7" spans="2:55" s="22" customFormat="1" ht="15.75" customHeight="1">
      <c r="B7" s="525">
        <v>45444</v>
      </c>
      <c r="C7" s="640">
        <v>174.91</v>
      </c>
      <c r="D7" s="640">
        <v>527.61</v>
      </c>
      <c r="E7" s="640">
        <v>526.4</v>
      </c>
      <c r="F7" s="640">
        <v>53.76</v>
      </c>
      <c r="G7" s="640">
        <v>176.12</v>
      </c>
      <c r="I7" s="1030" t="s">
        <v>567</v>
      </c>
      <c r="J7" s="1031"/>
      <c r="K7" s="1031"/>
      <c r="L7" s="1031"/>
      <c r="M7" s="1031"/>
      <c r="N7" s="1031"/>
      <c r="O7" s="1031"/>
      <c r="P7" s="1031"/>
      <c r="Q7" s="1031"/>
      <c r="R7" s="1031"/>
      <c r="S7" s="1031"/>
    </row>
    <row r="8" spans="2:55" s="22" customFormat="1" ht="13.1" thickBot="1">
      <c r="B8" s="525">
        <v>45474</v>
      </c>
      <c r="C8" s="640">
        <v>177.19</v>
      </c>
      <c r="D8" s="640">
        <v>528.16999999999996</v>
      </c>
      <c r="E8" s="640">
        <v>527.27</v>
      </c>
      <c r="F8" s="640">
        <v>54.58</v>
      </c>
      <c r="G8" s="640">
        <v>178.09</v>
      </c>
      <c r="I8" s="158"/>
      <c r="J8" s="158"/>
      <c r="K8" s="158"/>
      <c r="L8" s="158"/>
      <c r="M8" s="158"/>
      <c r="N8" s="158"/>
      <c r="O8" s="158"/>
      <c r="P8" s="158"/>
      <c r="Q8" s="158"/>
      <c r="R8" s="158"/>
      <c r="S8" s="158"/>
    </row>
    <row r="9" spans="2:55" s="22" customFormat="1" ht="15.75" customHeight="1" thickTop="1" thickBot="1">
      <c r="B9" s="525">
        <v>45505</v>
      </c>
      <c r="C9" s="640">
        <v>176.69</v>
      </c>
      <c r="D9" s="640">
        <v>527.71</v>
      </c>
      <c r="E9" s="640">
        <v>526.96</v>
      </c>
      <c r="F9" s="640">
        <v>54.42</v>
      </c>
      <c r="G9" s="640">
        <v>177.43</v>
      </c>
      <c r="I9" s="1032" t="s">
        <v>568</v>
      </c>
      <c r="J9" s="1033"/>
      <c r="K9" s="159" t="s">
        <v>569</v>
      </c>
      <c r="L9" s="159" t="s">
        <v>570</v>
      </c>
      <c r="M9" s="159" t="s">
        <v>571</v>
      </c>
      <c r="N9" s="159" t="s">
        <v>572</v>
      </c>
      <c r="O9" s="159" t="s">
        <v>573</v>
      </c>
      <c r="P9" s="1034" t="s">
        <v>574</v>
      </c>
      <c r="Q9" s="1035"/>
      <c r="R9" s="158"/>
      <c r="S9" s="158"/>
    </row>
    <row r="10" spans="2:55" s="22" customFormat="1" ht="15.75" customHeight="1" thickTop="1">
      <c r="B10" s="525">
        <v>45536</v>
      </c>
      <c r="C10" s="640"/>
      <c r="D10" s="640"/>
      <c r="E10" s="640"/>
      <c r="F10" s="640"/>
      <c r="G10" s="640"/>
      <c r="I10" s="160"/>
      <c r="J10" s="161"/>
      <c r="K10" s="162"/>
      <c r="L10" s="162"/>
      <c r="M10" s="162"/>
      <c r="N10" s="162"/>
      <c r="O10" s="162"/>
      <c r="P10" s="1037"/>
      <c r="Q10" s="1038"/>
      <c r="R10" s="158"/>
      <c r="S10" s="158"/>
      <c r="T10" s="163"/>
      <c r="U10" s="163"/>
      <c r="V10" s="163"/>
      <c r="W10" s="163"/>
      <c r="X10" s="163"/>
      <c r="Y10" s="164"/>
      <c r="Z10" s="94"/>
    </row>
    <row r="11" spans="2:55" s="22" customFormat="1" ht="12.45" customHeight="1">
      <c r="B11" s="525">
        <v>45566</v>
      </c>
      <c r="C11" s="640"/>
      <c r="D11" s="640"/>
      <c r="E11" s="640"/>
      <c r="F11" s="640"/>
      <c r="G11" s="640"/>
      <c r="I11" s="1039" t="s">
        <v>575</v>
      </c>
      <c r="J11" s="165" t="s">
        <v>576</v>
      </c>
      <c r="K11" s="166">
        <v>103.46</v>
      </c>
      <c r="L11" s="166">
        <v>469.5</v>
      </c>
      <c r="M11" s="166">
        <v>39.659999999999997</v>
      </c>
      <c r="N11" s="166">
        <v>483.68</v>
      </c>
      <c r="O11" s="166">
        <v>41.62</v>
      </c>
      <c r="P11" s="1040">
        <v>89.28</v>
      </c>
      <c r="Q11" s="1031"/>
      <c r="R11" s="158"/>
      <c r="S11" s="158"/>
      <c r="T11" s="167"/>
      <c r="U11" s="390"/>
      <c r="V11" s="167"/>
      <c r="W11" s="167"/>
      <c r="X11" s="167"/>
      <c r="Y11" s="168"/>
      <c r="Z11" s="169"/>
    </row>
    <row r="12" spans="2:55" s="22" customFormat="1" ht="15.75" customHeight="1">
      <c r="B12" s="525">
        <v>45597</v>
      </c>
      <c r="C12" s="640"/>
      <c r="D12" s="640"/>
      <c r="E12" s="640"/>
      <c r="F12" s="640"/>
      <c r="G12" s="640"/>
      <c r="H12" s="381"/>
      <c r="I12" s="1031"/>
      <c r="J12" s="165" t="s">
        <v>577</v>
      </c>
      <c r="K12" s="166">
        <v>103.65</v>
      </c>
      <c r="L12" s="166">
        <v>471.09</v>
      </c>
      <c r="M12" s="166">
        <v>40.020000000000003</v>
      </c>
      <c r="N12" s="166">
        <v>484.23</v>
      </c>
      <c r="O12" s="166">
        <v>41.66</v>
      </c>
      <c r="P12" s="1040">
        <v>90.51</v>
      </c>
      <c r="Q12" s="1031"/>
      <c r="R12" s="158"/>
      <c r="S12" s="158"/>
      <c r="T12" s="167"/>
      <c r="U12" s="167"/>
      <c r="V12" s="167"/>
      <c r="W12" s="167"/>
      <c r="X12" s="167" t="s">
        <v>97</v>
      </c>
      <c r="Y12" s="168"/>
      <c r="Z12" s="169"/>
    </row>
    <row r="13" spans="2:55" s="22" customFormat="1" ht="15.75" customHeight="1">
      <c r="B13" s="525">
        <v>45627</v>
      </c>
      <c r="C13" s="640"/>
      <c r="D13" s="640"/>
      <c r="E13" s="640"/>
      <c r="F13" s="640"/>
      <c r="G13" s="640"/>
      <c r="I13" s="1039" t="s">
        <v>578</v>
      </c>
      <c r="J13" s="165" t="s">
        <v>576</v>
      </c>
      <c r="K13" s="166">
        <v>1.55</v>
      </c>
      <c r="L13" s="166">
        <v>6.11</v>
      </c>
      <c r="M13" s="166">
        <v>0.76</v>
      </c>
      <c r="N13" s="166">
        <v>3.85</v>
      </c>
      <c r="O13" s="166">
        <v>3.24</v>
      </c>
      <c r="P13" s="1040">
        <v>1.33</v>
      </c>
      <c r="Q13" s="1031"/>
      <c r="R13" s="158"/>
      <c r="S13" s="158"/>
    </row>
    <row r="14" spans="2:55" s="22" customFormat="1" ht="15.75" customHeight="1">
      <c r="B14" s="525">
        <v>45658</v>
      </c>
      <c r="C14" s="640"/>
      <c r="D14" s="640"/>
      <c r="E14" s="640"/>
      <c r="F14" s="640"/>
      <c r="G14" s="640"/>
      <c r="H14" s="381"/>
      <c r="I14" s="1031"/>
      <c r="J14" s="165" t="s">
        <v>577</v>
      </c>
      <c r="K14" s="166">
        <v>1.55</v>
      </c>
      <c r="L14" s="166">
        <v>6.11</v>
      </c>
      <c r="M14" s="166">
        <v>0.76</v>
      </c>
      <c r="N14" s="166">
        <v>3.85</v>
      </c>
      <c r="O14" s="166">
        <v>3.18</v>
      </c>
      <c r="P14" s="1040">
        <v>1.39</v>
      </c>
      <c r="Q14" s="1031"/>
      <c r="R14" s="158"/>
      <c r="S14" s="158"/>
      <c r="T14" s="167" t="s">
        <v>97</v>
      </c>
      <c r="U14" s="167"/>
      <c r="V14" s="167"/>
      <c r="W14" s="167"/>
      <c r="X14" s="167"/>
      <c r="Y14" s="167"/>
      <c r="Z14" s="167"/>
      <c r="AA14" s="167"/>
      <c r="AB14" s="167"/>
      <c r="AC14" s="167"/>
    </row>
    <row r="15" spans="2:55" s="170" customFormat="1" ht="15.75" customHeight="1">
      <c r="B15" s="525">
        <v>45689</v>
      </c>
      <c r="C15" s="640"/>
      <c r="D15" s="640"/>
      <c r="E15" s="640"/>
      <c r="F15" s="640"/>
      <c r="G15" s="640"/>
      <c r="H15" s="381"/>
      <c r="I15" s="1039" t="s">
        <v>579</v>
      </c>
      <c r="J15" s="165" t="s">
        <v>576</v>
      </c>
      <c r="K15" s="166">
        <v>101.91</v>
      </c>
      <c r="L15" s="166">
        <v>463.39</v>
      </c>
      <c r="M15" s="166">
        <v>38.9</v>
      </c>
      <c r="N15" s="166">
        <v>479.82</v>
      </c>
      <c r="O15" s="166">
        <v>38.380000000000003</v>
      </c>
      <c r="P15" s="1040">
        <v>87.96</v>
      </c>
      <c r="Q15" s="1031"/>
      <c r="R15" s="158"/>
      <c r="S15" s="158"/>
      <c r="T15" s="167"/>
      <c r="U15" s="167"/>
      <c r="V15" s="167"/>
      <c r="W15" s="167"/>
      <c r="X15" s="167"/>
      <c r="Y15" s="167"/>
      <c r="Z15" s="167"/>
      <c r="AA15" s="167"/>
      <c r="AB15" s="167"/>
      <c r="AC15" s="167"/>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row>
    <row r="16" spans="2:55" s="170" customFormat="1" ht="15.75" customHeight="1">
      <c r="B16" s="525">
        <v>45717</v>
      </c>
      <c r="C16" s="640"/>
      <c r="D16" s="640"/>
      <c r="E16" s="640"/>
      <c r="F16" s="640"/>
      <c r="G16" s="640"/>
      <c r="H16" s="714"/>
      <c r="I16" s="1039"/>
      <c r="J16" s="165"/>
      <c r="K16" s="166"/>
      <c r="L16" s="166"/>
      <c r="M16" s="166"/>
      <c r="N16" s="166"/>
      <c r="O16" s="166"/>
      <c r="P16" s="166"/>
      <c r="Q16" s="171"/>
      <c r="R16" s="158"/>
      <c r="S16" s="158"/>
      <c r="T16" s="167"/>
      <c r="U16" s="167"/>
      <c r="V16" s="167"/>
      <c r="W16" s="167"/>
      <c r="X16" s="167"/>
      <c r="Y16" s="167"/>
      <c r="Z16" s="167"/>
      <c r="AA16" s="167"/>
      <c r="AB16" s="167"/>
      <c r="AC16" s="167"/>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row>
    <row r="17" spans="2:55" s="170" customFormat="1" ht="15.75" customHeight="1">
      <c r="B17" s="525">
        <v>45748</v>
      </c>
      <c r="C17" s="640"/>
      <c r="D17" s="640"/>
      <c r="E17" s="640"/>
      <c r="F17" s="640"/>
      <c r="G17" s="640"/>
      <c r="H17" s="381"/>
      <c r="I17" s="1031"/>
      <c r="J17" s="165" t="s">
        <v>577</v>
      </c>
      <c r="K17" s="166">
        <v>102.1</v>
      </c>
      <c r="L17" s="166">
        <v>464.98</v>
      </c>
      <c r="M17" s="166">
        <v>39.26</v>
      </c>
      <c r="N17" s="166">
        <v>480.38</v>
      </c>
      <c r="O17" s="166">
        <v>38.479999999999997</v>
      </c>
      <c r="P17" s="1040">
        <v>89.12</v>
      </c>
      <c r="Q17" s="1031"/>
      <c r="R17" s="158"/>
      <c r="S17" s="158"/>
      <c r="T17" s="167"/>
      <c r="U17" s="167"/>
      <c r="V17" s="167"/>
      <c r="W17" s="167"/>
      <c r="X17" s="167"/>
      <c r="Y17" s="167"/>
      <c r="Z17" s="167"/>
      <c r="AA17" s="167"/>
      <c r="AB17" s="167"/>
      <c r="AC17" s="167"/>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row>
    <row r="18" spans="2:55" s="22" customFormat="1" ht="19" customHeight="1">
      <c r="B18" s="810" t="s">
        <v>115</v>
      </c>
      <c r="C18" s="810"/>
      <c r="D18" s="810"/>
      <c r="E18" s="810"/>
      <c r="F18" s="810"/>
      <c r="G18" s="810"/>
      <c r="I18" s="171"/>
      <c r="J18" s="165" t="s">
        <v>577</v>
      </c>
      <c r="K18" s="166">
        <v>30.25</v>
      </c>
      <c r="L18" s="166">
        <v>154</v>
      </c>
      <c r="M18" s="166">
        <v>0.72</v>
      </c>
      <c r="N18" s="166">
        <v>134.80000000000001</v>
      </c>
      <c r="O18" s="166">
        <v>30.2</v>
      </c>
      <c r="P18" s="1040">
        <v>19.97</v>
      </c>
      <c r="Q18" s="1031"/>
      <c r="T18" s="167"/>
      <c r="U18" s="167"/>
      <c r="V18" s="167"/>
      <c r="W18" s="167"/>
      <c r="X18" s="167"/>
      <c r="Y18" s="167"/>
      <c r="Z18" s="167"/>
      <c r="AA18" s="167"/>
      <c r="AB18" s="167"/>
      <c r="AC18" s="167"/>
    </row>
    <row r="19" spans="2:55" ht="16.55" customHeight="1">
      <c r="C19" s="172"/>
      <c r="D19" s="172"/>
      <c r="E19" s="172"/>
      <c r="F19" s="172"/>
      <c r="G19" s="172"/>
      <c r="I19" s="1039" t="s">
        <v>580</v>
      </c>
      <c r="J19" s="165" t="s">
        <v>576</v>
      </c>
      <c r="K19" s="166">
        <v>17.690000000000001</v>
      </c>
      <c r="L19" s="166">
        <v>100</v>
      </c>
      <c r="M19" s="166">
        <v>0</v>
      </c>
      <c r="N19" s="166">
        <v>98</v>
      </c>
      <c r="O19" s="166">
        <v>8.5</v>
      </c>
      <c r="P19" s="1040">
        <v>11.19</v>
      </c>
      <c r="Q19" s="1031"/>
    </row>
    <row r="20" spans="2:55" ht="13.1">
      <c r="I20" s="1031"/>
      <c r="J20" s="165" t="s">
        <v>577</v>
      </c>
      <c r="K20" s="166">
        <v>17.77</v>
      </c>
      <c r="L20" s="166">
        <v>103</v>
      </c>
      <c r="M20" s="166">
        <v>0</v>
      </c>
      <c r="N20" s="166">
        <v>98.9</v>
      </c>
      <c r="O20" s="166">
        <v>8.6</v>
      </c>
      <c r="P20" s="1040">
        <v>13.27</v>
      </c>
      <c r="Q20" s="1031"/>
    </row>
    <row r="21" spans="2:55" ht="13.1">
      <c r="I21" s="1039" t="s">
        <v>581</v>
      </c>
      <c r="J21" s="165" t="s">
        <v>576</v>
      </c>
      <c r="K21" s="166">
        <v>1.56</v>
      </c>
      <c r="L21" s="166">
        <v>6.9</v>
      </c>
      <c r="M21" s="166">
        <v>0.02</v>
      </c>
      <c r="N21" s="166">
        <v>2.8</v>
      </c>
      <c r="O21" s="166">
        <v>4.5999999999999996</v>
      </c>
      <c r="P21" s="1040">
        <v>1.08</v>
      </c>
      <c r="Q21" s="1031"/>
    </row>
    <row r="22" spans="2:55" ht="15.05" customHeight="1">
      <c r="I22" s="1031"/>
      <c r="J22" s="165" t="s">
        <v>577</v>
      </c>
      <c r="K22" s="166">
        <v>1.56</v>
      </c>
      <c r="L22" s="166">
        <v>6.9</v>
      </c>
      <c r="M22" s="166">
        <v>0.02</v>
      </c>
      <c r="N22" s="166">
        <v>2.8</v>
      </c>
      <c r="O22" s="166">
        <v>4.5999999999999996</v>
      </c>
      <c r="P22" s="1040">
        <v>1.08</v>
      </c>
      <c r="Q22" s="1031"/>
    </row>
    <row r="23" spans="2:55" ht="10" customHeight="1">
      <c r="I23" s="1039" t="s">
        <v>582</v>
      </c>
      <c r="J23" s="165" t="s">
        <v>576</v>
      </c>
      <c r="K23" s="166">
        <v>10</v>
      </c>
      <c r="L23" s="166">
        <v>15.9</v>
      </c>
      <c r="M23" s="166">
        <v>0.3</v>
      </c>
      <c r="N23" s="166">
        <v>11.2</v>
      </c>
      <c r="O23" s="166">
        <v>10</v>
      </c>
      <c r="P23" s="1040">
        <v>5</v>
      </c>
      <c r="Q23" s="1031"/>
    </row>
    <row r="24" spans="2:55" ht="15.05" customHeight="1">
      <c r="I24" s="1031"/>
      <c r="J24" s="165" t="s">
        <v>577</v>
      </c>
      <c r="K24" s="166">
        <v>10</v>
      </c>
      <c r="L24" s="166">
        <v>15.9</v>
      </c>
      <c r="M24" s="166">
        <v>0.3</v>
      </c>
      <c r="N24" s="166">
        <v>11.2</v>
      </c>
      <c r="O24" s="166">
        <v>10</v>
      </c>
      <c r="P24" s="1040">
        <v>5</v>
      </c>
      <c r="Q24" s="1031"/>
    </row>
    <row r="25" spans="2:55" ht="15.05" customHeight="1">
      <c r="I25" s="1039" t="s">
        <v>583</v>
      </c>
      <c r="J25" s="165" t="s">
        <v>576</v>
      </c>
      <c r="K25" s="166">
        <v>0.93</v>
      </c>
      <c r="L25" s="166">
        <v>28.2</v>
      </c>
      <c r="M25" s="166">
        <v>0.4</v>
      </c>
      <c r="N25" s="166">
        <v>21.9</v>
      </c>
      <c r="O25" s="166">
        <v>7</v>
      </c>
      <c r="P25" s="1040">
        <v>0.63</v>
      </c>
      <c r="Q25" s="1031"/>
    </row>
    <row r="26" spans="2:55" ht="15.05" customHeight="1">
      <c r="I26" s="1031"/>
      <c r="J26" s="165" t="s">
        <v>577</v>
      </c>
      <c r="K26" s="166">
        <v>0.93</v>
      </c>
      <c r="L26" s="166">
        <v>28.2</v>
      </c>
      <c r="M26" s="166">
        <v>0.4</v>
      </c>
      <c r="N26" s="166">
        <v>21.9</v>
      </c>
      <c r="O26" s="166">
        <v>7</v>
      </c>
      <c r="P26" s="1040">
        <v>0.63</v>
      </c>
      <c r="Q26" s="1031"/>
    </row>
    <row r="27" spans="2:55" ht="15.05" customHeight="1">
      <c r="I27" s="1039" t="s">
        <v>584</v>
      </c>
      <c r="J27" s="165" t="s">
        <v>576</v>
      </c>
      <c r="K27" s="166">
        <v>10.77</v>
      </c>
      <c r="L27" s="166">
        <v>63.71</v>
      </c>
      <c r="M27" s="166">
        <v>13.84</v>
      </c>
      <c r="N27" s="166">
        <v>77.349999999999994</v>
      </c>
      <c r="O27" s="166">
        <v>1.1599999999999999</v>
      </c>
      <c r="P27" s="1040">
        <v>9.81</v>
      </c>
      <c r="Q27" s="1031"/>
    </row>
    <row r="28" spans="2:55" ht="15.05" customHeight="1">
      <c r="I28" s="1031"/>
      <c r="J28" s="165" t="s">
        <v>577</v>
      </c>
      <c r="K28" s="166">
        <v>10.83</v>
      </c>
      <c r="L28" s="166">
        <v>62.71</v>
      </c>
      <c r="M28" s="166">
        <v>13.94</v>
      </c>
      <c r="N28" s="166">
        <v>77.19</v>
      </c>
      <c r="O28" s="166">
        <v>1.1599999999999999</v>
      </c>
      <c r="P28" s="1040">
        <v>9.1300000000000008</v>
      </c>
      <c r="Q28" s="1031"/>
    </row>
    <row r="29" spans="2:55" ht="15.05" customHeight="1">
      <c r="I29" s="1039" t="s">
        <v>585</v>
      </c>
      <c r="J29" s="165" t="s">
        <v>576</v>
      </c>
      <c r="K29" s="166">
        <v>0.65</v>
      </c>
      <c r="L29" s="166">
        <v>7.91</v>
      </c>
      <c r="M29" s="166">
        <v>0.7</v>
      </c>
      <c r="N29" s="166">
        <v>7.9</v>
      </c>
      <c r="O29" s="166">
        <v>0.83</v>
      </c>
      <c r="P29" s="1040">
        <v>0.53</v>
      </c>
      <c r="Q29" s="1031"/>
    </row>
    <row r="30" spans="2:55" ht="15.05" customHeight="1">
      <c r="I30" s="1031"/>
      <c r="J30" s="165" t="s">
        <v>577</v>
      </c>
      <c r="K30" s="166">
        <v>0.69</v>
      </c>
      <c r="L30" s="166">
        <v>7.91</v>
      </c>
      <c r="M30" s="166">
        <v>0.7</v>
      </c>
      <c r="N30" s="166">
        <v>7.94</v>
      </c>
      <c r="O30" s="166">
        <v>0.83</v>
      </c>
      <c r="P30" s="1040">
        <v>0.53</v>
      </c>
      <c r="Q30" s="1031"/>
    </row>
    <row r="31" spans="2:55" ht="15.05" customHeight="1">
      <c r="I31" s="1039" t="s">
        <v>586</v>
      </c>
      <c r="J31" s="165" t="s">
        <v>576</v>
      </c>
      <c r="K31" s="166">
        <v>1.23</v>
      </c>
      <c r="L31" s="166">
        <v>2.0099999999999998</v>
      </c>
      <c r="M31" s="166">
        <v>1.5</v>
      </c>
      <c r="N31" s="166">
        <v>3.28</v>
      </c>
      <c r="O31" s="166">
        <v>0.28000000000000003</v>
      </c>
      <c r="P31" s="1040">
        <v>1.18</v>
      </c>
      <c r="Q31" s="1031"/>
    </row>
    <row r="32" spans="2:55" ht="15.05" customHeight="1">
      <c r="I32" s="1031"/>
      <c r="J32" s="165" t="s">
        <v>577</v>
      </c>
      <c r="K32" s="166">
        <v>1.23</v>
      </c>
      <c r="L32" s="166">
        <v>2.0099999999999998</v>
      </c>
      <c r="M32" s="166">
        <v>1.5</v>
      </c>
      <c r="N32" s="166">
        <v>3.28</v>
      </c>
      <c r="O32" s="166">
        <v>0.28000000000000003</v>
      </c>
      <c r="P32" s="1040">
        <v>1.18</v>
      </c>
      <c r="Q32" s="1031"/>
    </row>
    <row r="33" spans="9:17" ht="15.05" customHeight="1">
      <c r="I33" s="1039" t="s">
        <v>587</v>
      </c>
      <c r="J33" s="165" t="s">
        <v>576</v>
      </c>
      <c r="K33" s="166">
        <v>3.95</v>
      </c>
      <c r="L33" s="166">
        <v>36.299999999999997</v>
      </c>
      <c r="M33" s="166">
        <v>1.9</v>
      </c>
      <c r="N33" s="166">
        <v>38.299999999999997</v>
      </c>
      <c r="O33" s="166">
        <v>0</v>
      </c>
      <c r="P33" s="1040">
        <v>3.85</v>
      </c>
      <c r="Q33" s="1031"/>
    </row>
    <row r="34" spans="9:17" ht="15.05" customHeight="1">
      <c r="I34" s="1031"/>
      <c r="J34" s="165" t="s">
        <v>577</v>
      </c>
      <c r="K34" s="166">
        <v>3.96</v>
      </c>
      <c r="L34" s="166">
        <v>35.299999999999997</v>
      </c>
      <c r="M34" s="166">
        <v>2</v>
      </c>
      <c r="N34" s="166">
        <v>38.1</v>
      </c>
      <c r="O34" s="166">
        <v>0</v>
      </c>
      <c r="P34" s="1040">
        <v>3.16</v>
      </c>
      <c r="Q34" s="1031"/>
    </row>
    <row r="35" spans="9:17" ht="28" customHeight="1">
      <c r="I35" s="1039" t="s">
        <v>588</v>
      </c>
      <c r="J35" s="165" t="s">
        <v>576</v>
      </c>
      <c r="K35" s="166">
        <v>1.19</v>
      </c>
      <c r="L35" s="166">
        <v>2.71</v>
      </c>
      <c r="M35" s="166">
        <v>2.5</v>
      </c>
      <c r="N35" s="166">
        <v>5.85</v>
      </c>
      <c r="O35" s="166">
        <v>0</v>
      </c>
      <c r="P35" s="1040">
        <v>0.55000000000000004</v>
      </c>
      <c r="Q35" s="1031"/>
    </row>
    <row r="36" spans="9:17" ht="13.1">
      <c r="I36" s="1031"/>
      <c r="J36" s="165" t="s">
        <v>577</v>
      </c>
      <c r="K36" s="166">
        <v>1.19</v>
      </c>
      <c r="L36" s="166">
        <v>2.71</v>
      </c>
      <c r="M36" s="166">
        <v>2.5</v>
      </c>
      <c r="N36" s="166">
        <v>5.85</v>
      </c>
      <c r="O36" s="166">
        <v>0</v>
      </c>
      <c r="P36" s="1040">
        <v>0.55000000000000004</v>
      </c>
      <c r="Q36" s="1031"/>
    </row>
    <row r="37" spans="9:17" ht="13.1">
      <c r="I37" s="1039" t="s">
        <v>589</v>
      </c>
      <c r="J37" s="165" t="s">
        <v>576</v>
      </c>
      <c r="K37" s="166">
        <v>2.21</v>
      </c>
      <c r="L37" s="166">
        <v>11.5</v>
      </c>
      <c r="M37" s="166">
        <v>2</v>
      </c>
      <c r="N37" s="166">
        <v>13.25</v>
      </c>
      <c r="O37" s="166">
        <v>0</v>
      </c>
      <c r="P37" s="1040">
        <v>2.46</v>
      </c>
      <c r="Q37" s="1031"/>
    </row>
    <row r="38" spans="9:17" ht="13.1">
      <c r="I38" s="1031"/>
      <c r="J38" s="165" t="s">
        <v>577</v>
      </c>
      <c r="K38" s="166">
        <v>2.21</v>
      </c>
      <c r="L38" s="166">
        <v>11.5</v>
      </c>
      <c r="M38" s="166">
        <v>2</v>
      </c>
      <c r="N38" s="166">
        <v>13.25</v>
      </c>
      <c r="O38" s="166">
        <v>0</v>
      </c>
      <c r="P38" s="1040">
        <v>2.46</v>
      </c>
      <c r="Q38" s="1031"/>
    </row>
    <row r="39" spans="9:17" ht="13.1">
      <c r="I39" s="1039" t="s">
        <v>590</v>
      </c>
      <c r="J39" s="165" t="s">
        <v>576</v>
      </c>
      <c r="K39" s="166">
        <v>1.06</v>
      </c>
      <c r="L39" s="166">
        <v>1.89</v>
      </c>
      <c r="M39" s="166">
        <v>4.0999999999999996</v>
      </c>
      <c r="N39" s="166">
        <v>6.13</v>
      </c>
      <c r="O39" s="166">
        <v>0</v>
      </c>
      <c r="P39" s="1040">
        <v>0.93</v>
      </c>
      <c r="Q39" s="1031"/>
    </row>
    <row r="40" spans="9:17" ht="13.1">
      <c r="I40" s="1031"/>
      <c r="J40" s="165" t="s">
        <v>577</v>
      </c>
      <c r="K40" s="166">
        <v>1.06</v>
      </c>
      <c r="L40" s="166">
        <v>1.89</v>
      </c>
      <c r="M40" s="166">
        <v>4.0999999999999996</v>
      </c>
      <c r="N40" s="166">
        <v>6.13</v>
      </c>
      <c r="O40" s="166">
        <v>0</v>
      </c>
      <c r="P40" s="1040">
        <v>0.93</v>
      </c>
      <c r="Q40" s="1031"/>
    </row>
    <row r="41" spans="9:17" ht="26.2">
      <c r="I41" s="173" t="s">
        <v>591</v>
      </c>
      <c r="J41" s="165"/>
      <c r="K41" s="166"/>
      <c r="L41" s="166"/>
      <c r="M41" s="166"/>
      <c r="N41" s="166"/>
      <c r="O41" s="166"/>
      <c r="P41" s="1040"/>
      <c r="Q41" s="1031"/>
    </row>
    <row r="42" spans="9:17" ht="13.1">
      <c r="I42" s="1039" t="s">
        <v>592</v>
      </c>
      <c r="J42" s="165" t="s">
        <v>576</v>
      </c>
      <c r="K42" s="166">
        <v>0.56999999999999995</v>
      </c>
      <c r="L42" s="166">
        <v>12.2</v>
      </c>
      <c r="M42" s="166">
        <v>0</v>
      </c>
      <c r="N42" s="166">
        <v>10.65</v>
      </c>
      <c r="O42" s="166">
        <v>1.8</v>
      </c>
      <c r="P42" s="1040">
        <v>0.32</v>
      </c>
      <c r="Q42" s="1031"/>
    </row>
    <row r="43" spans="9:17" ht="13.1">
      <c r="I43" s="1031"/>
      <c r="J43" s="165" t="s">
        <v>577</v>
      </c>
      <c r="K43" s="166">
        <v>0.56999999999999995</v>
      </c>
      <c r="L43" s="166">
        <v>12.2</v>
      </c>
      <c r="M43" s="166">
        <v>0</v>
      </c>
      <c r="N43" s="166">
        <v>10.65</v>
      </c>
      <c r="O43" s="166">
        <v>1.8</v>
      </c>
      <c r="P43" s="1040">
        <v>0.32</v>
      </c>
      <c r="Q43" s="1031"/>
    </row>
    <row r="44" spans="9:17" ht="13.1">
      <c r="I44" s="1039" t="s">
        <v>593</v>
      </c>
      <c r="J44" s="165" t="s">
        <v>576</v>
      </c>
      <c r="K44" s="166">
        <v>0.47</v>
      </c>
      <c r="L44" s="166">
        <v>1.61</v>
      </c>
      <c r="M44" s="166">
        <v>1.69</v>
      </c>
      <c r="N44" s="166">
        <v>3.33</v>
      </c>
      <c r="O44" s="166">
        <v>0.01</v>
      </c>
      <c r="P44" s="1040">
        <v>0.43</v>
      </c>
      <c r="Q44" s="1031"/>
    </row>
    <row r="45" spans="9:17" ht="13.1">
      <c r="I45" s="1031"/>
      <c r="J45" s="165" t="s">
        <v>577</v>
      </c>
      <c r="K45" s="166">
        <v>0.47</v>
      </c>
      <c r="L45" s="166">
        <v>1.61</v>
      </c>
      <c r="M45" s="166">
        <v>1.69</v>
      </c>
      <c r="N45" s="166">
        <v>3.33</v>
      </c>
      <c r="O45" s="166">
        <v>0.01</v>
      </c>
      <c r="P45" s="1040">
        <v>0.43</v>
      </c>
      <c r="Q45" s="1031"/>
    </row>
    <row r="46" spans="9:17" ht="13.1">
      <c r="I46" s="1039" t="s">
        <v>594</v>
      </c>
      <c r="J46" s="165" t="s">
        <v>576</v>
      </c>
      <c r="K46" s="166">
        <v>47.66</v>
      </c>
      <c r="L46" s="166">
        <v>145.77000000000001</v>
      </c>
      <c r="M46" s="166">
        <v>4.7</v>
      </c>
      <c r="N46" s="166">
        <v>150</v>
      </c>
      <c r="O46" s="166">
        <v>0.45</v>
      </c>
      <c r="P46" s="1040">
        <v>47.68</v>
      </c>
      <c r="Q46" s="1031"/>
    </row>
    <row r="47" spans="9:17" ht="13.1">
      <c r="I47" s="1031"/>
      <c r="J47" s="165" t="s">
        <v>577</v>
      </c>
      <c r="K47" s="166">
        <v>47.64</v>
      </c>
      <c r="L47" s="166">
        <v>145.77000000000001</v>
      </c>
      <c r="M47" s="166">
        <v>5</v>
      </c>
      <c r="N47" s="166">
        <v>150.30000000000001</v>
      </c>
      <c r="O47" s="166">
        <v>0.35</v>
      </c>
      <c r="P47" s="1040">
        <v>47.76</v>
      </c>
      <c r="Q47" s="1031"/>
    </row>
    <row r="48" spans="9:17" ht="13.1">
      <c r="I48" s="1039" t="s">
        <v>595</v>
      </c>
      <c r="J48" s="165" t="s">
        <v>576</v>
      </c>
      <c r="K48" s="166">
        <v>0.92</v>
      </c>
      <c r="L48" s="166">
        <v>4</v>
      </c>
      <c r="M48" s="166">
        <v>0.03</v>
      </c>
      <c r="N48" s="166">
        <v>4</v>
      </c>
      <c r="O48" s="166">
        <v>0.4</v>
      </c>
      <c r="P48" s="1040">
        <v>0.54</v>
      </c>
      <c r="Q48" s="1031"/>
    </row>
    <row r="49" spans="9:19" ht="13.1">
      <c r="I49" s="1031"/>
      <c r="J49" s="165" t="s">
        <v>577</v>
      </c>
      <c r="K49" s="166">
        <v>0.92</v>
      </c>
      <c r="L49" s="166">
        <v>4</v>
      </c>
      <c r="M49" s="166">
        <v>0.03</v>
      </c>
      <c r="N49" s="166">
        <v>4</v>
      </c>
      <c r="O49" s="166">
        <v>0.4</v>
      </c>
      <c r="P49" s="1040">
        <v>0.54</v>
      </c>
      <c r="Q49" s="1031"/>
      <c r="R49" s="158"/>
      <c r="S49" s="158"/>
    </row>
    <row r="50" spans="9:19" ht="13.1">
      <c r="I50" s="1039" t="s">
        <v>596</v>
      </c>
      <c r="J50" s="165" t="s">
        <v>576</v>
      </c>
      <c r="K50" s="166">
        <v>3.2</v>
      </c>
      <c r="L50" s="166">
        <v>7.9</v>
      </c>
      <c r="M50" s="166">
        <v>0.7</v>
      </c>
      <c r="N50" s="166">
        <v>8.3800000000000008</v>
      </c>
      <c r="O50" s="166">
        <v>0.08</v>
      </c>
      <c r="P50" s="1040">
        <v>3.35</v>
      </c>
      <c r="Q50" s="1031"/>
      <c r="R50" s="158"/>
      <c r="S50" s="158"/>
    </row>
    <row r="51" spans="9:19" ht="13.1">
      <c r="I51" s="1031"/>
      <c r="J51" s="165" t="s">
        <v>577</v>
      </c>
      <c r="K51" s="166">
        <v>3.2</v>
      </c>
      <c r="L51" s="166">
        <v>7.65</v>
      </c>
      <c r="M51" s="166">
        <v>0.7</v>
      </c>
      <c r="N51" s="166">
        <v>8.3000000000000007</v>
      </c>
      <c r="O51" s="166">
        <v>0.08</v>
      </c>
      <c r="P51" s="1040">
        <v>3.18</v>
      </c>
      <c r="Q51" s="1031"/>
      <c r="R51" s="158"/>
      <c r="S51" s="158"/>
    </row>
    <row r="52" spans="9:19" ht="13.1">
      <c r="I52" s="1039" t="s">
        <v>597</v>
      </c>
      <c r="J52" s="165" t="s">
        <v>576</v>
      </c>
      <c r="K52" s="166">
        <v>0.15</v>
      </c>
      <c r="L52" s="166">
        <v>0.13</v>
      </c>
      <c r="M52" s="166">
        <v>0.7</v>
      </c>
      <c r="N52" s="166">
        <v>0.87</v>
      </c>
      <c r="O52" s="166">
        <v>0</v>
      </c>
      <c r="P52" s="1040">
        <v>0.11</v>
      </c>
      <c r="Q52" s="1031"/>
      <c r="R52" s="158"/>
      <c r="S52" s="158"/>
    </row>
    <row r="53" spans="9:19" ht="13.1">
      <c r="I53" s="1031"/>
      <c r="J53" s="165" t="s">
        <v>577</v>
      </c>
      <c r="K53" s="166">
        <v>0.15</v>
      </c>
      <c r="L53" s="166">
        <v>0.13</v>
      </c>
      <c r="M53" s="166">
        <v>0.7</v>
      </c>
      <c r="N53" s="166">
        <v>0.87</v>
      </c>
      <c r="O53" s="166">
        <v>0</v>
      </c>
      <c r="P53" s="1040">
        <v>0.11</v>
      </c>
      <c r="Q53" s="1031"/>
      <c r="R53" s="158"/>
      <c r="S53" s="158"/>
    </row>
    <row r="54" spans="9:19" ht="13.1">
      <c r="I54" s="1039" t="s">
        <v>598</v>
      </c>
      <c r="J54" s="165" t="s">
        <v>576</v>
      </c>
      <c r="K54" s="166">
        <v>1.19</v>
      </c>
      <c r="L54" s="166">
        <v>4.33</v>
      </c>
      <c r="M54" s="166">
        <v>0.47</v>
      </c>
      <c r="N54" s="166">
        <v>4.3899999999999997</v>
      </c>
      <c r="O54" s="166">
        <v>0</v>
      </c>
      <c r="P54" s="1040">
        <v>1.59</v>
      </c>
      <c r="Q54" s="1031"/>
      <c r="R54" s="158"/>
      <c r="S54" s="158"/>
    </row>
    <row r="55" spans="9:19" ht="13.1">
      <c r="I55" s="1031"/>
      <c r="J55" s="165" t="s">
        <v>577</v>
      </c>
      <c r="K55" s="166">
        <v>1.19</v>
      </c>
      <c r="L55" s="166">
        <v>4.33</v>
      </c>
      <c r="M55" s="166">
        <v>0.47</v>
      </c>
      <c r="N55" s="166">
        <v>4.3899999999999997</v>
      </c>
      <c r="O55" s="166">
        <v>0</v>
      </c>
      <c r="P55" s="1040">
        <v>1.59</v>
      </c>
      <c r="Q55" s="1031"/>
      <c r="R55" s="158"/>
      <c r="S55" s="158"/>
    </row>
    <row r="56" spans="9:19" ht="13.1" thickBot="1">
      <c r="I56" s="174"/>
      <c r="J56" s="175"/>
      <c r="K56" s="176"/>
      <c r="L56" s="176"/>
      <c r="M56" s="176"/>
      <c r="N56" s="176"/>
      <c r="O56" s="176"/>
      <c r="P56" s="1041"/>
      <c r="Q56" s="1042"/>
      <c r="R56" s="158"/>
      <c r="S56" s="158"/>
    </row>
  </sheetData>
  <mergeCells count="77">
    <mergeCell ref="I50:I51"/>
    <mergeCell ref="P50:Q50"/>
    <mergeCell ref="P51:Q51"/>
    <mergeCell ref="P56:Q56"/>
    <mergeCell ref="I52:I53"/>
    <mergeCell ref="P52:Q52"/>
    <mergeCell ref="P53:Q53"/>
    <mergeCell ref="I54:I55"/>
    <mergeCell ref="P54:Q54"/>
    <mergeCell ref="P55:Q55"/>
    <mergeCell ref="I46:I47"/>
    <mergeCell ref="P46:Q46"/>
    <mergeCell ref="P47:Q47"/>
    <mergeCell ref="I48:I49"/>
    <mergeCell ref="P48:Q48"/>
    <mergeCell ref="P49:Q49"/>
    <mergeCell ref="P41:Q41"/>
    <mergeCell ref="I42:I43"/>
    <mergeCell ref="P42:Q42"/>
    <mergeCell ref="P43:Q43"/>
    <mergeCell ref="I44:I45"/>
    <mergeCell ref="P44:Q44"/>
    <mergeCell ref="P45:Q45"/>
    <mergeCell ref="I37:I38"/>
    <mergeCell ref="P37:Q37"/>
    <mergeCell ref="P38:Q38"/>
    <mergeCell ref="I39:I40"/>
    <mergeCell ref="P39:Q39"/>
    <mergeCell ref="P40:Q40"/>
    <mergeCell ref="I33:I34"/>
    <mergeCell ref="P33:Q33"/>
    <mergeCell ref="P34:Q34"/>
    <mergeCell ref="I35:I36"/>
    <mergeCell ref="P35:Q35"/>
    <mergeCell ref="P36:Q36"/>
    <mergeCell ref="I29:I30"/>
    <mergeCell ref="P29:Q29"/>
    <mergeCell ref="P30:Q30"/>
    <mergeCell ref="I31:I32"/>
    <mergeCell ref="P31:Q31"/>
    <mergeCell ref="P32:Q32"/>
    <mergeCell ref="I25:I26"/>
    <mergeCell ref="P25:Q25"/>
    <mergeCell ref="P26:Q26"/>
    <mergeCell ref="I27:I28"/>
    <mergeCell ref="P27:Q27"/>
    <mergeCell ref="P28:Q28"/>
    <mergeCell ref="I23:I24"/>
    <mergeCell ref="P23:Q23"/>
    <mergeCell ref="P24:Q24"/>
    <mergeCell ref="I21:I22"/>
    <mergeCell ref="P21:Q21"/>
    <mergeCell ref="B18:G18"/>
    <mergeCell ref="P18:Q18"/>
    <mergeCell ref="I19:I20"/>
    <mergeCell ref="P19:Q19"/>
    <mergeCell ref="P20:Q20"/>
    <mergeCell ref="P10:Q10"/>
    <mergeCell ref="I11:I12"/>
    <mergeCell ref="P11:Q11"/>
    <mergeCell ref="P12:Q12"/>
    <mergeCell ref="P22:Q22"/>
    <mergeCell ref="I13:I14"/>
    <mergeCell ref="P13:Q13"/>
    <mergeCell ref="P14:Q14"/>
    <mergeCell ref="I15:I17"/>
    <mergeCell ref="P15:Q15"/>
    <mergeCell ref="P17:Q17"/>
    <mergeCell ref="I7:S7"/>
    <mergeCell ref="I9:J9"/>
    <mergeCell ref="P9:Q9"/>
    <mergeCell ref="I5:S5"/>
    <mergeCell ref="B1:G1"/>
    <mergeCell ref="I1:S1"/>
    <mergeCell ref="B3:G3"/>
    <mergeCell ref="I3:S3"/>
    <mergeCell ref="B4:G4"/>
  </mergeCells>
  <pageMargins left="0.70866141732283472" right="0.70866141732283472" top="0.74803149606299213" bottom="0.74803149606299213" header="0.31496062992125984" footer="0.31496062992125984"/>
  <pageSetup paperSize="126" orientation="portrait" r:id="rId1"/>
  <headerFooter>
    <oddFooter>&amp;C&amp;10&amp;A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X42"/>
  <sheetViews>
    <sheetView topLeftCell="A11" zoomScale="90" zoomScaleNormal="90" workbookViewId="0">
      <selection activeCell="I19" sqref="I19"/>
    </sheetView>
  </sheetViews>
  <sheetFormatPr baseColWidth="10" defaultColWidth="10.9140625" defaultRowHeight="11.8"/>
  <cols>
    <col min="1" max="1" width="0.6640625" style="1" customWidth="1"/>
    <col min="2" max="2" width="14.9140625" style="1" customWidth="1"/>
    <col min="3" max="5" width="9.6640625" style="1" customWidth="1"/>
    <col min="6" max="6" width="11.25" style="1" bestFit="1" customWidth="1"/>
    <col min="7" max="7" width="9.6640625" style="1" customWidth="1"/>
    <col min="8" max="8" width="2" style="1" customWidth="1"/>
    <col min="9" max="9" width="6.4140625" style="1" customWidth="1"/>
    <col min="10" max="10" width="6.5" style="1" customWidth="1"/>
    <col min="11" max="11" width="6.1640625" style="1" bestFit="1" customWidth="1"/>
    <col min="12" max="12" width="6.6640625" style="1" customWidth="1"/>
    <col min="13" max="13" width="5.33203125" style="1" customWidth="1"/>
    <col min="14" max="14" width="6.9140625" style="1" customWidth="1"/>
    <col min="15" max="17" width="5.75" style="1" customWidth="1"/>
    <col min="18" max="16384" width="10.9140625" style="1"/>
  </cols>
  <sheetData>
    <row r="1" spans="2:24" s="15" customFormat="1" ht="13.1">
      <c r="B1" s="791" t="s">
        <v>100</v>
      </c>
      <c r="C1" s="791"/>
      <c r="D1" s="791"/>
      <c r="E1" s="791"/>
      <c r="F1" s="791"/>
      <c r="G1" s="791"/>
    </row>
    <row r="2" spans="2:24" s="15" customFormat="1" ht="13.1">
      <c r="B2" s="17"/>
      <c r="C2" s="17"/>
      <c r="D2" s="17"/>
      <c r="E2" s="17"/>
      <c r="F2" s="17"/>
      <c r="G2" s="17"/>
    </row>
    <row r="3" spans="2:24" s="15" customFormat="1" ht="13.1">
      <c r="B3" s="791" t="s">
        <v>528</v>
      </c>
      <c r="C3" s="791"/>
      <c r="D3" s="791"/>
      <c r="E3" s="791"/>
      <c r="F3" s="791"/>
      <c r="G3" s="791"/>
    </row>
    <row r="4" spans="2:24" s="15" customFormat="1" ht="15.75" customHeight="1">
      <c r="B4" s="791" t="s">
        <v>774</v>
      </c>
      <c r="C4" s="791"/>
      <c r="D4" s="791"/>
      <c r="E4" s="791"/>
      <c r="F4" s="791"/>
      <c r="G4" s="791"/>
      <c r="H4" s="23"/>
      <c r="J4" s="255"/>
      <c r="K4" s="166"/>
      <c r="L4" s="166"/>
      <c r="M4" s="166"/>
      <c r="N4" s="166"/>
      <c r="O4" s="166"/>
      <c r="P4" s="1040"/>
      <c r="Q4" s="1044"/>
    </row>
    <row r="5" spans="2:24" s="22" customFormat="1" ht="38.15" customHeight="1">
      <c r="B5" s="100" t="s">
        <v>446</v>
      </c>
      <c r="C5" s="100" t="s">
        <v>436</v>
      </c>
      <c r="D5" s="100" t="s">
        <v>93</v>
      </c>
      <c r="E5" s="100" t="s">
        <v>94</v>
      </c>
      <c r="F5" s="100" t="s">
        <v>103</v>
      </c>
      <c r="G5" s="100" t="s">
        <v>438</v>
      </c>
      <c r="I5" s="177"/>
      <c r="J5" s="256"/>
      <c r="K5" s="166"/>
      <c r="L5" s="166"/>
      <c r="M5" s="166"/>
      <c r="N5" s="166"/>
      <c r="O5" s="166"/>
      <c r="P5" s="1040"/>
      <c r="Q5" s="1031"/>
    </row>
    <row r="6" spans="2:24" s="22" customFormat="1" ht="15.75" customHeight="1">
      <c r="B6" s="32" t="s">
        <v>106</v>
      </c>
      <c r="C6" s="306">
        <v>110.62</v>
      </c>
      <c r="D6" s="306">
        <v>478.42</v>
      </c>
      <c r="E6" s="306">
        <v>481.56</v>
      </c>
      <c r="F6" s="306">
        <v>107.48</v>
      </c>
      <c r="G6" s="735">
        <f t="shared" ref="G6:G17" si="0">+F6/E6</f>
        <v>0.22319129495805301</v>
      </c>
      <c r="I6" s="178"/>
      <c r="J6" s="256"/>
      <c r="K6" s="166"/>
      <c r="L6" s="166"/>
      <c r="M6" s="166"/>
      <c r="N6" s="166"/>
      <c r="O6" s="166"/>
      <c r="P6" s="1040"/>
      <c r="Q6" s="1031"/>
    </row>
    <row r="7" spans="2:24" s="22" customFormat="1" ht="15.75" customHeight="1">
      <c r="B7" s="32" t="s">
        <v>107</v>
      </c>
      <c r="C7" s="306">
        <v>113.76</v>
      </c>
      <c r="D7" s="306">
        <v>478.7</v>
      </c>
      <c r="E7" s="306">
        <v>478.09</v>
      </c>
      <c r="F7" s="306">
        <v>114.37</v>
      </c>
      <c r="G7" s="735">
        <f t="shared" si="0"/>
        <v>0.23922274048819261</v>
      </c>
      <c r="I7" s="1"/>
      <c r="J7" s="256"/>
      <c r="K7" s="1"/>
      <c r="L7" s="1"/>
      <c r="M7" s="1"/>
      <c r="N7" s="1"/>
      <c r="O7" s="1"/>
      <c r="P7" s="1"/>
    </row>
    <row r="8" spans="2:24" s="22" customFormat="1" ht="15.75" customHeight="1">
      <c r="B8" s="50" t="s">
        <v>108</v>
      </c>
      <c r="C8" s="306">
        <v>127.89</v>
      </c>
      <c r="D8" s="306">
        <v>472.94</v>
      </c>
      <c r="E8" s="306">
        <v>468.09</v>
      </c>
      <c r="F8" s="306">
        <v>132.74</v>
      </c>
      <c r="G8" s="735">
        <f t="shared" si="0"/>
        <v>0.28357794441239936</v>
      </c>
      <c r="I8" s="1"/>
      <c r="J8" s="256"/>
      <c r="K8" s="1"/>
      <c r="L8" s="1"/>
      <c r="M8" s="1"/>
      <c r="N8" s="1"/>
      <c r="O8" s="1"/>
      <c r="P8" s="1"/>
    </row>
    <row r="9" spans="2:24" s="22" customFormat="1" ht="15.75" customHeight="1">
      <c r="B9" s="50" t="s">
        <v>109</v>
      </c>
      <c r="C9" s="306">
        <v>142.63999999999999</v>
      </c>
      <c r="D9" s="306">
        <v>490.95</v>
      </c>
      <c r="E9" s="306">
        <v>483.69</v>
      </c>
      <c r="F9" s="306">
        <v>149.88999999999999</v>
      </c>
      <c r="G9" s="735">
        <f t="shared" si="0"/>
        <v>0.30988856498997291</v>
      </c>
      <c r="I9" s="1"/>
      <c r="J9" s="256"/>
      <c r="K9" s="1"/>
      <c r="L9" s="1"/>
      <c r="M9" s="1"/>
      <c r="N9" s="1"/>
      <c r="O9" s="1"/>
      <c r="P9" s="1"/>
    </row>
    <row r="10" spans="2:24" s="22" customFormat="1" ht="15.75" customHeight="1">
      <c r="B10" s="50" t="s">
        <v>110</v>
      </c>
      <c r="C10" s="307">
        <v>149.88999999999999</v>
      </c>
      <c r="D10" s="307">
        <v>494.92</v>
      </c>
      <c r="E10" s="307">
        <v>482.28</v>
      </c>
      <c r="F10" s="307">
        <v>162.53</v>
      </c>
      <c r="G10" s="735">
        <f t="shared" si="0"/>
        <v>0.33700340051422412</v>
      </c>
      <c r="H10" s="94"/>
      <c r="I10" s="222"/>
      <c r="J10" s="256"/>
      <c r="R10" s="1"/>
      <c r="V10" s="1"/>
      <c r="X10" s="94"/>
    </row>
    <row r="11" spans="2:24" s="22" customFormat="1" ht="15.05" customHeight="1">
      <c r="B11" s="50" t="s">
        <v>439</v>
      </c>
      <c r="C11" s="379">
        <v>163.74</v>
      </c>
      <c r="D11" s="379">
        <v>497.34</v>
      </c>
      <c r="E11" s="379">
        <v>484.59</v>
      </c>
      <c r="F11" s="493">
        <v>176.49</v>
      </c>
      <c r="G11" s="735">
        <f t="shared" si="0"/>
        <v>0.36420479167956421</v>
      </c>
      <c r="H11" s="94"/>
      <c r="I11" s="222"/>
      <c r="J11" s="256"/>
      <c r="K11" s="92"/>
      <c r="R11" s="1"/>
      <c r="V11" s="1"/>
      <c r="X11" s="94"/>
    </row>
    <row r="12" spans="2:24" s="22" customFormat="1" ht="15.75" customHeight="1">
      <c r="B12" s="50" t="s">
        <v>112</v>
      </c>
      <c r="C12" s="379">
        <v>176.66</v>
      </c>
      <c r="D12" s="379">
        <v>498.82</v>
      </c>
      <c r="E12" s="379">
        <v>493.74</v>
      </c>
      <c r="F12" s="379">
        <v>181.74</v>
      </c>
      <c r="G12" s="735">
        <f t="shared" si="0"/>
        <v>0.36808846761453395</v>
      </c>
      <c r="H12" s="94"/>
      <c r="I12" s="222"/>
      <c r="J12" s="256"/>
      <c r="K12" s="92"/>
      <c r="R12" s="1"/>
      <c r="V12" s="1"/>
      <c r="X12" s="94"/>
    </row>
    <row r="13" spans="2:24" s="22" customFormat="1" ht="13.1">
      <c r="B13" s="50" t="s">
        <v>113</v>
      </c>
      <c r="C13" s="379">
        <v>181.64</v>
      </c>
      <c r="D13" s="379">
        <v>509.32</v>
      </c>
      <c r="E13" s="379">
        <v>503.65</v>
      </c>
      <c r="F13" s="379">
        <v>187.31</v>
      </c>
      <c r="G13" s="735">
        <f t="shared" si="0"/>
        <v>0.37190509282239653</v>
      </c>
      <c r="H13" s="26"/>
      <c r="I13" s="257"/>
      <c r="J13" s="256"/>
      <c r="K13" s="92"/>
      <c r="L13" s="178"/>
      <c r="M13" s="178"/>
      <c r="N13" s="178"/>
      <c r="O13" s="178"/>
      <c r="P13" s="178"/>
      <c r="Q13" s="178"/>
      <c r="R13" s="178"/>
      <c r="S13" s="178"/>
      <c r="T13" s="178"/>
      <c r="U13" s="178"/>
      <c r="V13" s="178"/>
      <c r="W13" s="178"/>
    </row>
    <row r="14" spans="2:24" s="22" customFormat="1" ht="13.1">
      <c r="B14" s="50" t="s">
        <v>114</v>
      </c>
      <c r="C14" s="379">
        <v>187.71</v>
      </c>
      <c r="D14" s="379">
        <v>513.1</v>
      </c>
      <c r="E14" s="379">
        <v>517.63</v>
      </c>
      <c r="F14" s="379">
        <v>183.19</v>
      </c>
      <c r="G14" s="735">
        <f t="shared" si="0"/>
        <v>0.35390143538821167</v>
      </c>
      <c r="H14" s="26"/>
      <c r="I14" s="177"/>
      <c r="J14" s="256"/>
      <c r="K14" s="92"/>
      <c r="L14" s="178"/>
      <c r="M14" s="178"/>
      <c r="N14" s="178"/>
      <c r="O14" s="178"/>
      <c r="P14" s="178"/>
      <c r="Q14" s="178"/>
      <c r="R14" s="178"/>
      <c r="S14" s="178"/>
      <c r="T14" s="178"/>
      <c r="U14" s="178"/>
      <c r="V14" s="178"/>
      <c r="W14" s="178"/>
    </row>
    <row r="15" spans="2:24" s="22" customFormat="1" ht="15.75" customHeight="1">
      <c r="B15" s="50" t="s">
        <v>692</v>
      </c>
      <c r="C15" s="379">
        <v>183.68</v>
      </c>
      <c r="D15" s="379">
        <v>516.03</v>
      </c>
      <c r="E15" s="379">
        <v>519.99</v>
      </c>
      <c r="F15" s="379">
        <v>179.72</v>
      </c>
      <c r="G15" s="735">
        <f t="shared" si="0"/>
        <v>0.34562203119290758</v>
      </c>
      <c r="H15" s="26"/>
      <c r="I15" s="225"/>
      <c r="J15" s="256"/>
      <c r="K15" s="541"/>
      <c r="L15" s="541"/>
      <c r="M15" s="541"/>
      <c r="N15" s="541"/>
      <c r="O15" s="541"/>
      <c r="P15" s="541"/>
      <c r="Q15" s="178"/>
      <c r="R15" s="178"/>
      <c r="S15" s="178"/>
      <c r="T15" s="178"/>
      <c r="U15" s="178"/>
      <c r="V15" s="178"/>
      <c r="W15" s="178"/>
    </row>
    <row r="16" spans="2:24" s="22" customFormat="1" ht="15.75" customHeight="1">
      <c r="B16" s="50" t="s">
        <v>743</v>
      </c>
      <c r="C16" s="379">
        <v>179.72</v>
      </c>
      <c r="D16" s="379">
        <v>520.41999999999996</v>
      </c>
      <c r="E16" s="379">
        <v>523.45000000000005</v>
      </c>
      <c r="F16" s="379">
        <v>176.69</v>
      </c>
      <c r="G16" s="735">
        <f t="shared" si="0"/>
        <v>0.33754895405482849</v>
      </c>
      <c r="H16" s="26"/>
      <c r="I16" s="257"/>
      <c r="J16" s="756"/>
      <c r="K16" s="756"/>
      <c r="L16" s="541"/>
      <c r="M16" s="541"/>
      <c r="N16" s="541"/>
      <c r="O16" s="541"/>
      <c r="P16" s="541"/>
      <c r="Q16" s="178"/>
      <c r="R16" s="178"/>
      <c r="S16" s="178"/>
      <c r="T16" s="178"/>
      <c r="U16" s="178"/>
      <c r="V16" s="178"/>
      <c r="W16" s="178"/>
    </row>
    <row r="17" spans="2:23" s="22" customFormat="1" ht="15.75" customHeight="1">
      <c r="B17" s="50" t="s">
        <v>742</v>
      </c>
      <c r="C17" s="379">
        <v>176.69</v>
      </c>
      <c r="D17" s="379">
        <v>527.71</v>
      </c>
      <c r="E17" s="379">
        <v>526.96</v>
      </c>
      <c r="F17" s="379">
        <v>177.43</v>
      </c>
      <c r="G17" s="735">
        <f t="shared" si="0"/>
        <v>0.33670487323516013</v>
      </c>
      <c r="H17" s="26"/>
      <c r="I17" s="257" t="s">
        <v>97</v>
      </c>
      <c r="J17" s="256"/>
      <c r="K17" s="541"/>
      <c r="L17" s="541"/>
      <c r="M17" s="541"/>
      <c r="N17" s="541"/>
      <c r="O17" s="541"/>
      <c r="P17" s="541"/>
      <c r="Q17" s="178"/>
      <c r="R17" s="178"/>
      <c r="S17" s="178"/>
      <c r="T17" s="178"/>
      <c r="U17" s="178"/>
      <c r="V17" s="178"/>
      <c r="W17" s="178"/>
    </row>
    <row r="18" spans="2:23" s="22" customFormat="1" ht="19" customHeight="1">
      <c r="B18" s="1043" t="s">
        <v>131</v>
      </c>
      <c r="C18" s="1043"/>
      <c r="D18" s="1043"/>
      <c r="E18" s="1043"/>
      <c r="F18" s="1043"/>
      <c r="G18" s="1043"/>
      <c r="H18" s="26"/>
      <c r="I18" s="92"/>
      <c r="K18" s="92"/>
      <c r="R18" s="1"/>
    </row>
    <row r="19" spans="2:23" s="22" customFormat="1" ht="19" customHeight="1">
      <c r="B19" s="29"/>
      <c r="C19" s="29"/>
      <c r="D19" s="29"/>
      <c r="E19" s="29"/>
      <c r="F19" s="29"/>
      <c r="G19" s="29"/>
      <c r="H19" s="26"/>
      <c r="I19" s="92"/>
      <c r="K19" s="225"/>
      <c r="L19" s="613"/>
      <c r="R19" s="1"/>
    </row>
    <row r="20" spans="2:23" ht="15.05" customHeight="1">
      <c r="C20" s="274"/>
      <c r="D20" s="274"/>
      <c r="E20" s="274"/>
      <c r="F20" s="274"/>
      <c r="G20" s="274"/>
      <c r="H20" s="4"/>
    </row>
    <row r="21" spans="2:23" ht="10" customHeight="1">
      <c r="H21" s="4"/>
    </row>
    <row r="22" spans="2:23" ht="15.05" customHeight="1">
      <c r="D22" s="12"/>
      <c r="H22" s="4"/>
    </row>
    <row r="23" spans="2:23" ht="15.05" customHeight="1">
      <c r="H23" s="4"/>
      <c r="L23" s="1" t="s">
        <v>97</v>
      </c>
    </row>
    <row r="24" spans="2:23" ht="15.05" customHeight="1">
      <c r="H24" s="4"/>
    </row>
    <row r="25" spans="2:23" ht="15.05" customHeight="1">
      <c r="H25" s="5"/>
      <c r="I25" s="9"/>
    </row>
    <row r="26" spans="2:23" ht="15.05" customHeight="1">
      <c r="H26" s="5"/>
    </row>
    <row r="27" spans="2:23" ht="15.05" customHeight="1">
      <c r="H27" s="5"/>
      <c r="K27" s="12"/>
    </row>
    <row r="28" spans="2:23" ht="15.05" customHeight="1">
      <c r="H28" s="5"/>
    </row>
    <row r="29" spans="2:23" ht="15.05" customHeight="1">
      <c r="H29" s="5"/>
    </row>
    <row r="30" spans="2:23" ht="15.05" customHeight="1">
      <c r="H30" s="5"/>
    </row>
    <row r="31" spans="2:23" ht="15.05" customHeight="1">
      <c r="H31" s="5"/>
    </row>
    <row r="32" spans="2:23" ht="15.05" customHeight="1">
      <c r="H32" s="5"/>
      <c r="K32" s="12"/>
    </row>
    <row r="33" spans="3:14" ht="15.05" customHeight="1">
      <c r="H33" s="5"/>
    </row>
    <row r="34" spans="3:14" ht="15.05" customHeight="1">
      <c r="I34" s="179"/>
      <c r="J34" s="180"/>
      <c r="K34" s="180"/>
      <c r="L34" s="180"/>
      <c r="M34" s="180"/>
      <c r="N34" s="181"/>
    </row>
    <row r="36" spans="3:14" ht="14.25" customHeight="1"/>
    <row r="37" spans="3:14" ht="14.25" customHeight="1"/>
    <row r="38" spans="3:14" ht="14.25" customHeight="1"/>
    <row r="39" spans="3:14" ht="14.25" customHeight="1"/>
    <row r="41" spans="3:14">
      <c r="C41" s="274"/>
      <c r="D41" s="274"/>
      <c r="E41" s="274"/>
      <c r="F41" s="274"/>
      <c r="G41" s="274"/>
    </row>
    <row r="42" spans="3:14" ht="17.7">
      <c r="C42" s="11"/>
      <c r="D42" s="225"/>
      <c r="E42" s="11"/>
      <c r="F42" s="11"/>
      <c r="G42" s="11"/>
    </row>
  </sheetData>
  <mergeCells count="7">
    <mergeCell ref="P6:Q6"/>
    <mergeCell ref="B18:G18"/>
    <mergeCell ref="B1:G1"/>
    <mergeCell ref="B3:G3"/>
    <mergeCell ref="B4:G4"/>
    <mergeCell ref="P4:Q4"/>
    <mergeCell ref="P5:Q5"/>
  </mergeCells>
  <phoneticPr fontId="47" type="noConversion"/>
  <printOptions horizontalCentered="1"/>
  <pageMargins left="0.59055118110236227" right="0.59055118110236227" top="1.299212598425197" bottom="0.78740157480314965" header="0.51181102362204722" footer="0.59055118110236227"/>
  <pageSetup paperSize="126" firstPageNumber="0" orientation="portrait" r:id="rId1"/>
  <headerFooter alignWithMargins="0">
    <oddFooter>&amp;C&amp;10&amp;A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5"/>
  <sheetViews>
    <sheetView zoomScaleNormal="100" workbookViewId="0">
      <selection activeCell="I10" sqref="I10"/>
    </sheetView>
  </sheetViews>
  <sheetFormatPr baseColWidth="10" defaultColWidth="10.9140625" defaultRowHeight="11.8"/>
  <cols>
    <col min="1" max="1" width="11.83203125" style="1" customWidth="1"/>
    <col min="2" max="6" width="9" style="1" customWidth="1"/>
    <col min="7" max="7" width="10.4140625" style="1" customWidth="1"/>
    <col min="8" max="8" width="6.9140625" style="21" customWidth="1"/>
    <col min="9" max="10" width="10.9140625" style="21"/>
    <col min="11" max="14" width="10.9140625" style="60"/>
    <col min="15" max="16384" width="10.9140625" style="1"/>
  </cols>
  <sheetData>
    <row r="1" spans="1:14" s="15" customFormat="1" ht="13.1">
      <c r="A1" s="791" t="s">
        <v>100</v>
      </c>
      <c r="B1" s="791"/>
      <c r="C1" s="791"/>
      <c r="D1" s="791"/>
      <c r="E1" s="791"/>
      <c r="F1" s="791"/>
      <c r="G1" s="791"/>
      <c r="H1" s="447"/>
      <c r="I1" s="447"/>
      <c r="J1" s="447"/>
      <c r="K1" s="58"/>
      <c r="L1" s="58"/>
      <c r="M1" s="58"/>
      <c r="N1" s="58"/>
    </row>
    <row r="2" spans="1:14" s="15" customFormat="1" ht="13.1">
      <c r="A2" s="17"/>
      <c r="B2" s="17"/>
      <c r="C2" s="17"/>
      <c r="D2" s="17"/>
      <c r="E2" s="17"/>
      <c r="F2" s="17"/>
      <c r="G2" s="17"/>
      <c r="H2" s="447"/>
      <c r="I2" s="447"/>
      <c r="J2" s="447"/>
      <c r="K2" s="58"/>
      <c r="L2" s="58"/>
      <c r="M2" s="58"/>
      <c r="N2" s="58"/>
    </row>
    <row r="3" spans="1:14" s="15" customFormat="1" ht="13.1">
      <c r="A3" s="791" t="s">
        <v>101</v>
      </c>
      <c r="B3" s="791"/>
      <c r="C3" s="791"/>
      <c r="D3" s="791"/>
      <c r="E3" s="791"/>
      <c r="F3" s="791"/>
      <c r="G3" s="791"/>
      <c r="H3" s="447"/>
      <c r="I3" s="447"/>
      <c r="J3" s="447"/>
      <c r="K3" s="58"/>
      <c r="L3" s="58"/>
      <c r="M3" s="58"/>
      <c r="N3" s="58"/>
    </row>
    <row r="4" spans="1:14" s="15" customFormat="1" ht="13.1">
      <c r="A4" s="808" t="s">
        <v>774</v>
      </c>
      <c r="B4" s="808"/>
      <c r="C4" s="808"/>
      <c r="D4" s="808"/>
      <c r="E4" s="808"/>
      <c r="F4" s="808"/>
      <c r="G4" s="808"/>
      <c r="H4" s="447"/>
      <c r="I4" s="447"/>
      <c r="J4" s="447"/>
      <c r="K4" s="58"/>
      <c r="L4" s="58"/>
      <c r="M4" s="58"/>
      <c r="N4" s="58"/>
    </row>
    <row r="5" spans="1:14" s="14" customFormat="1" ht="49.75" customHeight="1">
      <c r="A5" s="271" t="s">
        <v>102</v>
      </c>
      <c r="B5" s="271" t="s">
        <v>92</v>
      </c>
      <c r="C5" s="271" t="s">
        <v>93</v>
      </c>
      <c r="D5" s="271" t="s">
        <v>94</v>
      </c>
      <c r="E5" s="271" t="s">
        <v>95</v>
      </c>
      <c r="F5" s="271" t="s">
        <v>103</v>
      </c>
      <c r="G5" s="271" t="s">
        <v>104</v>
      </c>
      <c r="H5" s="447"/>
      <c r="I5" s="20"/>
      <c r="J5" s="20"/>
      <c r="K5" s="61"/>
      <c r="L5" s="61"/>
      <c r="M5" s="61"/>
      <c r="N5" s="61"/>
    </row>
    <row r="6" spans="1:14" s="14" customFormat="1" ht="15.75" customHeight="1">
      <c r="A6" s="55" t="s">
        <v>105</v>
      </c>
      <c r="B6" s="305">
        <v>197.64400000000001</v>
      </c>
      <c r="C6" s="305">
        <v>658.649</v>
      </c>
      <c r="D6" s="305">
        <v>679.38300000000004</v>
      </c>
      <c r="E6" s="305">
        <v>137.33000000000001</v>
      </c>
      <c r="F6" s="305">
        <v>176.91</v>
      </c>
      <c r="G6" s="735">
        <f>F6/D6</f>
        <v>0.26039803763120356</v>
      </c>
      <c r="H6" s="90"/>
      <c r="I6" s="447"/>
      <c r="J6" s="447"/>
      <c r="K6" s="447"/>
      <c r="L6" s="447"/>
      <c r="M6" s="447"/>
      <c r="N6" s="447"/>
    </row>
    <row r="7" spans="1:14" s="14" customFormat="1" ht="15.75" customHeight="1">
      <c r="A7" s="55" t="s">
        <v>106</v>
      </c>
      <c r="B7" s="305">
        <v>177.06</v>
      </c>
      <c r="C7" s="305">
        <v>715.36</v>
      </c>
      <c r="D7" s="305">
        <v>698.33</v>
      </c>
      <c r="E7" s="305">
        <v>165.91</v>
      </c>
      <c r="F7" s="305">
        <v>194.09</v>
      </c>
      <c r="G7" s="735">
        <f t="shared" ref="G7:G14" si="0">F7/D7</f>
        <v>0.27793450088067245</v>
      </c>
      <c r="H7" s="90"/>
      <c r="I7" s="447"/>
      <c r="J7" s="447"/>
      <c r="K7" s="447"/>
      <c r="L7" s="447"/>
      <c r="M7" s="447"/>
      <c r="N7" s="447"/>
    </row>
    <row r="8" spans="1:14" s="14" customFormat="1" ht="15.75" customHeight="1">
      <c r="A8" s="55" t="s">
        <v>107</v>
      </c>
      <c r="B8" s="305">
        <v>194.69</v>
      </c>
      <c r="C8" s="305">
        <v>728.26</v>
      </c>
      <c r="D8" s="305">
        <v>705.74</v>
      </c>
      <c r="E8" s="305">
        <v>164.42</v>
      </c>
      <c r="F8" s="305">
        <v>217.2</v>
      </c>
      <c r="G8" s="735">
        <f t="shared" si="0"/>
        <v>0.30776206534984551</v>
      </c>
      <c r="H8" s="90"/>
      <c r="I8" s="447"/>
      <c r="J8" s="447"/>
      <c r="K8" s="447"/>
      <c r="L8" s="447"/>
      <c r="M8" s="447"/>
      <c r="N8" s="447"/>
    </row>
    <row r="9" spans="1:14" s="14" customFormat="1" ht="15.75" customHeight="1">
      <c r="A9" s="55" t="s">
        <v>108</v>
      </c>
      <c r="B9" s="305">
        <v>218.69</v>
      </c>
      <c r="C9" s="305">
        <v>735.21</v>
      </c>
      <c r="D9" s="305">
        <v>711.16</v>
      </c>
      <c r="E9" s="305">
        <v>172.84</v>
      </c>
      <c r="F9" s="305">
        <v>242.74</v>
      </c>
      <c r="G9" s="735">
        <f t="shared" si="0"/>
        <v>0.34132965858597225</v>
      </c>
      <c r="H9" s="90"/>
      <c r="I9" s="447"/>
      <c r="J9" s="447"/>
      <c r="K9" s="447"/>
      <c r="L9" s="447"/>
      <c r="M9" s="447"/>
      <c r="N9" s="447"/>
    </row>
    <row r="10" spans="1:14" s="14" customFormat="1" ht="15.75" customHeight="1">
      <c r="A10" s="55" t="s">
        <v>109</v>
      </c>
      <c r="B10" s="305">
        <v>245</v>
      </c>
      <c r="C10" s="305">
        <v>756.4</v>
      </c>
      <c r="D10" s="305">
        <v>739.09</v>
      </c>
      <c r="E10" s="305">
        <v>183.36</v>
      </c>
      <c r="F10" s="305">
        <v>262.08</v>
      </c>
      <c r="G10" s="735">
        <f t="shared" si="0"/>
        <v>0.35459822213803455</v>
      </c>
      <c r="H10" s="90"/>
      <c r="I10" s="447"/>
      <c r="J10" s="447"/>
      <c r="K10" s="447"/>
      <c r="L10" s="447"/>
      <c r="M10" s="447"/>
      <c r="N10" s="447"/>
    </row>
    <row r="11" spans="1:14" s="14" customFormat="1" ht="15.75" customHeight="1">
      <c r="A11" s="24" t="s">
        <v>110</v>
      </c>
      <c r="B11" s="305">
        <v>262.79000000000002</v>
      </c>
      <c r="C11" s="305">
        <v>762.88</v>
      </c>
      <c r="D11" s="305">
        <v>741.98</v>
      </c>
      <c r="E11" s="305">
        <v>182.47</v>
      </c>
      <c r="F11" s="305">
        <v>283.69</v>
      </c>
      <c r="G11" s="735">
        <f t="shared" si="0"/>
        <v>0.38234184209816974</v>
      </c>
      <c r="H11" s="90"/>
      <c r="I11" s="447"/>
      <c r="J11" s="447"/>
      <c r="K11" s="447"/>
      <c r="L11" s="447"/>
      <c r="M11" s="447"/>
      <c r="N11" s="447"/>
    </row>
    <row r="12" spans="1:14" s="14" customFormat="1" ht="15.75" customHeight="1">
      <c r="A12" s="24" t="s">
        <v>111</v>
      </c>
      <c r="B12" s="305">
        <v>287.18</v>
      </c>
      <c r="C12" s="305">
        <v>731</v>
      </c>
      <c r="D12" s="305">
        <v>734.81</v>
      </c>
      <c r="E12" s="305">
        <v>173.67</v>
      </c>
      <c r="F12" s="305">
        <v>283.37</v>
      </c>
      <c r="G12" s="735">
        <f t="shared" si="0"/>
        <v>0.38563710346892399</v>
      </c>
      <c r="H12" s="90"/>
      <c r="I12" s="447"/>
      <c r="J12" s="447"/>
      <c r="K12" s="447"/>
      <c r="L12" s="447"/>
      <c r="M12" s="447"/>
      <c r="N12" s="447"/>
    </row>
    <row r="13" spans="1:14" s="14" customFormat="1" ht="15.75" customHeight="1">
      <c r="A13" s="300" t="s">
        <v>112</v>
      </c>
      <c r="B13" s="377">
        <v>281.20999999999998</v>
      </c>
      <c r="C13" s="377">
        <v>762.37</v>
      </c>
      <c r="D13" s="377">
        <v>746.75</v>
      </c>
      <c r="E13" s="377">
        <v>193.87</v>
      </c>
      <c r="F13" s="377">
        <v>296.83</v>
      </c>
      <c r="G13" s="735">
        <f t="shared" si="0"/>
        <v>0.39749581519919652</v>
      </c>
      <c r="H13" s="90"/>
      <c r="I13" s="447"/>
      <c r="J13" s="447"/>
      <c r="K13" s="447"/>
      <c r="L13" s="447"/>
      <c r="M13" s="447"/>
      <c r="N13" s="447"/>
    </row>
    <row r="14" spans="1:14" s="14" customFormat="1" ht="13.1">
      <c r="A14" s="300" t="s">
        <v>113</v>
      </c>
      <c r="B14" s="377">
        <v>299.66000000000003</v>
      </c>
      <c r="C14" s="377">
        <v>774.41</v>
      </c>
      <c r="D14" s="377">
        <v>787.74</v>
      </c>
      <c r="E14" s="377">
        <v>203.35</v>
      </c>
      <c r="F14" s="377">
        <v>286.33</v>
      </c>
      <c r="G14" s="735">
        <f t="shared" si="0"/>
        <v>0.36348287506029908</v>
      </c>
      <c r="H14" s="90"/>
      <c r="I14" s="447"/>
      <c r="J14" s="447"/>
      <c r="K14" s="447"/>
      <c r="L14" s="447"/>
      <c r="M14" s="447"/>
      <c r="N14" s="447"/>
    </row>
    <row r="15" spans="1:14" s="14" customFormat="1" ht="13.1">
      <c r="A15" s="300" t="s">
        <v>114</v>
      </c>
      <c r="B15" s="377">
        <v>283.67</v>
      </c>
      <c r="C15" s="377">
        <v>780.35</v>
      </c>
      <c r="D15" s="377">
        <v>791.34</v>
      </c>
      <c r="E15" s="377">
        <v>202.76</v>
      </c>
      <c r="F15" s="377">
        <v>272.69</v>
      </c>
      <c r="G15" s="735">
        <f>F15/D15</f>
        <v>0.34459271615234915</v>
      </c>
      <c r="H15" s="90"/>
      <c r="I15" s="447"/>
      <c r="J15" s="447"/>
      <c r="K15" s="447"/>
      <c r="L15" s="447"/>
      <c r="M15" s="447"/>
      <c r="N15" s="447"/>
    </row>
    <row r="16" spans="1:14" s="14" customFormat="1" ht="13.1">
      <c r="A16" s="303" t="s">
        <v>744</v>
      </c>
      <c r="B16" s="377">
        <v>273.02</v>
      </c>
      <c r="C16" s="377">
        <v>789.01</v>
      </c>
      <c r="D16" s="377">
        <v>790.59</v>
      </c>
      <c r="E16" s="377">
        <v>221.76</v>
      </c>
      <c r="F16" s="377">
        <v>271.44</v>
      </c>
      <c r="G16" s="735">
        <f t="shared" ref="G16:G18" si="1">F16/D16</f>
        <v>0.34333851933366216</v>
      </c>
      <c r="H16" s="90"/>
      <c r="I16" s="447"/>
      <c r="J16" s="447"/>
      <c r="K16" s="447"/>
      <c r="L16" s="447"/>
      <c r="M16" s="447"/>
      <c r="N16" s="447"/>
    </row>
    <row r="17" spans="1:14" s="14" customFormat="1" ht="15.75" customHeight="1">
      <c r="A17" s="303" t="s">
        <v>743</v>
      </c>
      <c r="B17" s="377">
        <v>271.44</v>
      </c>
      <c r="C17" s="377">
        <v>789.67</v>
      </c>
      <c r="D17" s="377">
        <v>798.75</v>
      </c>
      <c r="E17" s="377">
        <v>220.8</v>
      </c>
      <c r="F17" s="377">
        <v>262.36</v>
      </c>
      <c r="G17" s="735">
        <f t="shared" si="1"/>
        <v>0.32846322378716747</v>
      </c>
      <c r="H17" s="90"/>
      <c r="I17" s="447"/>
      <c r="J17" s="447"/>
      <c r="K17" s="447"/>
      <c r="L17" s="447"/>
      <c r="M17" s="447"/>
      <c r="N17" s="447"/>
    </row>
    <row r="18" spans="1:14" s="14" customFormat="1" ht="15.75" customHeight="1">
      <c r="A18" s="303" t="s">
        <v>742</v>
      </c>
      <c r="B18" s="377">
        <v>262.36</v>
      </c>
      <c r="C18" s="377">
        <v>798.28</v>
      </c>
      <c r="D18" s="377">
        <v>804.02</v>
      </c>
      <c r="E18" s="377">
        <v>214.86</v>
      </c>
      <c r="F18" s="377">
        <v>256.62</v>
      </c>
      <c r="G18" s="735">
        <f t="shared" si="1"/>
        <v>0.31917116489639563</v>
      </c>
      <c r="H18" s="90"/>
      <c r="I18" s="447"/>
      <c r="J18" s="447"/>
      <c r="K18" s="447"/>
      <c r="L18" s="447"/>
      <c r="M18" s="447"/>
      <c r="N18" s="447"/>
    </row>
    <row r="19" spans="1:14" s="14" customFormat="1" ht="15.05" customHeight="1">
      <c r="A19" s="810" t="s">
        <v>115</v>
      </c>
      <c r="B19" s="810"/>
      <c r="C19" s="810"/>
      <c r="D19" s="810"/>
      <c r="E19" s="810"/>
      <c r="F19" s="810"/>
      <c r="G19" s="810"/>
      <c r="H19" s="22"/>
      <c r="I19" s="447"/>
      <c r="J19" s="447"/>
      <c r="K19" s="447"/>
      <c r="L19" s="447"/>
      <c r="M19" s="447"/>
      <c r="N19" s="447"/>
    </row>
    <row r="20" spans="1:14" s="14" customFormat="1" ht="10" customHeight="1">
      <c r="A20" s="278"/>
      <c r="B20" s="356"/>
      <c r="C20" s="356"/>
      <c r="D20" s="356"/>
      <c r="E20" s="356"/>
      <c r="F20" s="356"/>
      <c r="G20" s="278"/>
      <c r="H20" s="22"/>
      <c r="I20" s="447"/>
      <c r="J20" s="447"/>
      <c r="K20" s="447"/>
      <c r="L20" s="447"/>
      <c r="M20" s="447"/>
      <c r="N20" s="447"/>
    </row>
    <row r="21" spans="1:14">
      <c r="C21" s="12"/>
    </row>
    <row r="22" spans="1:14" ht="15.05" customHeight="1">
      <c r="H22" s="447"/>
    </row>
    <row r="23" spans="1:14" ht="10" customHeight="1">
      <c r="K23" s="21"/>
      <c r="L23" s="21"/>
      <c r="M23" s="21"/>
    </row>
    <row r="24" spans="1:14" ht="15.05" customHeight="1">
      <c r="K24" s="21"/>
      <c r="L24" s="21"/>
      <c r="M24" s="21"/>
    </row>
    <row r="25" spans="1:14" ht="15.05" customHeight="1">
      <c r="K25" s="21"/>
      <c r="L25" s="21"/>
      <c r="M25" s="21"/>
    </row>
    <row r="26" spans="1:14" ht="15.05" customHeight="1">
      <c r="K26" s="21"/>
      <c r="L26" s="21"/>
      <c r="M26" s="21"/>
    </row>
    <row r="27" spans="1:14" ht="15.05" customHeight="1"/>
    <row r="28" spans="1:14" ht="15.05" customHeight="1"/>
    <row r="29" spans="1:14" ht="15.05" customHeight="1"/>
    <row r="30" spans="1:14" ht="15.05" customHeight="1"/>
    <row r="31" spans="1:14" ht="15.05" customHeight="1"/>
    <row r="32" spans="1:14" ht="15.05" customHeight="1"/>
    <row r="33" spans="3:8" ht="15.05" customHeight="1"/>
    <row r="34" spans="3:8" ht="15.05" customHeight="1"/>
    <row r="35" spans="3:8" ht="15.05" customHeight="1"/>
    <row r="36" spans="3:8" ht="15.05" customHeight="1">
      <c r="H36" s="88"/>
    </row>
    <row r="37" spans="3:8" ht="14.25" customHeight="1"/>
    <row r="38" spans="3:8" ht="14.25" customHeight="1"/>
    <row r="39" spans="3:8" ht="14.25" customHeight="1"/>
    <row r="40" spans="3:8" ht="14.25" customHeight="1"/>
    <row r="41" spans="3:8" ht="14.25" customHeight="1"/>
    <row r="42" spans="3:8" ht="14.25" customHeight="1"/>
    <row r="43" spans="3:8" ht="14.25" customHeight="1"/>
    <row r="44" spans="3:8" ht="14.25" customHeight="1">
      <c r="C44" s="12"/>
      <c r="D44" s="12"/>
      <c r="E44" s="12"/>
      <c r="F44" s="12"/>
    </row>
    <row r="45" spans="3:8" ht="17.7">
      <c r="C45" s="11"/>
      <c r="D45" s="11"/>
      <c r="E45" s="11"/>
      <c r="F45" s="11"/>
    </row>
  </sheetData>
  <customSheetViews>
    <customSheetView guid="{5CDC6F58-B038-4A0E-A13D-C643B013E119}" topLeftCell="A12">
      <selection activeCell="D28" sqref="D28"/>
      <pageMargins left="0" right="0" top="0" bottom="0" header="0" footer="0"/>
      <printOptions horizontalCentered="1"/>
      <pageSetup firstPageNumber="0" orientation="portrait" r:id="rId1"/>
      <headerFooter alignWithMargins="0">
        <oddFooter>&amp;C&amp;10&amp;A</oddFooter>
      </headerFooter>
    </customSheetView>
  </customSheetViews>
  <mergeCells count="4">
    <mergeCell ref="A19:G19"/>
    <mergeCell ref="A1:G1"/>
    <mergeCell ref="A3:G3"/>
    <mergeCell ref="A4:G4"/>
  </mergeCells>
  <printOptions horizontalCentered="1"/>
  <pageMargins left="0.59055118110236227" right="0.59055118110236227" top="1.299212598425197" bottom="0.78740157480314965" header="0.51181102362204722" footer="0.59055118110236227"/>
  <pageSetup paperSize="126"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X26"/>
  <sheetViews>
    <sheetView zoomScale="90" zoomScaleNormal="90" workbookViewId="0">
      <selection activeCell="G24" sqref="G24"/>
    </sheetView>
  </sheetViews>
  <sheetFormatPr baseColWidth="10" defaultColWidth="10.9140625" defaultRowHeight="17.7"/>
  <cols>
    <col min="1" max="1" width="1.83203125" customWidth="1"/>
    <col min="2" max="2" width="12.4140625" customWidth="1"/>
    <col min="3" max="3" width="8.83203125" bestFit="1" customWidth="1"/>
    <col min="4" max="15" width="4.6640625" customWidth="1"/>
  </cols>
  <sheetData>
    <row r="2" spans="2:24">
      <c r="B2" s="813" t="s">
        <v>116</v>
      </c>
      <c r="C2" s="813"/>
      <c r="D2" s="813"/>
      <c r="E2" s="813"/>
      <c r="F2" s="813"/>
      <c r="G2" s="813"/>
      <c r="H2" s="813"/>
      <c r="I2" s="813"/>
      <c r="J2" s="813"/>
      <c r="K2" s="813"/>
      <c r="L2" s="813"/>
      <c r="M2" s="813"/>
      <c r="N2" s="813"/>
      <c r="O2" s="813"/>
    </row>
    <row r="3" spans="2:24" ht="18" customHeight="1">
      <c r="B3" s="814" t="s">
        <v>599</v>
      </c>
      <c r="C3" s="814"/>
      <c r="D3" s="814"/>
      <c r="E3" s="814"/>
      <c r="F3" s="814"/>
      <c r="G3" s="814"/>
      <c r="H3" s="814"/>
      <c r="I3" s="814"/>
      <c r="J3" s="814"/>
      <c r="K3" s="814"/>
      <c r="L3" s="814"/>
      <c r="M3" s="814"/>
      <c r="N3" s="814"/>
      <c r="O3" s="814"/>
    </row>
    <row r="4" spans="2:24" ht="18" customHeight="1">
      <c r="B4" s="815" t="s">
        <v>774</v>
      </c>
      <c r="C4" s="815"/>
      <c r="D4" s="815"/>
      <c r="E4" s="815"/>
      <c r="F4" s="815"/>
      <c r="G4" s="815"/>
      <c r="H4" s="815"/>
      <c r="I4" s="815"/>
      <c r="J4" s="815"/>
      <c r="K4" s="815"/>
      <c r="L4" s="815"/>
      <c r="M4" s="815"/>
      <c r="N4" s="815"/>
      <c r="O4" s="815"/>
    </row>
    <row r="5" spans="2:24">
      <c r="B5" s="815"/>
      <c r="C5" s="815"/>
      <c r="D5" s="815"/>
      <c r="E5" s="815"/>
      <c r="F5" s="815"/>
      <c r="G5" s="815"/>
      <c r="H5" s="815"/>
      <c r="I5" s="815"/>
      <c r="J5" s="325"/>
    </row>
    <row r="6" spans="2:24" ht="58.75" customHeight="1">
      <c r="B6" s="273" t="s">
        <v>117</v>
      </c>
      <c r="C6" s="302" t="s">
        <v>128</v>
      </c>
      <c r="D6" s="302" t="s">
        <v>118</v>
      </c>
      <c r="E6" s="302" t="s">
        <v>443</v>
      </c>
      <c r="F6" s="302" t="s">
        <v>600</v>
      </c>
      <c r="G6" s="302" t="s">
        <v>480</v>
      </c>
      <c r="H6" s="302" t="s">
        <v>127</v>
      </c>
      <c r="I6" s="302" t="s">
        <v>601</v>
      </c>
      <c r="J6" s="302" t="s">
        <v>602</v>
      </c>
      <c r="K6" s="302" t="s">
        <v>125</v>
      </c>
      <c r="L6" s="302" t="s">
        <v>603</v>
      </c>
      <c r="M6" s="302" t="s">
        <v>604</v>
      </c>
      <c r="N6" s="302" t="s">
        <v>126</v>
      </c>
      <c r="O6" s="302" t="s">
        <v>129</v>
      </c>
    </row>
    <row r="7" spans="2:24" ht="21.8" customHeight="1">
      <c r="B7" s="1046" t="s">
        <v>745</v>
      </c>
      <c r="C7" s="1046"/>
      <c r="D7" s="1046"/>
      <c r="E7" s="1046"/>
      <c r="F7" s="1046"/>
      <c r="G7" s="1046"/>
      <c r="H7" s="1046"/>
      <c r="I7" s="1046"/>
      <c r="J7" s="1046"/>
      <c r="K7" s="1046"/>
      <c r="L7" s="1046"/>
      <c r="M7" s="1046"/>
      <c r="N7" s="1046"/>
      <c r="O7" s="1046"/>
    </row>
    <row r="8" spans="2:24">
      <c r="B8" s="288" t="s">
        <v>92</v>
      </c>
      <c r="C8" s="633">
        <v>179.72</v>
      </c>
      <c r="D8" s="633">
        <v>0.192</v>
      </c>
      <c r="E8" s="633">
        <v>0.62</v>
      </c>
      <c r="F8" s="633">
        <v>1.1100000000000001</v>
      </c>
      <c r="G8" s="633">
        <v>2.3E-2</v>
      </c>
      <c r="H8" s="633">
        <v>35</v>
      </c>
      <c r="I8" s="633">
        <v>2.02</v>
      </c>
      <c r="J8" s="633">
        <v>3.85</v>
      </c>
      <c r="K8" s="633">
        <v>0.96</v>
      </c>
      <c r="L8" s="633">
        <v>9.8000000000000004E-2</v>
      </c>
      <c r="M8" s="633">
        <v>2.62</v>
      </c>
      <c r="N8" s="633">
        <v>106.6</v>
      </c>
      <c r="O8" s="633">
        <v>73.12</v>
      </c>
    </row>
    <row r="9" spans="2:24">
      <c r="B9" s="288" t="s">
        <v>93</v>
      </c>
      <c r="C9" s="633">
        <v>520.41999999999996</v>
      </c>
      <c r="D9" s="633">
        <v>0.82499999999999996</v>
      </c>
      <c r="E9" s="633">
        <v>7.23</v>
      </c>
      <c r="F9" s="633">
        <v>11.9</v>
      </c>
      <c r="G9" s="633">
        <v>0.86</v>
      </c>
      <c r="H9" s="633">
        <v>137</v>
      </c>
      <c r="I9" s="633">
        <v>9.8699999999999992</v>
      </c>
      <c r="J9" s="633">
        <v>20</v>
      </c>
      <c r="K9" s="633">
        <v>6.93</v>
      </c>
      <c r="L9" s="633">
        <v>0.9</v>
      </c>
      <c r="M9" s="633">
        <v>26.63</v>
      </c>
      <c r="N9" s="633">
        <v>144.62</v>
      </c>
      <c r="O9" s="633">
        <v>375.8</v>
      </c>
      <c r="R9" t="s">
        <v>97</v>
      </c>
    </row>
    <row r="10" spans="2:24">
      <c r="B10" s="288" t="s">
        <v>130</v>
      </c>
      <c r="C10" s="633">
        <v>51.12</v>
      </c>
      <c r="D10" s="633">
        <v>5.0000000000000001E-3</v>
      </c>
      <c r="E10" s="633">
        <v>1.1000000000000001</v>
      </c>
      <c r="F10" s="633">
        <v>0</v>
      </c>
      <c r="G10" s="633">
        <v>0</v>
      </c>
      <c r="H10" s="633">
        <v>0</v>
      </c>
      <c r="I10" s="633">
        <v>0.01</v>
      </c>
      <c r="J10" s="633">
        <v>0.1</v>
      </c>
      <c r="K10" s="633">
        <v>1.41</v>
      </c>
      <c r="L10" s="633">
        <v>0</v>
      </c>
      <c r="M10" s="633">
        <v>2.6</v>
      </c>
      <c r="N10" s="633">
        <v>1.53</v>
      </c>
      <c r="O10" s="633">
        <v>49.59</v>
      </c>
    </row>
    <row r="11" spans="2:24">
      <c r="B11" s="288" t="s">
        <v>94</v>
      </c>
      <c r="C11" s="633">
        <v>523.45000000000005</v>
      </c>
      <c r="D11" s="633">
        <v>0.5</v>
      </c>
      <c r="E11" s="633">
        <v>7.1</v>
      </c>
      <c r="F11" s="633">
        <v>10.1</v>
      </c>
      <c r="G11" s="633">
        <v>4.4999999999999998E-2</v>
      </c>
      <c r="H11" s="633">
        <v>117.5</v>
      </c>
      <c r="I11" s="633">
        <v>4</v>
      </c>
      <c r="J11" s="633">
        <v>12.5</v>
      </c>
      <c r="K11" s="633">
        <v>4.99</v>
      </c>
      <c r="L11" s="633">
        <v>0.05</v>
      </c>
      <c r="M11" s="633">
        <v>22</v>
      </c>
      <c r="N11" s="633">
        <v>148.12</v>
      </c>
      <c r="O11" s="633">
        <v>375.33</v>
      </c>
    </row>
    <row r="12" spans="2:24">
      <c r="B12" s="288" t="s">
        <v>95</v>
      </c>
      <c r="C12" s="633">
        <v>54.54</v>
      </c>
      <c r="D12" s="633">
        <v>0.35</v>
      </c>
      <c r="E12" s="633">
        <v>1</v>
      </c>
      <c r="F12" s="633">
        <v>2</v>
      </c>
      <c r="G12" s="633">
        <v>0.8</v>
      </c>
      <c r="H12" s="633">
        <v>16</v>
      </c>
      <c r="I12" s="633">
        <v>6.4</v>
      </c>
      <c r="J12" s="633">
        <v>8.8000000000000007</v>
      </c>
      <c r="K12" s="633">
        <v>3.1</v>
      </c>
      <c r="L12" s="633">
        <v>0.85</v>
      </c>
      <c r="M12" s="633">
        <v>8.3000000000000007</v>
      </c>
      <c r="N12" s="633">
        <v>1.63</v>
      </c>
      <c r="O12" s="633">
        <v>52.91</v>
      </c>
      <c r="P12" s="11"/>
      <c r="Q12" s="11"/>
    </row>
    <row r="13" spans="2:24">
      <c r="B13" s="398" t="s">
        <v>103</v>
      </c>
      <c r="C13" s="633">
        <v>176.69</v>
      </c>
      <c r="D13" s="633">
        <v>0.17199999999999999</v>
      </c>
      <c r="E13" s="633">
        <v>0.84</v>
      </c>
      <c r="F13" s="633">
        <v>0.91</v>
      </c>
      <c r="G13" s="633">
        <v>3.7999999999999999E-2</v>
      </c>
      <c r="H13" s="633">
        <v>38.5</v>
      </c>
      <c r="I13" s="633">
        <v>1.5</v>
      </c>
      <c r="J13" s="633">
        <v>2.65</v>
      </c>
      <c r="K13" s="633">
        <v>1.22</v>
      </c>
      <c r="L13" s="633">
        <v>9.8000000000000004E-2</v>
      </c>
      <c r="M13" s="633">
        <v>1.55</v>
      </c>
      <c r="N13" s="633">
        <v>103</v>
      </c>
      <c r="O13" s="633">
        <v>73.69</v>
      </c>
      <c r="P13" s="123"/>
      <c r="Q13" s="123"/>
      <c r="R13" s="123"/>
      <c r="S13" s="123"/>
      <c r="T13" s="123"/>
      <c r="U13" s="123"/>
      <c r="V13" s="123"/>
      <c r="W13" s="123"/>
      <c r="X13" s="123"/>
    </row>
    <row r="14" spans="2:24" ht="18" customHeight="1">
      <c r="B14" s="1047" t="s">
        <v>746</v>
      </c>
      <c r="C14" s="1047"/>
      <c r="D14" s="1047"/>
      <c r="E14" s="1047"/>
      <c r="F14" s="1047"/>
      <c r="G14" s="1047"/>
      <c r="H14" s="1047"/>
      <c r="I14" s="1047"/>
      <c r="J14" s="1047"/>
      <c r="K14" s="1047"/>
      <c r="L14" s="1047"/>
      <c r="M14" s="1047"/>
      <c r="N14" s="1047"/>
      <c r="O14" s="1047"/>
    </row>
    <row r="15" spans="2:24">
      <c r="B15" s="399" t="s">
        <v>92</v>
      </c>
      <c r="C15" s="633">
        <v>176.69</v>
      </c>
      <c r="D15" s="633">
        <v>0.17199999999999999</v>
      </c>
      <c r="E15" s="633">
        <v>0.84</v>
      </c>
      <c r="F15" s="633">
        <v>0.91</v>
      </c>
      <c r="G15" s="633">
        <v>3.7999999999999999E-2</v>
      </c>
      <c r="H15" s="633">
        <v>38.5</v>
      </c>
      <c r="I15" s="633">
        <v>1.5</v>
      </c>
      <c r="J15" s="633">
        <v>2.65</v>
      </c>
      <c r="K15" s="633">
        <v>1.22</v>
      </c>
      <c r="L15" s="633">
        <v>9.8000000000000004E-2</v>
      </c>
      <c r="M15" s="633">
        <v>1.55</v>
      </c>
      <c r="N15" s="633">
        <v>103</v>
      </c>
      <c r="O15" s="633">
        <v>73.69</v>
      </c>
    </row>
    <row r="16" spans="2:24">
      <c r="B16" s="404" t="s">
        <v>93</v>
      </c>
      <c r="C16" s="633">
        <v>527.71</v>
      </c>
      <c r="D16" s="633">
        <v>0.9</v>
      </c>
      <c r="E16" s="633">
        <v>7.5</v>
      </c>
      <c r="F16" s="633">
        <v>12.1</v>
      </c>
      <c r="G16" s="633">
        <v>0.9</v>
      </c>
      <c r="H16" s="633">
        <v>138</v>
      </c>
      <c r="I16" s="633">
        <v>10</v>
      </c>
      <c r="J16" s="633">
        <v>20.100000000000001</v>
      </c>
      <c r="K16" s="633">
        <v>7.01</v>
      </c>
      <c r="L16" s="633">
        <v>1.05</v>
      </c>
      <c r="M16" s="633">
        <v>26.5</v>
      </c>
      <c r="N16" s="633">
        <v>146</v>
      </c>
      <c r="O16" s="633">
        <v>381.71</v>
      </c>
      <c r="Q16" s="348"/>
    </row>
    <row r="17" spans="2:24">
      <c r="B17" s="404" t="s">
        <v>130</v>
      </c>
      <c r="C17" s="633">
        <v>50.86</v>
      </c>
      <c r="D17" s="633">
        <v>5.0000000000000001E-3</v>
      </c>
      <c r="E17" s="633">
        <v>0.9</v>
      </c>
      <c r="F17" s="633">
        <v>0.01</v>
      </c>
      <c r="G17" s="633">
        <v>0</v>
      </c>
      <c r="H17" s="633">
        <v>0</v>
      </c>
      <c r="I17" s="633">
        <v>0</v>
      </c>
      <c r="J17" s="633">
        <v>0.1</v>
      </c>
      <c r="K17" s="633">
        <v>1.45</v>
      </c>
      <c r="L17" s="633">
        <v>0</v>
      </c>
      <c r="M17" s="633">
        <v>2.95</v>
      </c>
      <c r="N17" s="633">
        <v>1.5</v>
      </c>
      <c r="O17" s="633">
        <v>49.36</v>
      </c>
    </row>
    <row r="18" spans="2:24">
      <c r="B18" s="404" t="s">
        <v>94</v>
      </c>
      <c r="C18" s="633">
        <v>526.96</v>
      </c>
      <c r="D18" s="633">
        <v>0.5</v>
      </c>
      <c r="E18" s="633">
        <v>7.1</v>
      </c>
      <c r="F18" s="633">
        <v>10.199999999999999</v>
      </c>
      <c r="G18" s="633">
        <v>4.4999999999999998E-2</v>
      </c>
      <c r="H18" s="633">
        <v>120</v>
      </c>
      <c r="I18" s="633">
        <v>4.0999999999999996</v>
      </c>
      <c r="J18" s="633">
        <v>12.6</v>
      </c>
      <c r="K18" s="633">
        <v>5.08</v>
      </c>
      <c r="L18" s="633">
        <v>0.06</v>
      </c>
      <c r="M18" s="633">
        <v>22</v>
      </c>
      <c r="N18" s="633">
        <v>145</v>
      </c>
      <c r="O18" s="633">
        <v>381.96</v>
      </c>
    </row>
    <row r="19" spans="2:24">
      <c r="B19" s="404" t="s">
        <v>95</v>
      </c>
      <c r="C19" s="633">
        <v>54.42</v>
      </c>
      <c r="D19" s="633">
        <v>0.4</v>
      </c>
      <c r="E19" s="633">
        <v>1.2</v>
      </c>
      <c r="F19" s="633">
        <v>1.8</v>
      </c>
      <c r="G19" s="633">
        <v>0.85</v>
      </c>
      <c r="H19" s="633">
        <v>18</v>
      </c>
      <c r="I19" s="633">
        <v>5.9</v>
      </c>
      <c r="J19" s="633">
        <v>7.5</v>
      </c>
      <c r="K19" s="633">
        <v>3.21</v>
      </c>
      <c r="L19" s="633">
        <v>1</v>
      </c>
      <c r="M19" s="633">
        <v>7.4</v>
      </c>
      <c r="N19" s="633">
        <v>1.5</v>
      </c>
      <c r="O19" s="633">
        <v>52.92</v>
      </c>
      <c r="P19" s="11"/>
      <c r="Q19" s="11"/>
    </row>
    <row r="20" spans="2:24">
      <c r="B20" s="404" t="s">
        <v>103</v>
      </c>
      <c r="C20" s="633">
        <v>177.43</v>
      </c>
      <c r="D20" s="633">
        <v>0.17699999999999999</v>
      </c>
      <c r="E20" s="633">
        <v>0.94</v>
      </c>
      <c r="F20" s="633">
        <v>1.02</v>
      </c>
      <c r="G20" s="633">
        <v>4.2999999999999997E-2</v>
      </c>
      <c r="H20" s="633">
        <v>38.5</v>
      </c>
      <c r="I20" s="633">
        <v>1.5</v>
      </c>
      <c r="J20" s="633">
        <v>2.75</v>
      </c>
      <c r="K20" s="633">
        <v>1.39</v>
      </c>
      <c r="L20" s="633">
        <v>8.7999999999999995E-2</v>
      </c>
      <c r="M20" s="633">
        <v>1.6</v>
      </c>
      <c r="N20" s="633">
        <v>104</v>
      </c>
      <c r="O20" s="633">
        <v>73.430000000000007</v>
      </c>
      <c r="P20" s="123"/>
      <c r="Q20" s="357"/>
      <c r="R20" s="123"/>
      <c r="S20" s="123"/>
      <c r="T20" s="123"/>
      <c r="U20" s="123"/>
      <c r="V20" s="123"/>
      <c r="W20" s="123"/>
      <c r="X20" s="123"/>
    </row>
    <row r="21" spans="2:24">
      <c r="B21" s="1045" t="s">
        <v>605</v>
      </c>
      <c r="C21" s="1045"/>
      <c r="D21" s="1045"/>
      <c r="E21" s="1045"/>
      <c r="F21" s="1045"/>
      <c r="G21" s="1045"/>
      <c r="H21" s="1045"/>
      <c r="I21" s="1045"/>
      <c r="J21" s="1045"/>
      <c r="K21" s="1045"/>
      <c r="L21" s="1045"/>
      <c r="M21" s="1045"/>
      <c r="N21" s="1045"/>
      <c r="O21" s="1045"/>
    </row>
    <row r="22" spans="2:24">
      <c r="B22" s="123"/>
      <c r="C22" s="123"/>
      <c r="D22" s="123"/>
      <c r="E22" s="123"/>
      <c r="F22" s="123"/>
      <c r="G22" s="123"/>
      <c r="H22" s="123"/>
      <c r="I22" s="123"/>
      <c r="J22" s="123"/>
      <c r="K22" s="123"/>
      <c r="L22" s="123"/>
      <c r="M22" s="123"/>
      <c r="N22" s="123"/>
      <c r="O22" s="123"/>
    </row>
    <row r="23" spans="2:24">
      <c r="B23" s="123"/>
      <c r="C23" s="123" t="s">
        <v>97</v>
      </c>
      <c r="D23" s="123"/>
      <c r="E23" s="123"/>
      <c r="F23" s="123"/>
      <c r="G23" s="123"/>
      <c r="H23" s="123"/>
      <c r="I23" s="123"/>
      <c r="J23" s="123"/>
      <c r="K23" s="123"/>
      <c r="L23" s="123"/>
      <c r="M23" s="123"/>
      <c r="N23" s="123"/>
      <c r="O23" s="123"/>
    </row>
    <row r="24" spans="2:24">
      <c r="C24" s="22"/>
    </row>
    <row r="25" spans="2:24">
      <c r="C25" s="613"/>
    </row>
    <row r="26" spans="2:24">
      <c r="C26" s="613"/>
    </row>
  </sheetData>
  <mergeCells count="7">
    <mergeCell ref="B5:I5"/>
    <mergeCell ref="B21:O21"/>
    <mergeCell ref="B7:O7"/>
    <mergeCell ref="B14:O14"/>
    <mergeCell ref="B2:O2"/>
    <mergeCell ref="B3:O3"/>
    <mergeCell ref="B4:O4"/>
  </mergeCells>
  <pageMargins left="0.70866141732283472" right="0.70866141732283472" top="0.74803149606299213" bottom="0.74803149606299213" header="0.31496062992125984" footer="0.31496062992125984"/>
  <pageSetup paperSize="126" orientation="landscape" r:id="rId1"/>
  <headerFooter>
    <oddFooter>&amp;C&amp;11&amp;A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M26"/>
  <sheetViews>
    <sheetView zoomScale="90" zoomScaleNormal="90" workbookViewId="0">
      <selection activeCell="J29" sqref="J29"/>
    </sheetView>
  </sheetViews>
  <sheetFormatPr baseColWidth="10" defaultColWidth="10.9140625" defaultRowHeight="12.45"/>
  <cols>
    <col min="1" max="1" width="0.9140625" style="38" customWidth="1"/>
    <col min="2" max="2" width="13.4140625" style="38" customWidth="1"/>
    <col min="3" max="5" width="14.1640625" style="38" customWidth="1"/>
    <col min="6" max="6" width="2.6640625" style="38" customWidth="1"/>
    <col min="7" max="7" width="7.9140625" style="38" bestFit="1" customWidth="1"/>
    <col min="8" max="8" width="7" style="38" customWidth="1"/>
    <col min="9" max="16384" width="10.9140625" style="38"/>
  </cols>
  <sheetData>
    <row r="1" spans="2:13" s="19" customFormat="1" ht="15.05" customHeight="1">
      <c r="B1" s="813" t="s">
        <v>132</v>
      </c>
      <c r="C1" s="813"/>
      <c r="D1" s="813"/>
      <c r="E1" s="813"/>
    </row>
    <row r="2" spans="2:13" s="19" customFormat="1" ht="15.05" customHeight="1"/>
    <row r="3" spans="2:13" s="19" customFormat="1" ht="18.649999999999999" customHeight="1">
      <c r="B3" s="814" t="s">
        <v>606</v>
      </c>
      <c r="C3" s="814"/>
      <c r="D3" s="814"/>
      <c r="E3" s="814"/>
    </row>
    <row r="4" spans="2:13" s="19" customFormat="1" ht="15.05" customHeight="1">
      <c r="B4" s="813" t="s">
        <v>694</v>
      </c>
      <c r="C4" s="813"/>
      <c r="D4" s="813"/>
      <c r="E4" s="813"/>
    </row>
    <row r="5" spans="2:13" s="19" customFormat="1" ht="28" customHeight="1">
      <c r="B5" s="124" t="s">
        <v>134</v>
      </c>
      <c r="C5" s="125" t="s">
        <v>607</v>
      </c>
      <c r="D5" s="125" t="s">
        <v>608</v>
      </c>
      <c r="E5" s="125" t="s">
        <v>609</v>
      </c>
      <c r="G5" s="182"/>
    </row>
    <row r="6" spans="2:13" s="19" customFormat="1" ht="18" customHeight="1">
      <c r="B6" s="49" t="s">
        <v>610</v>
      </c>
      <c r="C6" s="296">
        <v>23.68</v>
      </c>
      <c r="D6" s="296">
        <v>127.3112</v>
      </c>
      <c r="E6" s="296">
        <f t="shared" ref="E6:E11" si="0">D6/C6*10</f>
        <v>53.763175675675676</v>
      </c>
      <c r="G6" s="183"/>
      <c r="H6" s="183"/>
    </row>
    <row r="7" spans="2:13" s="19" customFormat="1" ht="18" customHeight="1">
      <c r="B7" s="49" t="s">
        <v>611</v>
      </c>
      <c r="C7" s="296">
        <v>24.527000000000001</v>
      </c>
      <c r="D7" s="296">
        <v>94.672499999999999</v>
      </c>
      <c r="E7" s="296">
        <f t="shared" si="0"/>
        <v>38.599298732009622</v>
      </c>
      <c r="G7" s="183"/>
      <c r="H7" s="183"/>
    </row>
    <row r="8" spans="2:13" s="19" customFormat="1" ht="18" customHeight="1">
      <c r="B8" s="49" t="s">
        <v>448</v>
      </c>
      <c r="C8" s="296">
        <v>25.120999999999999</v>
      </c>
      <c r="D8" s="296">
        <v>130.375</v>
      </c>
      <c r="E8" s="296">
        <f t="shared" si="0"/>
        <v>51.898809760757928</v>
      </c>
      <c r="G8" s="183"/>
      <c r="H8" s="183"/>
    </row>
    <row r="9" spans="2:13" s="19" customFormat="1" ht="18" customHeight="1">
      <c r="B9" s="49" t="s">
        <v>140</v>
      </c>
      <c r="C9" s="296">
        <v>23.991</v>
      </c>
      <c r="D9" s="296">
        <v>149.78790000000001</v>
      </c>
      <c r="E9" s="296">
        <f t="shared" si="0"/>
        <v>62.435038139302243</v>
      </c>
      <c r="G9" s="183"/>
      <c r="H9" s="183"/>
    </row>
    <row r="10" spans="2:13" s="19" customFormat="1" ht="18" customHeight="1">
      <c r="B10" s="49" t="s">
        <v>105</v>
      </c>
      <c r="C10" s="296">
        <v>21</v>
      </c>
      <c r="D10" s="296">
        <v>130.3073</v>
      </c>
      <c r="E10" s="296">
        <f t="shared" si="0"/>
        <v>62.051095238095243</v>
      </c>
      <c r="G10" s="183"/>
      <c r="H10" s="183"/>
    </row>
    <row r="11" spans="2:13" ht="18" customHeight="1">
      <c r="B11" s="49" t="s">
        <v>106</v>
      </c>
      <c r="C11" s="296">
        <v>22.398</v>
      </c>
      <c r="D11" s="296">
        <v>134.88432</v>
      </c>
      <c r="E11" s="296">
        <f t="shared" si="0"/>
        <v>60.221591213501206</v>
      </c>
      <c r="F11" s="27"/>
      <c r="G11" s="183" t="s">
        <v>97</v>
      </c>
      <c r="H11" s="183"/>
      <c r="I11" s="28"/>
      <c r="J11" s="127"/>
      <c r="K11" s="127"/>
      <c r="L11" s="128"/>
      <c r="M11" s="28"/>
    </row>
    <row r="12" spans="2:13" ht="18" customHeight="1">
      <c r="B12" s="49" t="s">
        <v>141</v>
      </c>
      <c r="C12" s="296">
        <v>23.713999999999999</v>
      </c>
      <c r="D12" s="296">
        <f>C12*E12/10</f>
        <v>163.6266</v>
      </c>
      <c r="E12" s="296">
        <v>69</v>
      </c>
      <c r="F12" s="27"/>
      <c r="G12" s="183"/>
      <c r="H12" s="184"/>
      <c r="I12" s="185"/>
      <c r="J12" s="186"/>
      <c r="K12" s="186"/>
      <c r="L12" s="128"/>
      <c r="M12" s="28"/>
    </row>
    <row r="13" spans="2:13" ht="18" customHeight="1">
      <c r="B13" s="49" t="s">
        <v>142</v>
      </c>
      <c r="C13" s="296">
        <v>26.54</v>
      </c>
      <c r="D13" s="296">
        <v>174.083</v>
      </c>
      <c r="E13" s="296">
        <f>D13/C13*10</f>
        <v>65.592690278824421</v>
      </c>
      <c r="F13" s="27"/>
      <c r="G13" s="183" t="s">
        <v>387</v>
      </c>
      <c r="H13" s="183"/>
      <c r="I13" s="28"/>
      <c r="J13" s="127"/>
      <c r="K13" s="127"/>
      <c r="L13" s="128"/>
      <c r="M13" s="28"/>
    </row>
    <row r="14" spans="2:13" ht="18" customHeight="1">
      <c r="B14" s="49" t="s">
        <v>143</v>
      </c>
      <c r="C14" s="296">
        <v>20.937000000000001</v>
      </c>
      <c r="D14" s="296">
        <v>131.27499</v>
      </c>
      <c r="E14" s="296">
        <v>61.1</v>
      </c>
      <c r="F14" s="27"/>
      <c r="G14" s="183"/>
      <c r="H14" s="183"/>
      <c r="I14" s="28"/>
      <c r="J14" s="127"/>
      <c r="K14" s="127"/>
      <c r="L14" s="128"/>
      <c r="M14" s="28"/>
    </row>
    <row r="15" spans="2:13" ht="18" customHeight="1">
      <c r="B15" s="49" t="s">
        <v>144</v>
      </c>
      <c r="C15" s="296">
        <v>29.521999999999998</v>
      </c>
      <c r="D15" s="296">
        <v>192.80799999999999</v>
      </c>
      <c r="E15" s="296">
        <v>65.309938351060225</v>
      </c>
      <c r="F15" s="27"/>
      <c r="G15" s="183"/>
      <c r="H15" s="183"/>
      <c r="I15" s="28"/>
      <c r="J15" s="127"/>
      <c r="K15" s="127"/>
      <c r="L15" s="128"/>
      <c r="M15" s="28"/>
    </row>
    <row r="16" spans="2:13" ht="18" customHeight="1">
      <c r="B16" s="49" t="s">
        <v>111</v>
      </c>
      <c r="C16" s="296">
        <v>26.242000000000001</v>
      </c>
      <c r="D16" s="296">
        <v>174.8972</v>
      </c>
      <c r="E16" s="296">
        <f>D16/C16*10</f>
        <v>66.647816477402642</v>
      </c>
      <c r="F16" s="27"/>
      <c r="G16" s="183"/>
      <c r="H16" s="183"/>
      <c r="I16" s="28"/>
      <c r="J16" s="127"/>
      <c r="K16" s="127"/>
      <c r="L16" s="128"/>
      <c r="M16" s="28"/>
    </row>
    <row r="17" spans="2:13" ht="18" customHeight="1">
      <c r="B17" s="49" t="s">
        <v>145</v>
      </c>
      <c r="C17" s="296">
        <v>26.393999999999998</v>
      </c>
      <c r="D17" s="296">
        <f>C17*E17/10</f>
        <v>169.71341999999999</v>
      </c>
      <c r="E17" s="296">
        <v>64.3</v>
      </c>
      <c r="F17" s="27"/>
      <c r="G17" s="277"/>
      <c r="H17" s="277"/>
      <c r="I17" s="277"/>
      <c r="J17" s="127"/>
      <c r="K17" s="127"/>
      <c r="L17" s="128"/>
      <c r="M17" s="28"/>
    </row>
    <row r="18" spans="2:13" ht="18" customHeight="1">
      <c r="B18" s="49" t="s">
        <v>113</v>
      </c>
      <c r="C18" s="296">
        <v>22.965</v>
      </c>
      <c r="D18" s="296">
        <f>C18*E18/10</f>
        <v>146.08510000000001</v>
      </c>
      <c r="E18" s="296">
        <v>63.612061833224473</v>
      </c>
      <c r="F18" s="27"/>
      <c r="G18" s="277"/>
      <c r="H18" s="277"/>
      <c r="I18" s="277"/>
      <c r="J18" s="127"/>
      <c r="K18" s="127"/>
      <c r="L18" s="128"/>
      <c r="M18" s="28"/>
    </row>
    <row r="19" spans="2:13" ht="18" customHeight="1">
      <c r="B19" s="49" t="s">
        <v>146</v>
      </c>
      <c r="C19" s="296">
        <v>20.712</v>
      </c>
      <c r="D19" s="296">
        <f>1005570.00672749/10000</f>
        <v>100.557000672749</v>
      </c>
      <c r="E19" s="296">
        <v>48.550116199666228</v>
      </c>
      <c r="F19" s="27"/>
      <c r="G19" s="564"/>
      <c r="H19" s="564"/>
      <c r="I19" s="564"/>
      <c r="J19" s="267"/>
      <c r="K19" s="127"/>
      <c r="L19" s="128"/>
      <c r="M19" s="28"/>
    </row>
    <row r="20" spans="2:13" ht="18" customHeight="1">
      <c r="B20" s="49" t="s">
        <v>692</v>
      </c>
      <c r="C20" s="296">
        <f>17945/1000</f>
        <v>17.945</v>
      </c>
      <c r="D20" s="296">
        <f>1092321.50484001/10/1000</f>
        <v>109.232150484001</v>
      </c>
      <c r="E20" s="296">
        <v>60.870521306214101</v>
      </c>
      <c r="F20" s="27"/>
      <c r="G20" s="564"/>
      <c r="H20" s="564"/>
      <c r="I20" s="564"/>
      <c r="J20" s="267"/>
      <c r="K20" s="127"/>
      <c r="L20" s="128"/>
      <c r="M20" s="28"/>
    </row>
    <row r="21" spans="2:13" ht="18" customHeight="1">
      <c r="B21" s="49" t="s">
        <v>758</v>
      </c>
      <c r="C21" s="296">
        <f>17370/1000</f>
        <v>17.37</v>
      </c>
      <c r="D21" s="296">
        <f>1186732.32441134/10/1000</f>
        <v>118.673232441134</v>
      </c>
      <c r="E21" s="296">
        <v>68.320801635655727</v>
      </c>
      <c r="F21" s="27"/>
      <c r="G21" s="564"/>
      <c r="H21" s="564"/>
      <c r="I21" s="564"/>
      <c r="J21" s="267"/>
      <c r="K21" s="127"/>
      <c r="L21" s="128"/>
      <c r="M21" s="28"/>
    </row>
    <row r="22" spans="2:13" ht="22.95" customHeight="1">
      <c r="B22" s="860" t="s">
        <v>147</v>
      </c>
      <c r="C22" s="861"/>
      <c r="D22" s="861"/>
      <c r="E22" s="862"/>
      <c r="F22" s="416"/>
      <c r="G22" s="416"/>
      <c r="H22" s="416"/>
      <c r="I22" s="38" t="s">
        <v>97</v>
      </c>
    </row>
    <row r="23" spans="2:13">
      <c r="B23" s="415"/>
      <c r="C23" s="415"/>
      <c r="D23" s="415"/>
      <c r="E23" s="415"/>
      <c r="F23" s="415"/>
      <c r="G23" s="415"/>
    </row>
    <row r="24" spans="2:13">
      <c r="B24" s="415"/>
      <c r="C24" s="415"/>
      <c r="D24" s="415"/>
      <c r="E24" s="415"/>
      <c r="F24" s="415"/>
      <c r="G24" s="415"/>
    </row>
    <row r="25" spans="2:13">
      <c r="B25" s="415"/>
      <c r="C25" s="415"/>
      <c r="D25" s="415"/>
      <c r="E25" s="415"/>
      <c r="F25" s="415"/>
      <c r="G25" s="415"/>
    </row>
    <row r="26" spans="2:13">
      <c r="B26" s="414"/>
      <c r="C26" s="414"/>
      <c r="D26" s="414"/>
      <c r="E26" s="414"/>
      <c r="F26" s="414"/>
      <c r="G26" s="415"/>
    </row>
  </sheetData>
  <mergeCells count="4">
    <mergeCell ref="B22:E22"/>
    <mergeCell ref="B1:E1"/>
    <mergeCell ref="B3:E3"/>
    <mergeCell ref="B4:E4"/>
  </mergeCells>
  <phoneticPr fontId="47" type="noConversion"/>
  <pageMargins left="0.70866141732283472" right="0.70866141732283472" top="0.74803149606299213" bottom="0.74803149606299213" header="0.31496062992125984" footer="0.31496062992125984"/>
  <pageSetup paperSize="126" scale="76" orientation="portrait" r:id="rId1"/>
  <headerFooter>
    <oddFooter>&amp;C&amp;11&amp;A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N35"/>
  <sheetViews>
    <sheetView zoomScaleNormal="100" zoomScaleSheetLayoutView="50" workbookViewId="0">
      <pane ySplit="5" topLeftCell="A6" activePane="bottomLeft" state="frozen"/>
      <selection pane="bottomLeft" activeCell="J20" sqref="J20"/>
    </sheetView>
  </sheetViews>
  <sheetFormatPr baseColWidth="10" defaultColWidth="10.9140625" defaultRowHeight="12.45"/>
  <cols>
    <col min="1" max="1" width="0.9140625" style="38" customWidth="1"/>
    <col min="2" max="2" width="12.4140625" style="38" customWidth="1"/>
    <col min="3" max="6" width="10.9140625" style="38" customWidth="1"/>
    <col min="7" max="7" width="1.4140625" style="38" customWidth="1"/>
    <col min="8" max="8" width="6.75" style="38" customWidth="1"/>
    <col min="9" max="9" width="7" style="38" customWidth="1"/>
    <col min="10" max="10" width="11.25" style="38" bestFit="1" customWidth="1"/>
    <col min="11" max="16384" width="10.9140625" style="38"/>
  </cols>
  <sheetData>
    <row r="1" spans="2:14" s="19" customFormat="1" ht="15.05" customHeight="1">
      <c r="B1" s="813" t="s">
        <v>148</v>
      </c>
      <c r="C1" s="813"/>
      <c r="D1" s="813"/>
      <c r="E1" s="813"/>
      <c r="F1" s="813"/>
    </row>
    <row r="2" spans="2:14" s="19" customFormat="1" ht="28.5" customHeight="1">
      <c r="B2" s="814" t="s">
        <v>534</v>
      </c>
      <c r="C2" s="813"/>
      <c r="D2" s="813"/>
      <c r="E2" s="813"/>
      <c r="F2" s="813"/>
    </row>
    <row r="3" spans="2:14" s="19" customFormat="1" ht="15.05" customHeight="1">
      <c r="B3" s="813" t="s">
        <v>765</v>
      </c>
      <c r="C3" s="813"/>
      <c r="D3" s="813"/>
      <c r="E3" s="813"/>
      <c r="F3" s="813"/>
    </row>
    <row r="4" spans="2:14" s="19" customFormat="1" ht="15.05" customHeight="1">
      <c r="B4" s="31"/>
      <c r="C4" s="31"/>
      <c r="D4" s="31"/>
      <c r="E4" s="31"/>
      <c r="F4" s="31"/>
    </row>
    <row r="5" spans="2:14" s="19" customFormat="1" ht="46.5" customHeight="1">
      <c r="B5" s="124" t="s">
        <v>134</v>
      </c>
      <c r="C5" s="124" t="s">
        <v>150</v>
      </c>
      <c r="D5" s="125" t="s">
        <v>151</v>
      </c>
      <c r="E5" s="125" t="s">
        <v>152</v>
      </c>
      <c r="F5" s="125" t="s">
        <v>153</v>
      </c>
    </row>
    <row r="6" spans="2:14" ht="16.55" customHeight="1">
      <c r="B6" s="1048" t="s">
        <v>612</v>
      </c>
      <c r="C6" s="130" t="s">
        <v>157</v>
      </c>
      <c r="D6" s="368">
        <v>27885</v>
      </c>
      <c r="E6" s="367">
        <f>1815355/10</f>
        <v>181535.5</v>
      </c>
      <c r="F6" s="369">
        <f>+E6*10/D6</f>
        <v>65.101488255334402</v>
      </c>
      <c r="G6" s="27"/>
      <c r="H6" s="134"/>
      <c r="I6" s="262"/>
      <c r="J6" s="28"/>
      <c r="K6" s="127"/>
      <c r="L6" s="127"/>
      <c r="M6" s="128"/>
      <c r="N6" s="28"/>
    </row>
    <row r="7" spans="2:14" ht="16.55" customHeight="1">
      <c r="B7" s="1049"/>
      <c r="C7" s="130" t="s">
        <v>159</v>
      </c>
      <c r="D7" s="368">
        <v>1637</v>
      </c>
      <c r="E7" s="367">
        <f>112725/10</f>
        <v>11272.5</v>
      </c>
      <c r="F7" s="369">
        <f>+E7*10/D7</f>
        <v>68.860720830788026</v>
      </c>
      <c r="G7" s="27"/>
      <c r="H7" s="134"/>
      <c r="I7" s="262"/>
      <c r="J7" s="28"/>
      <c r="K7" s="127"/>
      <c r="L7" s="127"/>
      <c r="M7" s="128"/>
      <c r="N7" s="28"/>
    </row>
    <row r="8" spans="2:14" ht="16.55" customHeight="1">
      <c r="B8" s="1050"/>
      <c r="C8" s="130" t="s">
        <v>164</v>
      </c>
      <c r="D8" s="368">
        <f>+D6+D7</f>
        <v>29522</v>
      </c>
      <c r="E8" s="368">
        <f>+E6+E7</f>
        <v>192808</v>
      </c>
      <c r="F8" s="369">
        <f>+E8*10/D8</f>
        <v>65.309938351060225</v>
      </c>
      <c r="G8" s="27"/>
      <c r="H8" s="134"/>
      <c r="I8" s="135"/>
      <c r="J8" s="28"/>
      <c r="K8" s="127"/>
      <c r="L8" s="127"/>
      <c r="M8" s="128"/>
      <c r="N8" s="28"/>
    </row>
    <row r="9" spans="2:14" ht="16.55" customHeight="1">
      <c r="B9" s="1048" t="s">
        <v>613</v>
      </c>
      <c r="C9" s="130" t="s">
        <v>157</v>
      </c>
      <c r="D9" s="368">
        <v>23083</v>
      </c>
      <c r="E9" s="368">
        <v>154923.79999999999</v>
      </c>
      <c r="F9" s="369">
        <f>E9/D9*10</f>
        <v>67.115972793830963</v>
      </c>
      <c r="G9" s="27"/>
      <c r="H9" s="134"/>
      <c r="I9" s="135"/>
      <c r="J9" s="28"/>
      <c r="K9" s="127"/>
      <c r="L9" s="127"/>
      <c r="M9" s="128"/>
      <c r="N9" s="28"/>
    </row>
    <row r="10" spans="2:14" ht="16.55" customHeight="1">
      <c r="B10" s="1049"/>
      <c r="C10" s="130" t="s">
        <v>158</v>
      </c>
      <c r="D10" s="368">
        <v>3159</v>
      </c>
      <c r="E10" s="368">
        <v>19973.400000000001</v>
      </c>
      <c r="F10" s="369">
        <f>E10/D10*10</f>
        <v>63.226970560303897</v>
      </c>
      <c r="G10" s="27"/>
      <c r="H10" s="134"/>
      <c r="I10" s="135"/>
      <c r="J10" s="264"/>
      <c r="K10" s="262"/>
      <c r="L10" s="127"/>
      <c r="M10" s="128"/>
      <c r="N10" s="28"/>
    </row>
    <row r="11" spans="2:14" ht="16.55" customHeight="1">
      <c r="B11" s="1050"/>
      <c r="C11" s="130" t="s">
        <v>164</v>
      </c>
      <c r="D11" s="368">
        <v>26242</v>
      </c>
      <c r="E11" s="368">
        <v>174897.2</v>
      </c>
      <c r="F11" s="369">
        <v>66.599999999999994</v>
      </c>
      <c r="G11" s="27"/>
      <c r="H11" s="265"/>
      <c r="I11" s="267"/>
      <c r="J11" s="265"/>
      <c r="K11" s="127"/>
      <c r="L11" s="127"/>
      <c r="M11" s="128"/>
      <c r="N11" s="28"/>
    </row>
    <row r="12" spans="2:14" ht="16.55" customHeight="1">
      <c r="B12" s="1048" t="s">
        <v>452</v>
      </c>
      <c r="C12" s="130" t="s">
        <v>157</v>
      </c>
      <c r="D12" s="368">
        <v>20185</v>
      </c>
      <c r="E12" s="368">
        <v>126140.9</v>
      </c>
      <c r="F12" s="369">
        <f>E12/D12*10</f>
        <v>62.492395343076545</v>
      </c>
      <c r="G12" s="27"/>
      <c r="H12" s="134"/>
      <c r="I12" s="135"/>
      <c r="J12" s="28"/>
      <c r="K12" s="127"/>
      <c r="L12" s="127"/>
      <c r="M12" s="128"/>
      <c r="N12" s="28"/>
    </row>
    <row r="13" spans="2:14" ht="16.55" customHeight="1">
      <c r="B13" s="1049"/>
      <c r="C13" s="130" t="s">
        <v>158</v>
      </c>
      <c r="D13" s="368">
        <v>6209</v>
      </c>
      <c r="E13" s="368">
        <v>43555.6</v>
      </c>
      <c r="F13" s="369">
        <f>E13/D13*10</f>
        <v>70.149138347559997</v>
      </c>
      <c r="G13" s="27"/>
      <c r="H13" s="134"/>
      <c r="I13" s="135"/>
      <c r="J13" s="261"/>
      <c r="K13" s="127"/>
      <c r="L13" s="127"/>
      <c r="M13" s="128"/>
      <c r="N13" s="28"/>
    </row>
    <row r="14" spans="2:14" ht="16.55" customHeight="1">
      <c r="B14" s="1050"/>
      <c r="C14" s="130" t="s">
        <v>164</v>
      </c>
      <c r="D14" s="368">
        <f>D12+D13</f>
        <v>26394</v>
      </c>
      <c r="E14" s="368">
        <f>E12+E13</f>
        <v>169696.5</v>
      </c>
      <c r="F14" s="369">
        <f>E14/D14*10</f>
        <v>64.293589452148211</v>
      </c>
      <c r="G14" s="27"/>
      <c r="H14" s="135"/>
      <c r="I14" s="267"/>
      <c r="J14" s="266"/>
      <c r="K14" s="127"/>
      <c r="L14" s="127"/>
      <c r="M14" s="128"/>
      <c r="N14" s="28"/>
    </row>
    <row r="15" spans="2:14" ht="16.55" customHeight="1">
      <c r="B15" s="824" t="s">
        <v>453</v>
      </c>
      <c r="C15" s="130" t="s">
        <v>157</v>
      </c>
      <c r="D15" s="368">
        <v>19256</v>
      </c>
      <c r="E15" s="498">
        <f>D15*F15/10</f>
        <v>124910.8</v>
      </c>
      <c r="F15" s="369">
        <v>64.868508516825926</v>
      </c>
      <c r="G15" s="27"/>
      <c r="H15" s="135"/>
      <c r="I15" s="267"/>
      <c r="J15" s="266"/>
      <c r="K15" s="127"/>
      <c r="L15" s="127"/>
      <c r="M15" s="128"/>
      <c r="N15" s="28"/>
    </row>
    <row r="16" spans="2:14" ht="16.55" customHeight="1">
      <c r="B16" s="823"/>
      <c r="C16" s="130" t="s">
        <v>158</v>
      </c>
      <c r="D16" s="368">
        <v>3709</v>
      </c>
      <c r="E16" s="498">
        <f>D16*F16/10</f>
        <v>21174.3</v>
      </c>
      <c r="F16" s="369">
        <v>57.088972768940415</v>
      </c>
      <c r="G16" s="27"/>
      <c r="H16" s="135"/>
      <c r="I16" s="267"/>
      <c r="J16" s="266"/>
      <c r="K16" s="127"/>
      <c r="L16" s="127"/>
      <c r="M16" s="128"/>
      <c r="N16" s="28"/>
    </row>
    <row r="17" spans="2:14" ht="16.55" customHeight="1">
      <c r="B17" s="825"/>
      <c r="C17" s="130" t="s">
        <v>164</v>
      </c>
      <c r="D17" s="368">
        <f>SUM(D15:D16)</f>
        <v>22965</v>
      </c>
      <c r="E17" s="498">
        <f>SUM(E15:E16)</f>
        <v>146085.1</v>
      </c>
      <c r="F17" s="369">
        <v>63.612061833224473</v>
      </c>
      <c r="G17" s="27"/>
      <c r="H17" s="135"/>
      <c r="I17" s="267"/>
      <c r="J17" s="266"/>
      <c r="K17" s="127"/>
      <c r="L17" s="127"/>
      <c r="M17" s="128"/>
      <c r="N17" s="28"/>
    </row>
    <row r="18" spans="2:14" ht="16.55" customHeight="1">
      <c r="B18" s="999" t="s">
        <v>454</v>
      </c>
      <c r="C18" s="130" t="s">
        <v>157</v>
      </c>
      <c r="D18" s="368">
        <v>17328</v>
      </c>
      <c r="E18" s="498">
        <f>846546.536205146/10</f>
        <v>84654.653620514597</v>
      </c>
      <c r="F18" s="369">
        <v>48.854255321164949</v>
      </c>
      <c r="G18" s="27"/>
      <c r="H18" s="135"/>
      <c r="I18" s="267"/>
      <c r="J18" s="497"/>
      <c r="K18" s="127"/>
      <c r="L18" s="127"/>
      <c r="M18" s="128"/>
      <c r="N18" s="28"/>
    </row>
    <row r="19" spans="2:14" ht="16.55" customHeight="1">
      <c r="B19" s="999"/>
      <c r="C19" s="130" t="s">
        <v>158</v>
      </c>
      <c r="D19" s="368">
        <v>3384</v>
      </c>
      <c r="E19" s="498">
        <f>159023.470522341/10</f>
        <v>15902.347052234099</v>
      </c>
      <c r="F19" s="369">
        <v>46.992751336389084</v>
      </c>
      <c r="G19" s="27"/>
      <c r="H19" s="135"/>
      <c r="I19" s="267"/>
      <c r="J19" s="389"/>
      <c r="K19" s="127"/>
      <c r="L19" s="127"/>
      <c r="M19" s="128"/>
      <c r="N19" s="28"/>
    </row>
    <row r="20" spans="2:14" ht="16.55" customHeight="1">
      <c r="B20" s="999"/>
      <c r="C20" s="130" t="s">
        <v>164</v>
      </c>
      <c r="D20" s="368">
        <v>20712</v>
      </c>
      <c r="E20" s="498">
        <f>1005570.00672749/10</f>
        <v>100557.000672749</v>
      </c>
      <c r="F20" s="369">
        <v>48.550116199666228</v>
      </c>
      <c r="G20" s="27"/>
      <c r="H20" s="135"/>
      <c r="I20" s="267"/>
      <c r="J20" s="266"/>
      <c r="K20" s="127"/>
      <c r="L20" s="127"/>
      <c r="M20" s="128"/>
      <c r="N20" s="28"/>
    </row>
    <row r="21" spans="2:14" ht="16.55" customHeight="1">
      <c r="B21" s="999" t="s">
        <v>693</v>
      </c>
      <c r="C21" s="130" t="s">
        <v>157</v>
      </c>
      <c r="D21" s="368">
        <v>14231</v>
      </c>
      <c r="E21" s="498">
        <v>89726.419802700606</v>
      </c>
      <c r="F21" s="369">
        <v>63.049975267163603</v>
      </c>
      <c r="G21" s="27"/>
      <c r="H21" s="135"/>
      <c r="I21" s="267"/>
      <c r="J21" s="266"/>
      <c r="K21" s="127"/>
      <c r="L21" s="127"/>
      <c r="M21" s="128"/>
      <c r="N21" s="28"/>
    </row>
    <row r="22" spans="2:14" ht="16.55" customHeight="1">
      <c r="B22" s="999"/>
      <c r="C22" s="130" t="s">
        <v>158</v>
      </c>
      <c r="D22" s="368">
        <v>3714</v>
      </c>
      <c r="E22" s="498">
        <v>19505.7306813006</v>
      </c>
      <c r="F22" s="369">
        <v>52.5194687164797</v>
      </c>
      <c r="G22" s="27"/>
      <c r="H22" s="698"/>
      <c r="I22" s="267"/>
      <c r="J22" s="266"/>
      <c r="K22" s="127"/>
      <c r="L22" s="127"/>
      <c r="M22" s="128"/>
      <c r="N22" s="28"/>
    </row>
    <row r="23" spans="2:14" ht="16.55" customHeight="1">
      <c r="B23" s="999"/>
      <c r="C23" s="130" t="s">
        <v>164</v>
      </c>
      <c r="D23" s="368">
        <f>SUM(D21:D22)</f>
        <v>17945</v>
      </c>
      <c r="E23" s="368">
        <f>SUM(E21:E22)</f>
        <v>109232.15048400121</v>
      </c>
      <c r="F23" s="296">
        <v>60.870521306214101</v>
      </c>
      <c r="G23" s="27"/>
      <c r="H23" s="135"/>
      <c r="I23" s="267"/>
      <c r="J23" s="266"/>
      <c r="K23" s="127"/>
      <c r="L23" s="127"/>
      <c r="M23" s="128"/>
      <c r="N23" s="28"/>
    </row>
    <row r="24" spans="2:14" ht="16.55" customHeight="1">
      <c r="B24" s="999" t="s">
        <v>758</v>
      </c>
      <c r="C24" s="130" t="s">
        <v>157</v>
      </c>
      <c r="D24" s="368">
        <v>14188</v>
      </c>
      <c r="E24" s="498">
        <f>987206.23919219/10</f>
        <v>98720.623919218997</v>
      </c>
      <c r="F24" s="369">
        <v>69.580366449971095</v>
      </c>
      <c r="G24" s="27"/>
      <c r="H24" s="135"/>
      <c r="I24" s="267"/>
      <c r="J24" s="266"/>
      <c r="K24" s="127"/>
      <c r="L24" s="127"/>
      <c r="M24" s="128"/>
      <c r="N24" s="28"/>
    </row>
    <row r="25" spans="2:14" ht="16.55" customHeight="1">
      <c r="B25" s="999"/>
      <c r="C25" s="130" t="s">
        <v>158</v>
      </c>
      <c r="D25" s="368">
        <v>3182</v>
      </c>
      <c r="E25" s="498">
        <f>199526.08521915/10</f>
        <v>19952.608521915001</v>
      </c>
      <c r="F25" s="369">
        <v>62.704615090870703</v>
      </c>
      <c r="G25" s="27"/>
      <c r="H25" s="135"/>
      <c r="I25" s="267"/>
      <c r="J25" s="266"/>
      <c r="K25" s="127"/>
      <c r="L25" s="127"/>
      <c r="M25" s="128"/>
      <c r="N25" s="28"/>
    </row>
    <row r="26" spans="2:14" ht="16.55" customHeight="1">
      <c r="B26" s="999"/>
      <c r="C26" s="130" t="s">
        <v>164</v>
      </c>
      <c r="D26" s="368">
        <v>17370</v>
      </c>
      <c r="E26" s="368">
        <f>SUM(E24:E25)</f>
        <v>118673.23244113399</v>
      </c>
      <c r="F26" s="296">
        <v>68.320801635655727</v>
      </c>
      <c r="G26" s="27"/>
      <c r="H26" s="135"/>
      <c r="I26" s="267"/>
      <c r="J26" s="266"/>
      <c r="K26" s="127"/>
      <c r="L26" s="127"/>
      <c r="M26" s="128"/>
      <c r="N26" s="28"/>
    </row>
    <row r="27" spans="2:14" ht="18" customHeight="1">
      <c r="B27" s="818" t="s">
        <v>614</v>
      </c>
      <c r="C27" s="819"/>
      <c r="D27" s="819"/>
      <c r="E27" s="819"/>
      <c r="F27" s="820"/>
    </row>
    <row r="28" spans="2:14" ht="14.4">
      <c r="B28" s="293"/>
    </row>
    <row r="29" spans="2:14" ht="16.55" customHeight="1">
      <c r="B29" s="293"/>
      <c r="D29" s="277"/>
    </row>
    <row r="30" spans="2:14" ht="15.05" customHeight="1">
      <c r="B30" s="293"/>
      <c r="D30" s="277"/>
      <c r="E30" s="277"/>
      <c r="F30" s="263"/>
    </row>
    <row r="31" spans="2:14" ht="14.4">
      <c r="B31" s="293"/>
      <c r="E31" s="128"/>
      <c r="F31" s="263"/>
    </row>
    <row r="32" spans="2:14">
      <c r="F32" s="263"/>
    </row>
    <row r="33" spans="6:6">
      <c r="F33" s="263"/>
    </row>
    <row r="34" spans="6:6">
      <c r="F34" s="263"/>
    </row>
    <row r="35" spans="6:6">
      <c r="F35" s="263"/>
    </row>
  </sheetData>
  <mergeCells count="11">
    <mergeCell ref="B27:F27"/>
    <mergeCell ref="B1:F1"/>
    <mergeCell ref="B2:F2"/>
    <mergeCell ref="B3:F3"/>
    <mergeCell ref="B18:B20"/>
    <mergeCell ref="B21:B23"/>
    <mergeCell ref="B12:B14"/>
    <mergeCell ref="B15:B17"/>
    <mergeCell ref="B6:B8"/>
    <mergeCell ref="B9:B11"/>
    <mergeCell ref="B24:B26"/>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&amp;C&amp;11&amp;A</oddFooter>
  </headerFooter>
  <ignoredErrors>
    <ignoredError sqref="D23" formulaRange="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H31"/>
  <sheetViews>
    <sheetView zoomScaleNormal="100" workbookViewId="0">
      <selection activeCell="I21" sqref="I21"/>
    </sheetView>
  </sheetViews>
  <sheetFormatPr baseColWidth="10" defaultColWidth="10.9140625" defaultRowHeight="17.7"/>
  <cols>
    <col min="1" max="1" width="0.75" customWidth="1"/>
    <col min="2" max="2" width="18.4140625" customWidth="1"/>
    <col min="3" max="3" width="5.9140625" customWidth="1"/>
    <col min="4" max="4" width="8.08203125" customWidth="1"/>
    <col min="5" max="5" width="5.9140625" customWidth="1"/>
    <col min="6" max="6" width="14.33203125" customWidth="1"/>
  </cols>
  <sheetData>
    <row r="1" spans="2:8">
      <c r="B1" s="813" t="s">
        <v>167</v>
      </c>
      <c r="C1" s="813"/>
      <c r="D1" s="813"/>
      <c r="E1" s="813"/>
      <c r="F1" s="813"/>
    </row>
    <row r="2" spans="2:8" ht="17.7" customHeight="1">
      <c r="B2" s="814" t="s">
        <v>615</v>
      </c>
      <c r="C2" s="814"/>
      <c r="D2" s="814"/>
      <c r="E2" s="814"/>
      <c r="F2" s="814"/>
    </row>
    <row r="3" spans="2:8" ht="31.75" customHeight="1">
      <c r="B3" s="815"/>
      <c r="C3" s="815"/>
      <c r="D3" s="815"/>
      <c r="E3" s="815"/>
      <c r="F3" s="815"/>
    </row>
    <row r="4" spans="2:8">
      <c r="B4" s="813" t="s">
        <v>711</v>
      </c>
      <c r="C4" s="813"/>
      <c r="D4" s="813"/>
      <c r="E4" s="813"/>
      <c r="F4" s="813"/>
    </row>
    <row r="5" spans="2:8" ht="17.7" customHeight="1"/>
    <row r="6" spans="2:8">
      <c r="B6" s="832" t="s">
        <v>616</v>
      </c>
      <c r="C6" s="831"/>
      <c r="D6" s="1054" t="s">
        <v>157</v>
      </c>
      <c r="E6" s="1055"/>
      <c r="F6" s="308" t="s">
        <v>157</v>
      </c>
      <c r="G6" s="400"/>
    </row>
    <row r="7" spans="2:8" ht="34.549999999999997" customHeight="1">
      <c r="B7" s="831" t="s">
        <v>617</v>
      </c>
      <c r="C7" s="1051"/>
      <c r="D7" s="1054" t="s">
        <v>618</v>
      </c>
      <c r="E7" s="1055"/>
      <c r="F7" s="308" t="s">
        <v>618</v>
      </c>
      <c r="G7" s="400"/>
    </row>
    <row r="8" spans="2:8">
      <c r="B8" s="831" t="s">
        <v>619</v>
      </c>
      <c r="C8" s="1051"/>
      <c r="D8" s="1054" t="s">
        <v>620</v>
      </c>
      <c r="E8" s="1055"/>
      <c r="F8" s="308" t="s">
        <v>621</v>
      </c>
      <c r="H8" s="401"/>
    </row>
    <row r="9" spans="2:8" ht="38.950000000000003" customHeight="1">
      <c r="B9" s="831" t="s">
        <v>622</v>
      </c>
      <c r="C9" s="1051"/>
      <c r="D9" s="1054" t="s">
        <v>623</v>
      </c>
      <c r="E9" s="1055"/>
      <c r="F9" s="308" t="s">
        <v>624</v>
      </c>
    </row>
    <row r="10" spans="2:8" ht="18.649999999999999" customHeight="1">
      <c r="B10" s="832" t="s">
        <v>457</v>
      </c>
      <c r="C10" s="831"/>
      <c r="D10" s="1054">
        <v>65</v>
      </c>
      <c r="E10" s="1055"/>
      <c r="F10" s="308">
        <v>83</v>
      </c>
    </row>
    <row r="11" spans="2:8" ht="20.95" customHeight="1">
      <c r="B11" s="832" t="s">
        <v>625</v>
      </c>
      <c r="C11" s="831"/>
      <c r="D11" s="1054" t="s">
        <v>459</v>
      </c>
      <c r="E11" s="1055"/>
      <c r="F11" s="308" t="s">
        <v>459</v>
      </c>
      <c r="G11" s="35"/>
    </row>
    <row r="12" spans="2:8" ht="20.95" customHeight="1">
      <c r="B12" s="831" t="s">
        <v>626</v>
      </c>
      <c r="C12" s="1051"/>
      <c r="D12" s="1052">
        <v>1379191</v>
      </c>
      <c r="E12" s="1053"/>
      <c r="F12" s="137">
        <v>1698718</v>
      </c>
    </row>
    <row r="13" spans="2:8">
      <c r="B13" s="1056" t="s">
        <v>460</v>
      </c>
      <c r="C13" s="1057"/>
      <c r="D13" s="1052">
        <v>138400</v>
      </c>
      <c r="E13" s="1053"/>
      <c r="F13" s="137">
        <v>101200</v>
      </c>
    </row>
    <row r="14" spans="2:8">
      <c r="B14" s="1056" t="s">
        <v>461</v>
      </c>
      <c r="C14" s="1057"/>
      <c r="D14" s="1052">
        <v>365000</v>
      </c>
      <c r="E14" s="1053"/>
      <c r="F14" s="137">
        <v>580000</v>
      </c>
    </row>
    <row r="15" spans="2:8">
      <c r="B15" s="1056" t="s">
        <v>462</v>
      </c>
      <c r="C15" s="1057"/>
      <c r="D15" s="1052">
        <v>810115</v>
      </c>
      <c r="E15" s="1053"/>
      <c r="F15" s="137">
        <v>936626</v>
      </c>
    </row>
    <row r="16" spans="2:8">
      <c r="B16" s="1058" t="s">
        <v>627</v>
      </c>
      <c r="C16" s="1059"/>
      <c r="D16" s="1052">
        <v>65676</v>
      </c>
      <c r="E16" s="1053"/>
      <c r="F16" s="137">
        <v>80891</v>
      </c>
    </row>
    <row r="17" spans="2:7">
      <c r="B17" s="833" t="s">
        <v>628</v>
      </c>
      <c r="C17" s="1064"/>
      <c r="D17" s="1052">
        <v>93095</v>
      </c>
      <c r="E17" s="1053"/>
      <c r="F17" s="137">
        <v>114663</v>
      </c>
    </row>
    <row r="18" spans="2:7">
      <c r="B18" s="1056" t="s">
        <v>179</v>
      </c>
      <c r="C18" s="1056"/>
      <c r="D18" s="1052">
        <f>SUM(D13:E17)</f>
        <v>1472286</v>
      </c>
      <c r="E18" s="1053"/>
      <c r="F18" s="137">
        <f>SUM(F13:F17)</f>
        <v>1813380</v>
      </c>
      <c r="G18" s="391"/>
    </row>
    <row r="19" spans="2:7" ht="41.25" customHeight="1">
      <c r="B19" s="860" t="s">
        <v>710</v>
      </c>
      <c r="C19" s="861"/>
      <c r="D19" s="861"/>
      <c r="E19" s="861"/>
      <c r="F19" s="862"/>
    </row>
    <row r="20" spans="2:7" ht="22.75" customHeight="1">
      <c r="B20" s="1061" t="s">
        <v>629</v>
      </c>
      <c r="C20" s="1062"/>
      <c r="D20" s="1062"/>
      <c r="E20" s="1062"/>
      <c r="F20" s="1063"/>
    </row>
    <row r="21" spans="2:7" ht="14.25" customHeight="1">
      <c r="B21" s="1060"/>
      <c r="C21" s="1060"/>
      <c r="D21" s="1060"/>
      <c r="E21" s="1060"/>
    </row>
    <row r="28" spans="2:7">
      <c r="C28" s="391"/>
      <c r="D28" s="391"/>
    </row>
    <row r="29" spans="2:7">
      <c r="C29" s="391"/>
      <c r="D29" s="391"/>
    </row>
    <row r="30" spans="2:7">
      <c r="C30" s="391"/>
      <c r="D30" s="391"/>
    </row>
    <row r="31" spans="2:7">
      <c r="C31" s="391"/>
      <c r="D31" s="391"/>
    </row>
  </sheetData>
  <mergeCells count="33">
    <mergeCell ref="D14:E14"/>
    <mergeCell ref="B13:C13"/>
    <mergeCell ref="B10:C10"/>
    <mergeCell ref="D9:E9"/>
    <mergeCell ref="D13:E13"/>
    <mergeCell ref="B14:C14"/>
    <mergeCell ref="B21:E21"/>
    <mergeCell ref="B20:F20"/>
    <mergeCell ref="B17:C17"/>
    <mergeCell ref="D17:E17"/>
    <mergeCell ref="B19:F19"/>
    <mergeCell ref="B15:C15"/>
    <mergeCell ref="B18:C18"/>
    <mergeCell ref="B16:C16"/>
    <mergeCell ref="D15:E15"/>
    <mergeCell ref="D16:E16"/>
    <mergeCell ref="D18:E18"/>
    <mergeCell ref="B1:F1"/>
    <mergeCell ref="B2:F2"/>
    <mergeCell ref="B3:F3"/>
    <mergeCell ref="B4:F4"/>
    <mergeCell ref="B12:C12"/>
    <mergeCell ref="D12:E12"/>
    <mergeCell ref="D6:E6"/>
    <mergeCell ref="B6:C6"/>
    <mergeCell ref="B11:C11"/>
    <mergeCell ref="B7:C7"/>
    <mergeCell ref="D7:E7"/>
    <mergeCell ref="B8:C8"/>
    <mergeCell ref="D8:E8"/>
    <mergeCell ref="B9:C9"/>
    <mergeCell ref="D11:E11"/>
    <mergeCell ref="D10:E10"/>
  </mergeCells>
  <pageMargins left="1.5748031496062993" right="0.98425196850393704" top="0.98425196850393704" bottom="0.98425196850393704" header="0.51181102362204722" footer="0.51181102362204722"/>
  <pageSetup paperSize="126" orientation="portrait" r:id="rId1"/>
  <headerFooter>
    <oddFooter>&amp;C&amp;11&amp;A</oddFooter>
  </headerFooter>
  <ignoredErrors>
    <ignoredError sqref="F18" formulaRange="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38"/>
  <sheetViews>
    <sheetView zoomScaleNormal="100" workbookViewId="0">
      <selection activeCell="F20" sqref="F20"/>
    </sheetView>
  </sheetViews>
  <sheetFormatPr baseColWidth="10" defaultColWidth="9.6640625" defaultRowHeight="11.8"/>
  <cols>
    <col min="1" max="1" width="1.25" style="1" customWidth="1"/>
    <col min="2" max="2" width="7.6640625" style="1" customWidth="1"/>
    <col min="3" max="7" width="10.6640625" style="1" customWidth="1"/>
    <col min="8" max="8" width="2.08203125" style="1" customWidth="1"/>
    <col min="9" max="9" width="5.9140625" style="1" hidden="1" customWidth="1"/>
    <col min="10" max="10" width="6" style="1" hidden="1" customWidth="1"/>
    <col min="11" max="11" width="5.25" style="1" hidden="1" customWidth="1"/>
    <col min="12" max="12" width="7.83203125" style="1" hidden="1" customWidth="1"/>
    <col min="13" max="13" width="8" style="1" hidden="1" customWidth="1"/>
    <col min="14" max="15" width="0" style="1" hidden="1" customWidth="1"/>
    <col min="16" max="16" width="10.83203125" style="1" bestFit="1" customWidth="1"/>
    <col min="17" max="16384" width="9.6640625" style="1"/>
  </cols>
  <sheetData>
    <row r="1" spans="2:18" s="15" customFormat="1" ht="18" customHeight="1">
      <c r="B1" s="813" t="s">
        <v>170</v>
      </c>
      <c r="C1" s="813"/>
      <c r="D1" s="813"/>
      <c r="E1" s="813"/>
      <c r="F1" s="813"/>
      <c r="G1" s="813"/>
    </row>
    <row r="2" spans="2:18" s="15" customFormat="1" ht="13.1"/>
    <row r="3" spans="2:18" s="15" customFormat="1" ht="13.1">
      <c r="B3" s="791" t="s">
        <v>538</v>
      </c>
      <c r="C3" s="791"/>
      <c r="D3" s="791"/>
      <c r="E3" s="791"/>
      <c r="F3" s="791"/>
      <c r="G3" s="791"/>
    </row>
    <row r="4" spans="2:18" s="15" customFormat="1" ht="13.1">
      <c r="B4" s="791" t="s">
        <v>712</v>
      </c>
      <c r="C4" s="791"/>
      <c r="D4" s="791"/>
      <c r="E4" s="791"/>
      <c r="F4" s="791"/>
      <c r="G4" s="791"/>
    </row>
    <row r="5" spans="2:18" s="15" customFormat="1" ht="17.7">
      <c r="B5" s="1065" t="s">
        <v>471</v>
      </c>
      <c r="C5" s="1065"/>
      <c r="D5" s="1065"/>
      <c r="E5" s="1065"/>
      <c r="F5" s="1065"/>
      <c r="G5" s="1065"/>
      <c r="N5"/>
      <c r="O5"/>
    </row>
    <row r="6" spans="2:18" s="22" customFormat="1" ht="28.5" customHeight="1">
      <c r="B6" s="856" t="s">
        <v>117</v>
      </c>
      <c r="C6" s="856" t="s">
        <v>691</v>
      </c>
      <c r="D6" s="856" t="s">
        <v>630</v>
      </c>
      <c r="E6" s="856" t="s">
        <v>631</v>
      </c>
      <c r="F6" s="856" t="s">
        <v>198</v>
      </c>
      <c r="G6" s="858" t="s">
        <v>632</v>
      </c>
      <c r="N6"/>
      <c r="O6"/>
    </row>
    <row r="7" spans="2:18" s="22" customFormat="1" ht="17.7">
      <c r="B7" s="856"/>
      <c r="C7" s="856"/>
      <c r="D7" s="856"/>
      <c r="E7" s="856"/>
      <c r="F7" s="856"/>
      <c r="G7" s="859"/>
      <c r="I7" s="610" t="s">
        <v>193</v>
      </c>
      <c r="J7" s="45" t="s">
        <v>393</v>
      </c>
      <c r="K7" s="45" t="s">
        <v>392</v>
      </c>
      <c r="L7" s="45" t="s">
        <v>197</v>
      </c>
      <c r="M7" s="50" t="s">
        <v>633</v>
      </c>
      <c r="N7"/>
      <c r="O7"/>
    </row>
    <row r="8" spans="2:18" s="22" customFormat="1" ht="15.75" customHeight="1">
      <c r="B8" s="50">
        <v>2011</v>
      </c>
      <c r="C8" s="189">
        <v>70402.445999999996</v>
      </c>
      <c r="D8" s="189">
        <v>83594.012600000002</v>
      </c>
      <c r="E8" s="189">
        <v>317.11400000000003</v>
      </c>
      <c r="F8" s="189">
        <f>C8+D8-E8</f>
        <v>153679.34460000001</v>
      </c>
      <c r="G8" s="191"/>
      <c r="I8" s="45">
        <v>2011</v>
      </c>
      <c r="J8" s="609">
        <f>D8/F8</f>
        <v>0.54395086612049481</v>
      </c>
      <c r="K8" s="609">
        <f>C8/F8</f>
        <v>0.45811261222674415</v>
      </c>
      <c r="L8" s="614">
        <f>E8/F8</f>
        <v>2.0634783472391256E-3</v>
      </c>
      <c r="M8" s="615">
        <f>J8+K8-L8</f>
        <v>0.99999999999999978</v>
      </c>
      <c r="N8"/>
      <c r="O8"/>
      <c r="P8" s="225"/>
    </row>
    <row r="9" spans="2:18" s="22" customFormat="1" ht="15.75" customHeight="1">
      <c r="B9" s="50">
        <v>2012</v>
      </c>
      <c r="C9" s="189">
        <v>80885.466</v>
      </c>
      <c r="D9" s="189">
        <v>93846.020999999993</v>
      </c>
      <c r="E9" s="190">
        <v>33.491999999999997</v>
      </c>
      <c r="F9" s="189">
        <f t="shared" ref="F9:F15" si="0">C9+D9-E9</f>
        <v>174697.995</v>
      </c>
      <c r="G9" s="191">
        <f t="shared" ref="G9:G15" si="1">F9/F8*100-100</f>
        <v>13.676952133487944</v>
      </c>
      <c r="I9" s="45">
        <v>2012</v>
      </c>
      <c r="J9" s="609">
        <f t="shared" ref="J9:J18" si="2">D9/F9</f>
        <v>0.53719002899832935</v>
      </c>
      <c r="K9" s="609">
        <f t="shared" ref="K9:K19" si="3">C9/F9</f>
        <v>0.46300168470737174</v>
      </c>
      <c r="L9" s="614">
        <f t="shared" ref="L9:L19" si="4">E9/F9</f>
        <v>1.9171370570108718E-4</v>
      </c>
      <c r="M9" s="615">
        <f t="shared" ref="M9:M19" si="5">J9+K9-L9</f>
        <v>1</v>
      </c>
      <c r="N9"/>
      <c r="O9"/>
      <c r="P9" s="225"/>
      <c r="Q9" s="69"/>
      <c r="R9" s="11"/>
    </row>
    <row r="10" spans="2:18" s="22" customFormat="1" ht="15.75" customHeight="1">
      <c r="B10" s="50">
        <v>2013</v>
      </c>
      <c r="C10" s="189">
        <v>70365.941999999995</v>
      </c>
      <c r="D10" s="189">
        <v>90685.751000000004</v>
      </c>
      <c r="E10" s="190">
        <v>2.04</v>
      </c>
      <c r="F10" s="189">
        <f t="shared" si="0"/>
        <v>161049.65299999999</v>
      </c>
      <c r="G10" s="191">
        <f t="shared" si="1"/>
        <v>-7.812534997897373</v>
      </c>
      <c r="I10" s="45">
        <v>2013</v>
      </c>
      <c r="J10" s="609">
        <f t="shared" si="2"/>
        <v>0.56309187452890697</v>
      </c>
      <c r="K10" s="609">
        <f t="shared" si="3"/>
        <v>0.43692079237202702</v>
      </c>
      <c r="L10" s="614">
        <f t="shared" si="4"/>
        <v>1.2666900933962274E-5</v>
      </c>
      <c r="M10" s="615">
        <f t="shared" si="5"/>
        <v>1</v>
      </c>
      <c r="N10"/>
      <c r="O10"/>
      <c r="P10" s="225"/>
      <c r="Q10" s="69"/>
      <c r="R10" s="11"/>
    </row>
    <row r="11" spans="2:18" s="22" customFormat="1" ht="15.75" customHeight="1">
      <c r="B11" s="50">
        <v>2014</v>
      </c>
      <c r="C11" s="189">
        <v>72837.521999999997</v>
      </c>
      <c r="D11" s="189">
        <v>90177</v>
      </c>
      <c r="E11" s="190">
        <v>7217.1050000000005</v>
      </c>
      <c r="F11" s="189">
        <f t="shared" si="0"/>
        <v>155797.41699999999</v>
      </c>
      <c r="G11" s="191">
        <f t="shared" si="1"/>
        <v>-3.2612526026367732</v>
      </c>
      <c r="I11" s="45">
        <v>2014</v>
      </c>
      <c r="J11" s="609">
        <f t="shared" si="2"/>
        <v>0.57880933931016332</v>
      </c>
      <c r="K11" s="609">
        <f t="shared" si="3"/>
        <v>0.46751431058706194</v>
      </c>
      <c r="L11" s="614">
        <f t="shared" si="4"/>
        <v>4.6323649897225198E-2</v>
      </c>
      <c r="M11" s="615">
        <f t="shared" si="5"/>
        <v>1</v>
      </c>
      <c r="N11"/>
      <c r="O11"/>
      <c r="P11" s="225"/>
      <c r="Q11" s="69"/>
      <c r="R11" s="11"/>
    </row>
    <row r="12" spans="2:18" s="22" customFormat="1" ht="15.75" customHeight="1">
      <c r="B12" s="50">
        <v>2015</v>
      </c>
      <c r="C12" s="189">
        <v>88322.4</v>
      </c>
      <c r="D12" s="189">
        <v>118644</v>
      </c>
      <c r="E12" s="190">
        <v>3019.1088600000003</v>
      </c>
      <c r="F12" s="189">
        <f t="shared" si="0"/>
        <v>203947.29113999999</v>
      </c>
      <c r="G12" s="191">
        <f t="shared" si="1"/>
        <v>30.905438015060298</v>
      </c>
      <c r="I12" s="45">
        <v>2015</v>
      </c>
      <c r="J12" s="609">
        <f t="shared" si="2"/>
        <v>0.58173854301676708</v>
      </c>
      <c r="K12" s="609">
        <f t="shared" si="3"/>
        <v>0.43306483506746318</v>
      </c>
      <c r="L12" s="614">
        <f t="shared" si="4"/>
        <v>1.4803378084230242E-2</v>
      </c>
      <c r="M12" s="615">
        <f t="shared" si="5"/>
        <v>1</v>
      </c>
      <c r="N12"/>
      <c r="O12"/>
      <c r="P12" s="225"/>
      <c r="Q12" s="69"/>
      <c r="R12" s="11"/>
    </row>
    <row r="13" spans="2:18" s="22" customFormat="1" ht="15.75" customHeight="1">
      <c r="B13" s="50">
        <v>2016</v>
      </c>
      <c r="C13" s="189">
        <v>93964</v>
      </c>
      <c r="D13" s="189">
        <v>103903.446</v>
      </c>
      <c r="E13" s="190">
        <v>1218.712</v>
      </c>
      <c r="F13" s="189">
        <f t="shared" si="0"/>
        <v>196648.734</v>
      </c>
      <c r="G13" s="191">
        <f t="shared" si="1"/>
        <v>-3.5786487279156205</v>
      </c>
      <c r="I13" s="45">
        <v>2016</v>
      </c>
      <c r="J13" s="609">
        <f t="shared" si="2"/>
        <v>0.52837078523983783</v>
      </c>
      <c r="K13" s="609">
        <f t="shared" si="3"/>
        <v>0.47782662053649427</v>
      </c>
      <c r="L13" s="614">
        <f t="shared" si="4"/>
        <v>6.1974057763321275E-3</v>
      </c>
      <c r="M13" s="615">
        <f t="shared" si="5"/>
        <v>1</v>
      </c>
      <c r="N13"/>
      <c r="O13"/>
      <c r="P13" s="225"/>
      <c r="Q13" s="69"/>
      <c r="R13" s="11"/>
    </row>
    <row r="14" spans="2:18" s="22" customFormat="1" ht="15.75" customHeight="1">
      <c r="B14" s="50">
        <v>2017</v>
      </c>
      <c r="C14" s="189">
        <v>71604.954400000017</v>
      </c>
      <c r="D14" s="44">
        <v>131211.84099999999</v>
      </c>
      <c r="E14" s="190">
        <v>1482.6100000000001</v>
      </c>
      <c r="F14" s="189">
        <f t="shared" si="0"/>
        <v>201334.18540000002</v>
      </c>
      <c r="G14" s="191">
        <f t="shared" si="1"/>
        <v>2.3826501725660876</v>
      </c>
      <c r="I14" s="45">
        <v>2017</v>
      </c>
      <c r="J14" s="609">
        <f t="shared" si="2"/>
        <v>0.65171168393144607</v>
      </c>
      <c r="K14" s="609">
        <f t="shared" si="3"/>
        <v>0.35565224185718441</v>
      </c>
      <c r="L14" s="614">
        <f t="shared" si="4"/>
        <v>7.3639257886306273E-3</v>
      </c>
      <c r="M14" s="615">
        <f t="shared" si="5"/>
        <v>0.99999999999999978</v>
      </c>
      <c r="N14"/>
      <c r="O14"/>
      <c r="P14" s="225"/>
      <c r="Q14" s="69"/>
      <c r="R14" s="11"/>
    </row>
    <row r="15" spans="2:18" s="22" customFormat="1" ht="15.75" customHeight="1">
      <c r="B15" s="50">
        <v>2018</v>
      </c>
      <c r="C15" s="189">
        <v>107972.48000000001</v>
      </c>
      <c r="D15" s="189">
        <f>'51'!C18</f>
        <v>133366.25400000002</v>
      </c>
      <c r="E15" s="190">
        <v>4385.5669999999982</v>
      </c>
      <c r="F15" s="189">
        <f t="shared" si="0"/>
        <v>236953.16700000002</v>
      </c>
      <c r="G15" s="191">
        <f t="shared" si="1"/>
        <v>17.691472279898264</v>
      </c>
      <c r="I15" s="45">
        <v>2018</v>
      </c>
      <c r="J15" s="609">
        <f t="shared" si="2"/>
        <v>0.56283803119626596</v>
      </c>
      <c r="K15" s="609">
        <f t="shared" si="3"/>
        <v>0.45567012826631687</v>
      </c>
      <c r="L15" s="614">
        <f t="shared" si="4"/>
        <v>1.8508159462582739E-2</v>
      </c>
      <c r="M15" s="615">
        <f>J15+K15-L15</f>
        <v>1.0000000000000002</v>
      </c>
      <c r="N15"/>
      <c r="O15"/>
      <c r="P15" s="225"/>
      <c r="Q15" s="69"/>
      <c r="R15" s="11"/>
    </row>
    <row r="16" spans="2:18" s="22" customFormat="1" ht="15.75" customHeight="1">
      <c r="B16" s="50">
        <v>2019</v>
      </c>
      <c r="C16" s="189">
        <v>97942.432000000015</v>
      </c>
      <c r="D16" s="189">
        <f>+'51'!D18</f>
        <v>126281.10111</v>
      </c>
      <c r="E16" s="190">
        <v>3175.6000000000004</v>
      </c>
      <c r="F16" s="189">
        <f>C16+D16-E16</f>
        <v>221047.93311000001</v>
      </c>
      <c r="G16" s="191">
        <f>F16/F15*100-100</f>
        <v>-6.7123955722440343</v>
      </c>
      <c r="I16" s="45">
        <v>2019</v>
      </c>
      <c r="J16" s="609">
        <f t="shared" si="2"/>
        <v>0.57128379050329681</v>
      </c>
      <c r="K16" s="609">
        <f t="shared" si="3"/>
        <v>0.44308232437197659</v>
      </c>
      <c r="L16" s="614">
        <f t="shared" si="4"/>
        <v>1.4366114875273353E-2</v>
      </c>
      <c r="M16" s="615">
        <f t="shared" si="5"/>
        <v>1</v>
      </c>
      <c r="N16"/>
      <c r="O16"/>
      <c r="P16" s="225"/>
      <c r="Q16" s="69"/>
      <c r="R16" s="11"/>
    </row>
    <row r="17" spans="2:18" s="22" customFormat="1" ht="15.75" customHeight="1">
      <c r="B17" s="50">
        <v>2020</v>
      </c>
      <c r="C17" s="189">
        <v>95030.040000000008</v>
      </c>
      <c r="D17" s="189">
        <f>+'51'!E18</f>
        <v>167355.36387</v>
      </c>
      <c r="E17" s="190">
        <v>2.2440399999999996</v>
      </c>
      <c r="F17" s="189">
        <f>C17+D17-E17</f>
        <v>262383.15983000002</v>
      </c>
      <c r="G17" s="191">
        <f>F17/F16*100-100</f>
        <v>18.699666691491018</v>
      </c>
      <c r="I17" s="45">
        <v>2020</v>
      </c>
      <c r="J17" s="609">
        <f t="shared" si="2"/>
        <v>0.63782814407155841</v>
      </c>
      <c r="K17" s="609">
        <f t="shared" si="3"/>
        <v>0.36218040845902866</v>
      </c>
      <c r="L17" s="614">
        <f t="shared" si="4"/>
        <v>8.5525305871532663E-6</v>
      </c>
      <c r="M17" s="615">
        <f t="shared" si="5"/>
        <v>0.99999999999999989</v>
      </c>
      <c r="N17"/>
      <c r="O17"/>
      <c r="P17" s="225"/>
      <c r="Q17" s="69"/>
      <c r="R17" s="11"/>
    </row>
    <row r="18" spans="2:18" s="22" customFormat="1" ht="15.75" customHeight="1">
      <c r="B18" s="50">
        <v>2021</v>
      </c>
      <c r="C18" s="189">
        <v>81807.656000000017</v>
      </c>
      <c r="D18" s="189">
        <f>+'51'!F18</f>
        <v>131208.58575</v>
      </c>
      <c r="E18" s="190">
        <v>11.490259999999999</v>
      </c>
      <c r="F18" s="189">
        <f>C18+D18-E18</f>
        <v>213004.75149000002</v>
      </c>
      <c r="G18" s="191">
        <f>F18/F17*100-100</f>
        <v>-18.819198751929292</v>
      </c>
      <c r="I18" s="45">
        <v>2021</v>
      </c>
      <c r="J18" s="609">
        <f t="shared" si="2"/>
        <v>0.6159890088468748</v>
      </c>
      <c r="K18" s="609">
        <f t="shared" si="3"/>
        <v>0.3840649348324075</v>
      </c>
      <c r="L18" s="614">
        <f t="shared" si="4"/>
        <v>5.3943679282381803E-5</v>
      </c>
      <c r="M18" s="615">
        <f t="shared" si="5"/>
        <v>1</v>
      </c>
      <c r="N18"/>
      <c r="O18"/>
      <c r="P18" s="225"/>
      <c r="Q18" s="69"/>
      <c r="R18" s="11"/>
    </row>
    <row r="19" spans="2:18" s="22" customFormat="1" ht="15.75" customHeight="1">
      <c r="B19" s="50">
        <v>2022</v>
      </c>
      <c r="C19" s="189">
        <f>'48'!E20*0.56</f>
        <v>56311.920376739443</v>
      </c>
      <c r="D19" s="189">
        <f>+'51'!G18</f>
        <v>152906.96408000001</v>
      </c>
      <c r="E19" s="394">
        <v>217.15424999999993</v>
      </c>
      <c r="F19" s="189">
        <f>C19+D19-E19</f>
        <v>209001.73020673945</v>
      </c>
      <c r="G19" s="191">
        <f>F19/F18*100-100</f>
        <v>-1.8793107924864785</v>
      </c>
      <c r="I19" s="45">
        <v>2022</v>
      </c>
      <c r="J19" s="609">
        <f>D19/F19</f>
        <v>0.73160621172249696</v>
      </c>
      <c r="K19" s="609">
        <f t="shared" si="3"/>
        <v>0.26943279522632207</v>
      </c>
      <c r="L19" s="614">
        <f t="shared" si="4"/>
        <v>1.039006948819018E-3</v>
      </c>
      <c r="M19" s="615">
        <f t="shared" si="5"/>
        <v>1</v>
      </c>
      <c r="N19"/>
      <c r="O19"/>
      <c r="P19" s="225"/>
      <c r="Q19" s="69"/>
      <c r="R19" s="11"/>
    </row>
    <row r="20" spans="2:18" s="22" customFormat="1" ht="15.75" customHeight="1">
      <c r="B20" s="50">
        <v>2023</v>
      </c>
      <c r="C20" s="189">
        <f>'48'!E23*0.56</f>
        <v>61170.004271040678</v>
      </c>
      <c r="D20" s="189">
        <f>+'51'!H18</f>
        <v>170002.56452999997</v>
      </c>
      <c r="E20" s="394">
        <v>1832.83086</v>
      </c>
      <c r="F20" s="189">
        <f>C20+D20-E20</f>
        <v>229339.73794104066</v>
      </c>
      <c r="G20" s="191">
        <f>F20/F19*100-100</f>
        <v>9.7310236208012952</v>
      </c>
      <c r="J20" s="690"/>
      <c r="K20" s="690"/>
      <c r="L20" s="691"/>
      <c r="M20" s="116"/>
      <c r="N20"/>
      <c r="O20"/>
      <c r="P20" s="225"/>
      <c r="Q20" s="69"/>
      <c r="R20" s="11"/>
    </row>
    <row r="21" spans="2:18" s="22" customFormat="1" ht="29.45" customHeight="1">
      <c r="B21" s="816" t="s">
        <v>634</v>
      </c>
      <c r="C21" s="907"/>
      <c r="D21" s="907"/>
      <c r="E21" s="907"/>
      <c r="F21" s="907"/>
      <c r="G21" s="907"/>
      <c r="J21" s="11"/>
      <c r="K21" s="11"/>
      <c r="N21"/>
      <c r="O21"/>
    </row>
    <row r="22" spans="2:18" s="22" customFormat="1" ht="29.45" customHeight="1">
      <c r="B22" s="151"/>
      <c r="C22" s="693"/>
      <c r="D22" s="693"/>
      <c r="E22" s="692"/>
      <c r="F22" s="692"/>
      <c r="G22" s="692"/>
      <c r="J22" s="11"/>
      <c r="K22" s="11"/>
      <c r="N22"/>
      <c r="O22"/>
    </row>
    <row r="23" spans="2:18" ht="24.75" customHeight="1"/>
    <row r="24" spans="2:18" ht="15.75" customHeight="1">
      <c r="K24" s="11"/>
    </row>
    <row r="25" spans="2:18" ht="15.05" customHeight="1"/>
    <row r="26" spans="2:18" ht="15.05" customHeight="1"/>
    <row r="27" spans="2:18" ht="15.05" customHeight="1"/>
    <row r="28" spans="2:18" ht="15.05" customHeight="1"/>
    <row r="29" spans="2:18" ht="15.05" customHeight="1"/>
    <row r="30" spans="2:18" ht="15.05" customHeight="1">
      <c r="G30" s="10"/>
    </row>
    <row r="31" spans="2:18" ht="15.05" customHeight="1">
      <c r="G31" s="11"/>
      <c r="M31" s="192"/>
    </row>
    <row r="32" spans="2:18" ht="15.05" customHeight="1">
      <c r="M32" s="192"/>
    </row>
    <row r="33" spans="10:13" ht="15.05" customHeight="1">
      <c r="M33" s="192"/>
    </row>
    <row r="34" spans="10:13" ht="15.05" customHeight="1"/>
    <row r="35" spans="10:13" ht="15.05" customHeight="1"/>
    <row r="36" spans="10:13" ht="15.05" customHeight="1"/>
    <row r="37" spans="10:13" ht="15.05" customHeight="1">
      <c r="J37" s="21"/>
    </row>
    <row r="38" spans="10:13" ht="7.55" customHeight="1"/>
  </sheetData>
  <mergeCells count="11">
    <mergeCell ref="B21:G21"/>
    <mergeCell ref="B1:G1"/>
    <mergeCell ref="B3:G3"/>
    <mergeCell ref="B4:G4"/>
    <mergeCell ref="B5:G5"/>
    <mergeCell ref="B6:B7"/>
    <mergeCell ref="C6:C7"/>
    <mergeCell ref="D6:D7"/>
    <mergeCell ref="E6:E7"/>
    <mergeCell ref="F6:F7"/>
    <mergeCell ref="G6:G7"/>
  </mergeCells>
  <printOptions horizontalCentered="1"/>
  <pageMargins left="0.39370078740157483" right="0.39370078740157483" top="1.299212598425197" bottom="0.78740157480314965" header="0.51181102362204722" footer="0.59055118110236227"/>
  <pageSetup paperSize="126" firstPageNumber="0" orientation="portrait" r:id="rId1"/>
  <headerFooter alignWithMargins="0">
    <oddFooter>&amp;C&amp;11&amp;A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36"/>
  <sheetViews>
    <sheetView zoomScaleNormal="100" workbookViewId="0">
      <selection activeCell="K15" sqref="K15"/>
    </sheetView>
  </sheetViews>
  <sheetFormatPr baseColWidth="10" defaultColWidth="10.9140625" defaultRowHeight="17.7"/>
  <cols>
    <col min="1" max="1" width="1.33203125" style="1" customWidth="1"/>
    <col min="2" max="2" width="9.4140625" customWidth="1"/>
    <col min="3" max="6" width="9.08203125" customWidth="1"/>
    <col min="7" max="7" width="9.08203125" style="1" customWidth="1"/>
    <col min="8" max="9" width="7.9140625" style="1" customWidth="1"/>
    <col min="10" max="16384" width="10.9140625" style="1"/>
  </cols>
  <sheetData>
    <row r="1" spans="1:10" s="15" customFormat="1" ht="16.55" customHeight="1">
      <c r="B1" s="791" t="s">
        <v>190</v>
      </c>
      <c r="C1" s="791"/>
      <c r="D1" s="791"/>
      <c r="E1" s="791"/>
      <c r="F1" s="791"/>
      <c r="G1" s="791"/>
      <c r="H1" s="791"/>
      <c r="I1" s="791"/>
    </row>
    <row r="2" spans="1:10" s="15" customFormat="1" ht="11.3" customHeight="1">
      <c r="A2" s="17"/>
      <c r="B2" s="17"/>
      <c r="C2" s="17"/>
      <c r="D2" s="17"/>
      <c r="E2" s="16"/>
      <c r="F2" s="380"/>
      <c r="G2" s="380"/>
      <c r="H2" s="11"/>
    </row>
    <row r="3" spans="1:10" s="15" customFormat="1" ht="24.75" customHeight="1">
      <c r="B3" s="898" t="s">
        <v>635</v>
      </c>
      <c r="C3" s="898"/>
      <c r="D3" s="898"/>
      <c r="E3" s="898"/>
      <c r="F3" s="898"/>
      <c r="G3" s="898"/>
      <c r="H3" s="898"/>
      <c r="I3" s="898"/>
    </row>
    <row r="4" spans="1:10" s="15" customFormat="1" ht="15.75" customHeight="1">
      <c r="B4" s="868" t="s">
        <v>721</v>
      </c>
      <c r="C4" s="868"/>
      <c r="D4" s="868"/>
      <c r="E4" s="868"/>
      <c r="F4" s="868"/>
      <c r="G4" s="868"/>
      <c r="H4" s="868"/>
      <c r="I4" s="868"/>
    </row>
    <row r="5" spans="1:10" s="22" customFormat="1" ht="15.75" customHeight="1">
      <c r="B5" s="124" t="s">
        <v>476</v>
      </c>
      <c r="C5" s="147">
        <v>2018</v>
      </c>
      <c r="D5" s="147">
        <v>2019</v>
      </c>
      <c r="E5" s="147">
        <v>2020</v>
      </c>
      <c r="F5" s="147">
        <v>2021</v>
      </c>
      <c r="G5" s="147">
        <v>2022</v>
      </c>
      <c r="H5" s="147">
        <v>2023</v>
      </c>
      <c r="I5" s="147">
        <v>2024</v>
      </c>
      <c r="J5" s="92"/>
    </row>
    <row r="6" spans="1:10" s="22" customFormat="1" ht="15.75" customHeight="1">
      <c r="B6" s="24" t="str">
        <f>'52'!B7</f>
        <v>Enero</v>
      </c>
      <c r="C6" s="44">
        <v>9627.125</v>
      </c>
      <c r="D6" s="280">
        <v>9764.720800000001</v>
      </c>
      <c r="E6" s="280">
        <v>8803</v>
      </c>
      <c r="F6" s="44">
        <v>8285</v>
      </c>
      <c r="G6" s="44">
        <v>7846</v>
      </c>
      <c r="H6" s="44">
        <v>8510.9162100000012</v>
      </c>
      <c r="I6" s="44">
        <v>12296.667020000001</v>
      </c>
      <c r="J6" s="92"/>
    </row>
    <row r="7" spans="1:10" s="22" customFormat="1" ht="15.75" customHeight="1">
      <c r="B7" s="24" t="str">
        <f>'52'!B8</f>
        <v>Febrero</v>
      </c>
      <c r="C7" s="44">
        <v>9983.5290000000005</v>
      </c>
      <c r="D7" s="280">
        <v>9739</v>
      </c>
      <c r="E7" s="280">
        <v>10115</v>
      </c>
      <c r="F7" s="44">
        <v>10165</v>
      </c>
      <c r="G7" s="44">
        <v>7834</v>
      </c>
      <c r="H7" s="44">
        <v>12280.765270000002</v>
      </c>
      <c r="I7" s="44">
        <v>7745.7670699999999</v>
      </c>
    </row>
    <row r="8" spans="1:10" s="22" customFormat="1" ht="15.75" customHeight="1">
      <c r="B8" s="24" t="str">
        <f>'52'!B9</f>
        <v>Marzo</v>
      </c>
      <c r="C8" s="44">
        <v>13439</v>
      </c>
      <c r="D8" s="280">
        <v>9720.3803099999986</v>
      </c>
      <c r="E8" s="280">
        <v>10593.363869999997</v>
      </c>
      <c r="F8" s="44">
        <v>8486</v>
      </c>
      <c r="G8" s="44">
        <v>14581.501040000001</v>
      </c>
      <c r="H8" s="44">
        <v>19657.286919999999</v>
      </c>
      <c r="I8" s="44">
        <v>8996.4509799999996</v>
      </c>
    </row>
    <row r="9" spans="1:10" s="22" customFormat="1" ht="15.75" customHeight="1">
      <c r="B9" s="24" t="str">
        <f>'52'!B10</f>
        <v>Abril</v>
      </c>
      <c r="C9" s="44">
        <v>13435</v>
      </c>
      <c r="D9" s="280">
        <v>11090</v>
      </c>
      <c r="E9" s="280">
        <v>16660</v>
      </c>
      <c r="F9" s="44">
        <v>7510</v>
      </c>
      <c r="G9" s="44">
        <v>14602.845460000002</v>
      </c>
      <c r="H9" s="44">
        <v>15481.045270000001</v>
      </c>
      <c r="I9" s="44">
        <v>13153.315050000001</v>
      </c>
      <c r="J9" s="22" t="s">
        <v>97</v>
      </c>
    </row>
    <row r="10" spans="1:10" s="22" customFormat="1" ht="15.75" customHeight="1">
      <c r="B10" s="24" t="str">
        <f>'52'!B11</f>
        <v>Mayo</v>
      </c>
      <c r="C10" s="44">
        <v>15360</v>
      </c>
      <c r="D10" s="280">
        <v>10562</v>
      </c>
      <c r="E10" s="280">
        <v>14952</v>
      </c>
      <c r="F10" s="44">
        <v>12437</v>
      </c>
      <c r="G10" s="44">
        <v>15988.013730000001</v>
      </c>
      <c r="H10" s="44">
        <v>20206.495620000002</v>
      </c>
      <c r="I10" s="44">
        <v>12026.690700000001</v>
      </c>
      <c r="J10" s="22" t="s">
        <v>97</v>
      </c>
    </row>
    <row r="11" spans="1:10" s="22" customFormat="1" ht="15.75" customHeight="1">
      <c r="B11" s="24" t="str">
        <f>'52'!B12</f>
        <v>Junio</v>
      </c>
      <c r="C11" s="44">
        <v>11595.6</v>
      </c>
      <c r="D11" s="280">
        <v>10405</v>
      </c>
      <c r="E11" s="280">
        <v>15182</v>
      </c>
      <c r="F11" s="44">
        <v>11749.450769999998</v>
      </c>
      <c r="G11" s="44">
        <v>13953.49475</v>
      </c>
      <c r="H11" s="44">
        <v>17045.505280000001</v>
      </c>
      <c r="I11" s="44">
        <v>8320.8397399999994</v>
      </c>
    </row>
    <row r="12" spans="1:10" s="22" customFormat="1" ht="15.75" customHeight="1">
      <c r="B12" s="24" t="str">
        <f>'52'!B13</f>
        <v>Julio</v>
      </c>
      <c r="C12" s="44">
        <v>10589</v>
      </c>
      <c r="D12" s="280">
        <v>9905</v>
      </c>
      <c r="E12" s="280">
        <v>19199</v>
      </c>
      <c r="F12" s="44">
        <v>14191</v>
      </c>
      <c r="G12" s="44">
        <v>11142.037920000001</v>
      </c>
      <c r="H12" s="44">
        <v>10587.130160000002</v>
      </c>
      <c r="I12" s="44">
        <v>14425.426089999999</v>
      </c>
    </row>
    <row r="13" spans="1:10" s="22" customFormat="1" ht="15.75" customHeight="1">
      <c r="B13" s="24" t="str">
        <f>'52'!B14</f>
        <v>Agosto</v>
      </c>
      <c r="C13" s="44">
        <v>12381</v>
      </c>
      <c r="D13" s="280">
        <v>11502</v>
      </c>
      <c r="E13" s="280">
        <v>19294</v>
      </c>
      <c r="F13" s="44">
        <v>14413</v>
      </c>
      <c r="G13" s="44">
        <v>14495.128739999998</v>
      </c>
      <c r="H13" s="44">
        <v>13687.515490000002</v>
      </c>
      <c r="I13" s="44"/>
      <c r="J13" s="22" t="s">
        <v>97</v>
      </c>
    </row>
    <row r="14" spans="1:10" s="22" customFormat="1" ht="15.75" customHeight="1">
      <c r="B14" s="24" t="str">
        <f>'52'!B15</f>
        <v>Septiembre</v>
      </c>
      <c r="C14" s="44">
        <v>6745</v>
      </c>
      <c r="D14" s="280">
        <v>11560</v>
      </c>
      <c r="E14" s="280">
        <v>21882</v>
      </c>
      <c r="F14" s="44">
        <v>10322</v>
      </c>
      <c r="G14" s="44">
        <v>13220.969079999997</v>
      </c>
      <c r="H14" s="44">
        <v>10024.342970000002</v>
      </c>
      <c r="I14" s="44"/>
    </row>
    <row r="15" spans="1:10" s="22" customFormat="1" ht="15.75" customHeight="1">
      <c r="B15" s="24" t="str">
        <f>'52'!B16</f>
        <v>Octubre</v>
      </c>
      <c r="C15" s="44">
        <v>11079</v>
      </c>
      <c r="D15" s="280">
        <v>8853</v>
      </c>
      <c r="E15" s="280">
        <v>13942</v>
      </c>
      <c r="F15" s="44">
        <v>13685</v>
      </c>
      <c r="G15" s="44">
        <v>11684.602040000002</v>
      </c>
      <c r="H15" s="44">
        <v>14684.739539999999</v>
      </c>
      <c r="I15" s="44"/>
    </row>
    <row r="16" spans="1:10" s="22" customFormat="1" ht="15.75" customHeight="1">
      <c r="B16" s="24" t="str">
        <f>'52'!B17</f>
        <v>Noviembre</v>
      </c>
      <c r="C16" s="44">
        <v>10817</v>
      </c>
      <c r="D16" s="280">
        <v>11852</v>
      </c>
      <c r="E16" s="280">
        <v>6854</v>
      </c>
      <c r="F16" s="44">
        <v>9525.1349799999989</v>
      </c>
      <c r="G16" s="44">
        <v>14420.7042</v>
      </c>
      <c r="H16" s="44">
        <v>15271.59433</v>
      </c>
      <c r="I16" s="44" t="s">
        <v>97</v>
      </c>
    </row>
    <row r="17" spans="2:12" s="22" customFormat="1" ht="15.75" customHeight="1">
      <c r="B17" s="24" t="str">
        <f>'52'!B18</f>
        <v>Diciembre</v>
      </c>
      <c r="C17" s="44">
        <v>8315</v>
      </c>
      <c r="D17" s="280">
        <v>11328</v>
      </c>
      <c r="E17" s="280">
        <v>9879</v>
      </c>
      <c r="F17" s="44">
        <v>10440</v>
      </c>
      <c r="G17" s="44">
        <v>13137.667120000002</v>
      </c>
      <c r="H17" s="44">
        <v>12565.227469999998</v>
      </c>
      <c r="I17" s="44"/>
    </row>
    <row r="18" spans="2:12" s="22" customFormat="1" ht="15.75" customHeight="1">
      <c r="B18" s="24" t="s">
        <v>208</v>
      </c>
      <c r="C18" s="44">
        <f t="shared" ref="C18:I18" si="0">SUM(C6:C17)</f>
        <v>133366.25400000002</v>
      </c>
      <c r="D18" s="280">
        <f t="shared" si="0"/>
        <v>126281.10111</v>
      </c>
      <c r="E18" s="280">
        <f t="shared" si="0"/>
        <v>167355.36387</v>
      </c>
      <c r="F18" s="280">
        <f t="shared" si="0"/>
        <v>131208.58575</v>
      </c>
      <c r="G18" s="280">
        <f t="shared" si="0"/>
        <v>152906.96408000001</v>
      </c>
      <c r="H18" s="280">
        <f t="shared" si="0"/>
        <v>170002.56452999997</v>
      </c>
      <c r="I18" s="280">
        <f t="shared" si="0"/>
        <v>76965.156650000004</v>
      </c>
      <c r="J18" s="92"/>
      <c r="K18" s="227"/>
      <c r="L18" s="92"/>
    </row>
    <row r="19" spans="2:12" ht="18" customHeight="1">
      <c r="B19" s="816" t="s">
        <v>477</v>
      </c>
      <c r="C19" s="816"/>
      <c r="D19" s="816"/>
      <c r="E19" s="816"/>
      <c r="F19" s="816"/>
      <c r="G19" s="816"/>
      <c r="H19" s="816"/>
      <c r="I19" s="816"/>
    </row>
    <row r="20" spans="2:12" ht="15.05" customHeight="1">
      <c r="B20" s="1"/>
      <c r="C20" s="1"/>
      <c r="D20" s="1"/>
      <c r="E20" s="1"/>
      <c r="F20" s="1"/>
    </row>
    <row r="21" spans="2:12" ht="15.05" customHeight="1">
      <c r="B21" s="1"/>
      <c r="C21" s="1"/>
      <c r="D21" s="1"/>
      <c r="E21" s="1"/>
      <c r="F21" s="1"/>
    </row>
    <row r="22" spans="2:12" ht="15.05" customHeight="1">
      <c r="B22" s="1"/>
      <c r="C22" s="1"/>
      <c r="D22" s="1"/>
      <c r="E22" s="1"/>
      <c r="F22" s="1"/>
    </row>
    <row r="23" spans="2:12" ht="15.05" customHeight="1">
      <c r="B23" s="1"/>
      <c r="C23" s="1"/>
      <c r="D23" s="1"/>
      <c r="E23" s="1"/>
      <c r="F23" s="1"/>
    </row>
    <row r="24" spans="2:12" ht="15.05" customHeight="1">
      <c r="B24" s="1"/>
      <c r="C24" s="1"/>
      <c r="D24" s="1"/>
      <c r="E24" s="1"/>
      <c r="F24" s="1"/>
    </row>
    <row r="25" spans="2:12" ht="15.05" customHeight="1">
      <c r="B25" s="1"/>
      <c r="C25" s="1"/>
      <c r="D25" s="1"/>
      <c r="E25" s="1"/>
      <c r="F25" s="1"/>
    </row>
    <row r="26" spans="2:12" ht="15.05" customHeight="1">
      <c r="B26" s="1"/>
      <c r="C26" s="1"/>
      <c r="D26" s="1"/>
      <c r="E26" s="1"/>
      <c r="F26" s="1"/>
    </row>
    <row r="27" spans="2:12" ht="15.05" customHeight="1">
      <c r="B27" s="1"/>
      <c r="C27" s="1"/>
      <c r="D27" s="1"/>
      <c r="E27" s="1"/>
      <c r="F27" s="1"/>
    </row>
    <row r="28" spans="2:12" ht="15.05" customHeight="1">
      <c r="B28" s="1"/>
      <c r="C28" s="1"/>
      <c r="D28" s="1"/>
      <c r="E28" s="1"/>
      <c r="F28" s="1"/>
    </row>
    <row r="29" spans="2:12" ht="15.05" customHeight="1">
      <c r="B29" s="1"/>
      <c r="C29" s="1"/>
      <c r="D29" s="1"/>
      <c r="E29" s="1"/>
      <c r="F29" s="1"/>
    </row>
    <row r="30" spans="2:12" ht="15.05" customHeight="1">
      <c r="B30" s="1"/>
      <c r="C30" s="1"/>
      <c r="D30" s="1"/>
      <c r="E30" s="1"/>
      <c r="F30" s="1"/>
    </row>
    <row r="31" spans="2:12" ht="15.05" customHeight="1">
      <c r="B31" s="1"/>
      <c r="C31" s="1"/>
      <c r="D31" s="1"/>
      <c r="E31" s="1"/>
      <c r="F31" s="1"/>
    </row>
    <row r="32" spans="2:12" ht="15.05" customHeight="1">
      <c r="B32" s="1"/>
      <c r="C32" s="1"/>
      <c r="D32" s="1"/>
      <c r="E32" s="1"/>
      <c r="F32" s="1"/>
    </row>
    <row r="33" s="1" customFormat="1" ht="15.05" customHeight="1"/>
    <row r="34" s="1" customFormat="1" ht="15.05" customHeight="1"/>
    <row r="35" s="1" customFormat="1" ht="15.05" customHeight="1"/>
    <row r="36" s="1" customFormat="1" ht="15.05" customHeight="1"/>
  </sheetData>
  <mergeCells count="4">
    <mergeCell ref="B19:I19"/>
    <mergeCell ref="B1:I1"/>
    <mergeCell ref="B3:I3"/>
    <mergeCell ref="B4:I4"/>
  </mergeCells>
  <printOptions horizontalCentered="1"/>
  <pageMargins left="0.55118110236220474" right="0.43307086614173229" top="1.299212598425197" bottom="0.78740157480314965" header="0.51181102362204722" footer="0.59055118110236227"/>
  <pageSetup paperSize="126" scale="83" firstPageNumber="0" orientation="portrait" r:id="rId1"/>
  <headerFooter alignWithMargins="0">
    <oddFooter>&amp;C&amp;10&amp;A</oddFooter>
  </headerFooter>
  <ignoredErrors>
    <ignoredError sqref="C18:H18" formulaRange="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AL878"/>
  <sheetViews>
    <sheetView topLeftCell="A11" zoomScale="90" zoomScaleNormal="90" zoomScalePageLayoutView="80" workbookViewId="0">
      <selection activeCell="Y30" sqref="Y30"/>
    </sheetView>
  </sheetViews>
  <sheetFormatPr baseColWidth="10" defaultColWidth="10.9140625" defaultRowHeight="11.8"/>
  <cols>
    <col min="1" max="1" width="1.25" style="1" customWidth="1"/>
    <col min="2" max="2" width="8.4140625" style="1" customWidth="1"/>
    <col min="3" max="10" width="4.9140625" style="1" customWidth="1"/>
    <col min="11" max="18" width="4.9140625" style="341" customWidth="1"/>
    <col min="19" max="19" width="5.5" style="341" customWidth="1"/>
    <col min="20" max="20" width="5.6640625" style="341" customWidth="1"/>
    <col min="21" max="21" width="6.1640625" style="341" customWidth="1"/>
    <col min="22" max="22" width="5" style="341" customWidth="1"/>
    <col min="23" max="23" width="7.6640625" style="1" customWidth="1"/>
    <col min="24" max="24" width="6" style="1" customWidth="1"/>
    <col min="25" max="25" width="10.6640625" style="339" bestFit="1" customWidth="1"/>
    <col min="26" max="26" width="6.1640625" style="339" bestFit="1" customWidth="1"/>
    <col min="27" max="27" width="5.9140625" style="339" customWidth="1"/>
    <col min="28" max="28" width="7.6640625" style="339" customWidth="1"/>
    <col min="29" max="29" width="5.9140625" style="339" customWidth="1"/>
    <col min="30" max="30" width="6.25" style="339" bestFit="1" customWidth="1"/>
    <col min="31" max="31" width="5.25" style="339" customWidth="1"/>
    <col min="32" max="35" width="10.9140625" style="339"/>
    <col min="36" max="37" width="10.9140625" style="531"/>
    <col min="38" max="38" width="4.75" style="531" customWidth="1"/>
    <col min="39" max="16384" width="10.9140625" style="1"/>
  </cols>
  <sheetData>
    <row r="1" spans="2:38" s="15" customFormat="1" ht="13.1">
      <c r="B1" s="791" t="s">
        <v>202</v>
      </c>
      <c r="C1" s="791"/>
      <c r="D1" s="791"/>
      <c r="E1" s="791"/>
      <c r="F1" s="791"/>
      <c r="G1" s="791"/>
      <c r="H1" s="791"/>
      <c r="I1" s="791"/>
      <c r="J1" s="791"/>
      <c r="K1" s="791"/>
      <c r="L1" s="791"/>
      <c r="M1" s="791"/>
      <c r="N1" s="791"/>
      <c r="O1" s="791"/>
      <c r="P1" s="791"/>
      <c r="Q1" s="791"/>
      <c r="R1" s="791"/>
      <c r="S1" s="791"/>
      <c r="T1" s="791"/>
      <c r="U1" s="791"/>
      <c r="V1" s="791"/>
      <c r="W1" s="791"/>
      <c r="Y1" s="282"/>
      <c r="Z1" s="282"/>
      <c r="AA1" s="275"/>
      <c r="AB1" s="275" t="str">
        <f>C5</f>
        <v>Argentina</v>
      </c>
      <c r="AC1" s="275" t="str">
        <f>G5</f>
        <v>Uruguay</v>
      </c>
      <c r="AD1" s="275" t="str">
        <f>O5</f>
        <v>Pakistán</v>
      </c>
      <c r="AE1" s="275" t="str">
        <f>K5</f>
        <v>Paraguay</v>
      </c>
      <c r="AF1" s="275" t="s">
        <v>210</v>
      </c>
      <c r="AG1" s="275"/>
      <c r="AH1" s="282"/>
      <c r="AI1" s="282"/>
      <c r="AJ1" s="537"/>
      <c r="AK1" s="537"/>
      <c r="AL1" s="537"/>
    </row>
    <row r="2" spans="2:38" s="15" customFormat="1" ht="17.7">
      <c r="B2" s="791" t="s">
        <v>542</v>
      </c>
      <c r="C2" s="791"/>
      <c r="D2" s="791"/>
      <c r="E2" s="791"/>
      <c r="F2" s="791"/>
      <c r="G2" s="791"/>
      <c r="H2" s="791"/>
      <c r="I2" s="791"/>
      <c r="J2" s="791"/>
      <c r="K2" s="791"/>
      <c r="L2" s="791"/>
      <c r="M2" s="791"/>
      <c r="N2" s="791"/>
      <c r="O2" s="791"/>
      <c r="P2" s="791"/>
      <c r="Q2" s="791"/>
      <c r="R2" s="791"/>
      <c r="S2" s="791"/>
      <c r="T2" s="791"/>
      <c r="U2" s="791"/>
      <c r="V2" s="791"/>
      <c r="W2" s="791"/>
      <c r="Y2" s="282"/>
      <c r="Z2" s="282"/>
      <c r="AA2" s="275"/>
      <c r="AB2" s="554">
        <f>F20</f>
        <v>0.33114413208954335</v>
      </c>
      <c r="AC2" s="397">
        <f>J20</f>
        <v>7.445165448123596E-2</v>
      </c>
      <c r="AD2" s="554">
        <f>R20</f>
        <v>9.3623924300815398E-2</v>
      </c>
      <c r="AE2" s="397">
        <f>N20</f>
        <v>0.46144390586386208</v>
      </c>
      <c r="AF2" s="621">
        <f>1-(SUM(AE2+AD2+AC2+AB2))</f>
        <v>3.9336383264543251E-2</v>
      </c>
      <c r="AG2" s="275"/>
      <c r="AH2" s="282"/>
      <c r="AI2" s="282"/>
      <c r="AJ2" s="537"/>
      <c r="AK2" s="537"/>
      <c r="AL2" s="537"/>
    </row>
    <row r="3" spans="2:38" s="15" customFormat="1" ht="13.1">
      <c r="B3" s="867" t="s">
        <v>714</v>
      </c>
      <c r="C3" s="867"/>
      <c r="D3" s="867"/>
      <c r="E3" s="867"/>
      <c r="F3" s="867"/>
      <c r="G3" s="867"/>
      <c r="H3" s="867"/>
      <c r="I3" s="867"/>
      <c r="J3" s="867"/>
      <c r="K3" s="867"/>
      <c r="L3" s="867"/>
      <c r="M3" s="867"/>
      <c r="N3" s="867"/>
      <c r="O3" s="867"/>
      <c r="P3" s="867"/>
      <c r="Q3" s="867"/>
      <c r="R3" s="867"/>
      <c r="S3" s="867"/>
      <c r="T3" s="867"/>
      <c r="U3" s="867"/>
      <c r="V3" s="867"/>
      <c r="W3" s="867"/>
      <c r="Y3" s="282"/>
      <c r="Z3" s="282"/>
      <c r="AA3" s="275"/>
      <c r="AB3" s="530"/>
      <c r="AC3" s="530"/>
      <c r="AD3" s="530"/>
      <c r="AE3" s="530"/>
      <c r="AF3" s="530"/>
      <c r="AG3" s="275"/>
      <c r="AH3" s="282"/>
      <c r="AI3" s="282"/>
      <c r="AJ3" s="537"/>
      <c r="AK3" s="537"/>
      <c r="AL3" s="537"/>
    </row>
    <row r="4" spans="2:38" s="15" customFormat="1" ht="13.1">
      <c r="B4" s="500"/>
      <c r="C4" s="500"/>
      <c r="D4" s="500"/>
      <c r="E4" s="500"/>
      <c r="F4" s="500"/>
      <c r="G4" s="500"/>
      <c r="H4" s="500"/>
      <c r="I4" s="500"/>
      <c r="J4" s="500"/>
      <c r="K4" s="500"/>
      <c r="L4" s="500"/>
      <c r="M4" s="500"/>
      <c r="N4" s="500"/>
      <c r="O4" s="500"/>
      <c r="P4" s="500"/>
      <c r="Q4" s="500"/>
      <c r="R4" s="500"/>
      <c r="S4" s="500"/>
      <c r="T4" s="500"/>
      <c r="U4" s="500"/>
      <c r="V4" s="500"/>
      <c r="W4" s="500"/>
      <c r="Y4" s="282"/>
      <c r="Z4" s="282"/>
      <c r="AA4" s="275"/>
      <c r="AB4" s="530"/>
      <c r="AC4" s="530"/>
      <c r="AD4" s="530"/>
      <c r="AE4" s="530"/>
      <c r="AF4" s="530"/>
      <c r="AG4" s="275"/>
      <c r="AH4" s="282"/>
      <c r="AI4" s="282"/>
      <c r="AJ4" s="537"/>
      <c r="AK4" s="537"/>
      <c r="AL4" s="537"/>
    </row>
    <row r="5" spans="2:38" s="22" customFormat="1" ht="15.75" customHeight="1">
      <c r="B5" s="124" t="s">
        <v>479</v>
      </c>
      <c r="C5" s="857" t="s">
        <v>118</v>
      </c>
      <c r="D5" s="878"/>
      <c r="E5" s="878"/>
      <c r="F5" s="855"/>
      <c r="G5" s="857" t="s">
        <v>603</v>
      </c>
      <c r="H5" s="878"/>
      <c r="I5" s="878"/>
      <c r="J5" s="855"/>
      <c r="K5" s="1070" t="s">
        <v>480</v>
      </c>
      <c r="L5" s="1071"/>
      <c r="M5" s="1071"/>
      <c r="N5" s="1072"/>
      <c r="O5" s="1070" t="s">
        <v>601</v>
      </c>
      <c r="P5" s="1071"/>
      <c r="Q5" s="1071"/>
      <c r="R5" s="1072"/>
      <c r="S5" s="1066" t="s">
        <v>208</v>
      </c>
      <c r="T5" s="1067"/>
      <c r="U5" s="1067"/>
      <c r="V5" s="1067"/>
      <c r="W5" s="1068"/>
      <c r="Y5" s="282"/>
      <c r="Z5" s="282"/>
      <c r="AA5" s="275"/>
      <c r="AB5" s="275"/>
      <c r="AC5" s="275"/>
      <c r="AD5" s="275"/>
      <c r="AE5" s="275"/>
      <c r="AF5" s="275"/>
      <c r="AG5" s="275"/>
      <c r="AH5" s="275"/>
      <c r="AI5" s="275"/>
      <c r="AJ5" s="343"/>
      <c r="AK5" s="343"/>
      <c r="AL5" s="343"/>
    </row>
    <row r="6" spans="2:38" s="22" customFormat="1" ht="29.45" customHeight="1">
      <c r="B6" s="24"/>
      <c r="C6" s="194">
        <v>2021</v>
      </c>
      <c r="D6" s="194">
        <v>2022</v>
      </c>
      <c r="E6" s="194">
        <v>2023</v>
      </c>
      <c r="F6" s="194">
        <v>2024</v>
      </c>
      <c r="G6" s="194">
        <v>2021</v>
      </c>
      <c r="H6" s="194">
        <v>2022</v>
      </c>
      <c r="I6" s="194">
        <v>2023</v>
      </c>
      <c r="J6" s="194">
        <v>2024</v>
      </c>
      <c r="K6" s="194">
        <v>2021</v>
      </c>
      <c r="L6" s="194">
        <v>2022</v>
      </c>
      <c r="M6" s="194">
        <v>2023</v>
      </c>
      <c r="N6" s="194">
        <v>2024</v>
      </c>
      <c r="O6" s="194">
        <v>2021</v>
      </c>
      <c r="P6" s="194">
        <v>2022</v>
      </c>
      <c r="Q6" s="194">
        <v>2023</v>
      </c>
      <c r="R6" s="194">
        <v>2024</v>
      </c>
      <c r="S6" s="194">
        <v>2021</v>
      </c>
      <c r="T6" s="194">
        <v>2022</v>
      </c>
      <c r="U6" s="194">
        <v>2023</v>
      </c>
      <c r="V6" s="194">
        <v>2024</v>
      </c>
      <c r="W6" s="157" t="s">
        <v>723</v>
      </c>
      <c r="Y6" s="282"/>
      <c r="Z6" s="282"/>
      <c r="AA6" s="275"/>
      <c r="AB6" s="275"/>
      <c r="AC6" s="275"/>
      <c r="AD6" s="275"/>
      <c r="AE6" s="275"/>
      <c r="AF6" s="275"/>
      <c r="AG6" s="275"/>
      <c r="AH6" s="275"/>
      <c r="AI6" s="275"/>
      <c r="AJ6" s="343"/>
      <c r="AK6" s="343"/>
      <c r="AL6" s="343"/>
    </row>
    <row r="7" spans="2:38" s="22" customFormat="1" ht="15.75" customHeight="1">
      <c r="B7" s="24" t="s">
        <v>212</v>
      </c>
      <c r="C7" s="65">
        <v>2671.4</v>
      </c>
      <c r="D7" s="65">
        <v>3532.5475999999999</v>
      </c>
      <c r="E7" s="65">
        <v>5160.2</v>
      </c>
      <c r="F7" s="65">
        <v>1582.86</v>
      </c>
      <c r="G7" s="65">
        <v>360.00200000000001</v>
      </c>
      <c r="H7" s="65">
        <v>828.56</v>
      </c>
      <c r="I7" s="65">
        <v>1081.2</v>
      </c>
      <c r="J7" s="65">
        <v>903.1</v>
      </c>
      <c r="K7" s="65">
        <v>1233.4000000000001</v>
      </c>
      <c r="L7" s="65">
        <v>3240.48</v>
      </c>
      <c r="M7" s="65">
        <v>2083.50621</v>
      </c>
      <c r="N7" s="65">
        <v>3190.4540000000002</v>
      </c>
      <c r="O7" s="65">
        <v>330</v>
      </c>
      <c r="P7" s="65">
        <v>75</v>
      </c>
      <c r="Q7" s="65">
        <v>100</v>
      </c>
      <c r="R7" s="65">
        <v>6445</v>
      </c>
      <c r="S7" s="65">
        <v>8284.7797800000008</v>
      </c>
      <c r="T7" s="65">
        <v>7845.8767399999997</v>
      </c>
      <c r="U7" s="65">
        <v>8510.9162100000012</v>
      </c>
      <c r="V7" s="65">
        <v>12296.667020000001</v>
      </c>
      <c r="W7" s="550">
        <f t="shared" ref="W7:W13" si="0">V7/U7-1</f>
        <v>0.44481119500999045</v>
      </c>
      <c r="Y7" s="282"/>
      <c r="Z7" s="282" t="s">
        <v>97</v>
      </c>
      <c r="AA7" s="275"/>
      <c r="AB7" s="275"/>
      <c r="AC7" s="275"/>
      <c r="AD7" s="275"/>
      <c r="AE7" s="275"/>
      <c r="AF7" s="275"/>
      <c r="AG7" s="275"/>
      <c r="AH7" s="275"/>
      <c r="AI7" s="275"/>
      <c r="AJ7" s="343"/>
      <c r="AK7" s="343"/>
      <c r="AL7" s="343"/>
    </row>
    <row r="8" spans="2:38" s="22" customFormat="1" ht="15.75" customHeight="1">
      <c r="B8" s="24" t="s">
        <v>213</v>
      </c>
      <c r="C8" s="65">
        <v>2568.4079999999999</v>
      </c>
      <c r="D8" s="65">
        <v>3620.3625000000002</v>
      </c>
      <c r="E8" s="65">
        <v>5201.6004000000003</v>
      </c>
      <c r="F8" s="65">
        <v>1751.3</v>
      </c>
      <c r="G8" s="65">
        <v>280.11200000000002</v>
      </c>
      <c r="H8" s="65">
        <v>960.20025999999996</v>
      </c>
      <c r="I8" s="65">
        <v>448</v>
      </c>
      <c r="J8" s="65">
        <v>381.48</v>
      </c>
      <c r="K8" s="65">
        <v>3760.1840000000002</v>
      </c>
      <c r="L8" s="65">
        <v>3036.3</v>
      </c>
      <c r="M8" s="65">
        <v>6463.2007999999996</v>
      </c>
      <c r="N8" s="65">
        <v>5156.7924999999996</v>
      </c>
      <c r="O8" s="65">
        <v>1269</v>
      </c>
      <c r="P8" s="65">
        <v>75</v>
      </c>
      <c r="Q8" s="65">
        <v>26.504000000000001</v>
      </c>
      <c r="R8" s="65">
        <v>0</v>
      </c>
      <c r="S8" s="65">
        <v>10165.29904</v>
      </c>
      <c r="T8" s="65">
        <v>7834.2395900000001</v>
      </c>
      <c r="U8" s="65">
        <v>12280.765270000002</v>
      </c>
      <c r="V8" s="65">
        <v>7745.7670699999999</v>
      </c>
      <c r="W8" s="550">
        <f t="shared" si="0"/>
        <v>-0.36927651496428293</v>
      </c>
      <c r="Y8" s="282"/>
      <c r="Z8" s="282"/>
      <c r="AA8" s="275"/>
      <c r="AB8" s="275"/>
      <c r="AC8" s="275"/>
      <c r="AD8" s="275"/>
      <c r="AE8" s="275"/>
      <c r="AF8" s="275"/>
      <c r="AG8" s="275"/>
      <c r="AH8" s="275"/>
      <c r="AI8" s="275"/>
      <c r="AJ8" s="343"/>
      <c r="AK8" s="343"/>
      <c r="AL8" s="343"/>
    </row>
    <row r="9" spans="2:38" s="22" customFormat="1" ht="15.75" customHeight="1">
      <c r="B9" s="24" t="s">
        <v>214</v>
      </c>
      <c r="C9" s="65">
        <v>3379.7550000000001</v>
      </c>
      <c r="D9" s="65">
        <v>8271.3004999999994</v>
      </c>
      <c r="E9" s="65">
        <v>8531.52</v>
      </c>
      <c r="F9" s="65">
        <v>3257.24</v>
      </c>
      <c r="G9" s="65">
        <v>560</v>
      </c>
      <c r="H9" s="65">
        <v>1226.5999999999999</v>
      </c>
      <c r="I9" s="65">
        <v>1331.2</v>
      </c>
      <c r="J9" s="65">
        <v>140</v>
      </c>
      <c r="K9" s="65">
        <v>2760.22</v>
      </c>
      <c r="L9" s="65">
        <v>4790.9399999999996</v>
      </c>
      <c r="M9" s="65">
        <v>9621.8804999999993</v>
      </c>
      <c r="N9" s="65">
        <v>5019.7359999999999</v>
      </c>
      <c r="O9" s="65">
        <v>353.34602000000001</v>
      </c>
      <c r="P9" s="65">
        <v>100</v>
      </c>
      <c r="Q9" s="65">
        <v>25.07</v>
      </c>
      <c r="R9" s="65">
        <v>194.54</v>
      </c>
      <c r="S9" s="65">
        <v>8486.4847499999996</v>
      </c>
      <c r="T9" s="65">
        <v>14581.501040000001</v>
      </c>
      <c r="U9" s="65">
        <v>19657.286919999999</v>
      </c>
      <c r="V9" s="65">
        <v>8996.4509799999996</v>
      </c>
      <c r="W9" s="550">
        <f t="shared" si="0"/>
        <v>-0.54233506299149037</v>
      </c>
      <c r="Y9" s="282"/>
      <c r="Z9" s="282"/>
      <c r="AA9" s="595"/>
      <c r="AB9" s="595"/>
      <c r="AC9" s="595"/>
      <c r="AD9" s="595"/>
      <c r="AE9" s="275"/>
      <c r="AF9" s="275"/>
      <c r="AG9" s="275"/>
      <c r="AH9" s="275"/>
      <c r="AI9" s="275"/>
      <c r="AJ9" s="343"/>
      <c r="AK9" s="343"/>
      <c r="AL9" s="343"/>
    </row>
    <row r="10" spans="2:38" s="22" customFormat="1" ht="15.75" customHeight="1">
      <c r="B10" s="24" t="s">
        <v>215</v>
      </c>
      <c r="C10" s="65">
        <v>3719.50092</v>
      </c>
      <c r="D10" s="65">
        <v>9851.1512000000002</v>
      </c>
      <c r="E10" s="65">
        <v>5697.3</v>
      </c>
      <c r="F10" s="65">
        <v>5261.32</v>
      </c>
      <c r="G10" s="65">
        <v>420.28</v>
      </c>
      <c r="H10" s="65">
        <v>638.6</v>
      </c>
      <c r="I10" s="65">
        <v>952</v>
      </c>
      <c r="J10" s="65">
        <v>1148</v>
      </c>
      <c r="K10" s="65">
        <v>2393.5</v>
      </c>
      <c r="L10" s="65">
        <v>4012.366</v>
      </c>
      <c r="M10" s="65">
        <v>7519.4</v>
      </c>
      <c r="N10" s="65">
        <v>6117.7139999999999</v>
      </c>
      <c r="O10" s="65">
        <v>287.00200000000001</v>
      </c>
      <c r="P10" s="65">
        <v>0</v>
      </c>
      <c r="Q10" s="65">
        <v>50</v>
      </c>
      <c r="R10" s="65">
        <v>152.24</v>
      </c>
      <c r="S10" s="65">
        <v>7510.1323300000004</v>
      </c>
      <c r="T10" s="65">
        <v>14602.845460000002</v>
      </c>
      <c r="U10" s="65">
        <v>15481.045270000001</v>
      </c>
      <c r="V10" s="65">
        <v>13153.315050000001</v>
      </c>
      <c r="W10" s="550">
        <f t="shared" si="0"/>
        <v>-0.15036001635566554</v>
      </c>
      <c r="Y10" s="282"/>
      <c r="Z10" s="282"/>
      <c r="AA10" s="275"/>
      <c r="AB10" s="275"/>
      <c r="AC10" s="275"/>
      <c r="AD10" s="275"/>
      <c r="AE10" s="275"/>
      <c r="AF10" s="275"/>
      <c r="AG10" s="275"/>
      <c r="AH10" s="275"/>
      <c r="AI10" s="275"/>
      <c r="AJ10" s="343"/>
      <c r="AK10" s="343"/>
      <c r="AL10" s="343"/>
    </row>
    <row r="11" spans="2:38" s="22" customFormat="1" ht="15.75" customHeight="1">
      <c r="B11" s="24" t="s">
        <v>216</v>
      </c>
      <c r="C11" s="65">
        <v>5798.42</v>
      </c>
      <c r="D11" s="65">
        <v>9017.9599999999991</v>
      </c>
      <c r="E11" s="65">
        <v>4936.048029999999</v>
      </c>
      <c r="F11" s="65">
        <v>4464.3999999999996</v>
      </c>
      <c r="G11" s="65">
        <v>1609.0840000000001</v>
      </c>
      <c r="H11" s="65">
        <v>1694.8</v>
      </c>
      <c r="I11" s="65">
        <v>858.8</v>
      </c>
      <c r="J11" s="65">
        <v>952.00175000000002</v>
      </c>
      <c r="K11" s="65">
        <v>4662.4799999999996</v>
      </c>
      <c r="L11" s="65">
        <v>5033.04</v>
      </c>
      <c r="M11" s="65">
        <v>9728.5319999999992</v>
      </c>
      <c r="N11" s="65">
        <v>5631.9780000000001</v>
      </c>
      <c r="O11" s="65">
        <v>140</v>
      </c>
      <c r="P11" s="65">
        <v>100</v>
      </c>
      <c r="Q11" s="65">
        <v>125</v>
      </c>
      <c r="R11" s="65">
        <v>182</v>
      </c>
      <c r="S11" s="65">
        <v>12436.743660000002</v>
      </c>
      <c r="T11" s="65">
        <v>15988.013730000001</v>
      </c>
      <c r="U11" s="65">
        <v>20206.495620000002</v>
      </c>
      <c r="V11" s="65">
        <v>12026.690700000001</v>
      </c>
      <c r="W11" s="550">
        <f t="shared" si="0"/>
        <v>-0.40481066454213799</v>
      </c>
      <c r="X11" s="22" t="s">
        <v>97</v>
      </c>
      <c r="Y11" s="282"/>
      <c r="Z11" s="282"/>
      <c r="AA11" s="275"/>
      <c r="AB11" s="275"/>
      <c r="AC11" s="275"/>
      <c r="AD11" s="275"/>
      <c r="AE11" s="275"/>
      <c r="AF11" s="275"/>
      <c r="AG11" s="275"/>
      <c r="AH11" s="275"/>
      <c r="AI11" s="275"/>
      <c r="AJ11" s="343"/>
      <c r="AK11" s="343"/>
      <c r="AL11" s="343"/>
    </row>
    <row r="12" spans="2:38" s="22" customFormat="1" ht="15.75" customHeight="1">
      <c r="B12" s="24" t="s">
        <v>217</v>
      </c>
      <c r="C12" s="65">
        <v>6504.28</v>
      </c>
      <c r="D12" s="65">
        <v>6283.5240000000003</v>
      </c>
      <c r="E12" s="65">
        <v>5323.26</v>
      </c>
      <c r="F12" s="65">
        <v>2908.5</v>
      </c>
      <c r="G12" s="65">
        <v>2305</v>
      </c>
      <c r="H12" s="65">
        <v>1392.8</v>
      </c>
      <c r="I12" s="65">
        <v>931.9</v>
      </c>
      <c r="J12" s="65">
        <v>976.4</v>
      </c>
      <c r="K12" s="65">
        <v>2149.424</v>
      </c>
      <c r="L12" s="65">
        <v>6116.424</v>
      </c>
      <c r="M12" s="65">
        <v>8815.5419999999995</v>
      </c>
      <c r="N12" s="65">
        <v>3959.42</v>
      </c>
      <c r="O12" s="65">
        <v>169.54</v>
      </c>
      <c r="P12" s="65">
        <v>100</v>
      </c>
      <c r="Q12" s="65">
        <v>128</v>
      </c>
      <c r="R12" s="65">
        <v>232</v>
      </c>
      <c r="S12" s="65">
        <v>11749.450769999998</v>
      </c>
      <c r="T12" s="65">
        <v>13953.49475</v>
      </c>
      <c r="U12" s="65">
        <v>17045.505280000001</v>
      </c>
      <c r="V12" s="65">
        <v>8320.8397399999994</v>
      </c>
      <c r="W12" s="550">
        <f t="shared" si="0"/>
        <v>-0.51184552154267382</v>
      </c>
      <c r="Y12" s="282"/>
      <c r="Z12" s="282"/>
      <c r="AA12" s="275"/>
      <c r="AB12" s="275"/>
      <c r="AC12" s="275"/>
      <c r="AD12" s="275"/>
      <c r="AE12" s="275"/>
      <c r="AF12" s="275"/>
      <c r="AG12" s="275"/>
      <c r="AH12" s="275"/>
      <c r="AI12" s="275"/>
      <c r="AJ12" s="343"/>
      <c r="AK12" s="343"/>
      <c r="AL12" s="343"/>
    </row>
    <row r="13" spans="2:38" s="22" customFormat="1" ht="15.75" customHeight="1">
      <c r="B13" s="24" t="s">
        <v>218</v>
      </c>
      <c r="C13" s="65">
        <v>9515.1859999999997</v>
      </c>
      <c r="D13" s="65">
        <v>5381.4</v>
      </c>
      <c r="E13" s="65">
        <v>3125.5050099999999</v>
      </c>
      <c r="F13" s="65">
        <v>6260.94</v>
      </c>
      <c r="G13" s="65">
        <v>1668.1120000000001</v>
      </c>
      <c r="H13" s="65">
        <v>612.41</v>
      </c>
      <c r="I13" s="65">
        <v>778.40125999999998</v>
      </c>
      <c r="J13" s="65">
        <v>1229.2014999999999</v>
      </c>
      <c r="K13" s="65">
        <v>2866.5039999999999</v>
      </c>
      <c r="L13" s="65">
        <v>4951.3999999999996</v>
      </c>
      <c r="M13" s="65">
        <v>6209.77196</v>
      </c>
      <c r="N13" s="65">
        <v>6439.0079999999998</v>
      </c>
      <c r="O13" s="65">
        <v>52.52</v>
      </c>
      <c r="P13" s="65">
        <v>125</v>
      </c>
      <c r="Q13" s="65">
        <v>25</v>
      </c>
      <c r="R13" s="65">
        <v>0</v>
      </c>
      <c r="S13" s="65">
        <v>14191.0929</v>
      </c>
      <c r="T13" s="65">
        <v>11142.037920000001</v>
      </c>
      <c r="U13" s="65">
        <v>10587.130160000002</v>
      </c>
      <c r="V13" s="65">
        <v>14425.426089999999</v>
      </c>
      <c r="W13" s="550">
        <f t="shared" si="0"/>
        <v>0.3625435667638941</v>
      </c>
      <c r="Y13" s="282"/>
      <c r="Z13" s="282"/>
      <c r="AA13" s="275"/>
      <c r="AB13" s="275"/>
      <c r="AC13" s="275"/>
      <c r="AD13" s="275"/>
      <c r="AE13" s="275"/>
      <c r="AF13" s="275"/>
      <c r="AG13" s="275"/>
      <c r="AH13" s="275"/>
      <c r="AI13" s="275"/>
      <c r="AJ13" s="343"/>
      <c r="AK13" s="343"/>
      <c r="AL13" s="343"/>
    </row>
    <row r="14" spans="2:38" s="22" customFormat="1" ht="15.75" customHeight="1">
      <c r="B14" s="24" t="s">
        <v>219</v>
      </c>
      <c r="C14" s="65">
        <v>9964.2435000000005</v>
      </c>
      <c r="D14" s="65">
        <v>7194.1055999999999</v>
      </c>
      <c r="E14" s="65">
        <v>5252.8112099999998</v>
      </c>
      <c r="F14" s="65"/>
      <c r="G14" s="65">
        <v>1260</v>
      </c>
      <c r="H14" s="65">
        <v>1042.912</v>
      </c>
      <c r="I14" s="65">
        <v>1310.4000000000001</v>
      </c>
      <c r="J14" s="65"/>
      <c r="K14" s="65">
        <v>2622.232</v>
      </c>
      <c r="L14" s="65">
        <v>6025.86</v>
      </c>
      <c r="M14" s="65">
        <v>5974.8</v>
      </c>
      <c r="N14" s="65"/>
      <c r="O14" s="65">
        <v>55.88</v>
      </c>
      <c r="P14" s="65">
        <v>0</v>
      </c>
      <c r="Q14" s="65">
        <v>0</v>
      </c>
      <c r="R14" s="65"/>
      <c r="S14" s="65">
        <v>14413.063710000002</v>
      </c>
      <c r="T14" s="65">
        <v>14495.128739999998</v>
      </c>
      <c r="U14" s="65">
        <v>13687.515490000002</v>
      </c>
      <c r="V14" s="65"/>
      <c r="W14" s="550"/>
      <c r="Y14" s="282"/>
      <c r="Z14" s="282" t="s">
        <v>97</v>
      </c>
      <c r="AA14" s="275"/>
      <c r="AB14" s="275"/>
      <c r="AC14" s="275"/>
      <c r="AD14" s="275"/>
      <c r="AE14" s="275"/>
      <c r="AF14" s="275"/>
      <c r="AG14" s="275"/>
      <c r="AH14" s="275"/>
      <c r="AI14" s="275"/>
      <c r="AJ14" s="343"/>
      <c r="AK14" s="343"/>
      <c r="AL14" s="343"/>
    </row>
    <row r="15" spans="2:38" s="22" customFormat="1" ht="15.75" customHeight="1">
      <c r="B15" s="24" t="s">
        <v>220</v>
      </c>
      <c r="C15" s="65">
        <v>7204.8960199999992</v>
      </c>
      <c r="D15" s="65">
        <v>7066.8410000000003</v>
      </c>
      <c r="E15" s="65">
        <v>2418.4639999999999</v>
      </c>
      <c r="F15" s="65"/>
      <c r="G15" s="65">
        <v>868</v>
      </c>
      <c r="H15" s="65">
        <v>1004.4</v>
      </c>
      <c r="I15" s="65">
        <v>722</v>
      </c>
      <c r="J15" s="65"/>
      <c r="K15" s="65">
        <v>1450.88</v>
      </c>
      <c r="L15" s="65">
        <v>5012.6499999999996</v>
      </c>
      <c r="M15" s="65">
        <v>5267.64</v>
      </c>
      <c r="N15" s="65"/>
      <c r="O15" s="65">
        <v>323.714</v>
      </c>
      <c r="P15" s="65">
        <v>25</v>
      </c>
      <c r="Q15" s="65">
        <v>100</v>
      </c>
      <c r="R15" s="65"/>
      <c r="S15" s="65">
        <v>10322.264150000001</v>
      </c>
      <c r="T15" s="65">
        <v>13220.969079999997</v>
      </c>
      <c r="U15" s="65">
        <v>10024.342970000002</v>
      </c>
      <c r="V15" s="65"/>
      <c r="W15" s="550"/>
      <c r="Y15" s="282"/>
      <c r="Z15" s="282"/>
      <c r="AA15" s="275"/>
      <c r="AB15" s="275"/>
      <c r="AC15" s="275"/>
      <c r="AD15" s="275"/>
      <c r="AE15" s="275"/>
      <c r="AF15" s="275"/>
      <c r="AG15" s="275"/>
      <c r="AH15" s="275"/>
      <c r="AI15" s="275"/>
      <c r="AJ15" s="343"/>
      <c r="AK15" s="343"/>
      <c r="AL15" s="343"/>
    </row>
    <row r="16" spans="2:38" s="22" customFormat="1" ht="15.75" customHeight="1">
      <c r="B16" s="24" t="s">
        <v>221</v>
      </c>
      <c r="C16" s="65">
        <v>9065.2199999999993</v>
      </c>
      <c r="D16" s="65">
        <v>5982.67</v>
      </c>
      <c r="E16" s="65">
        <v>2552.7429999999999</v>
      </c>
      <c r="F16" s="65"/>
      <c r="G16" s="65">
        <v>1189</v>
      </c>
      <c r="H16" s="65">
        <v>546.6</v>
      </c>
      <c r="I16" s="65">
        <v>2577.54</v>
      </c>
      <c r="J16" s="65"/>
      <c r="K16" s="65">
        <v>3069.7</v>
      </c>
      <c r="L16" s="65">
        <v>4977.68</v>
      </c>
      <c r="M16" s="65">
        <v>9002.5080300000009</v>
      </c>
      <c r="N16" s="65"/>
      <c r="O16" s="65">
        <v>7.84</v>
      </c>
      <c r="P16" s="65">
        <v>1</v>
      </c>
      <c r="Q16" s="65">
        <v>25</v>
      </c>
      <c r="R16" s="65"/>
      <c r="S16" s="65">
        <v>13684.634990000002</v>
      </c>
      <c r="T16" s="65">
        <v>11684.602040000002</v>
      </c>
      <c r="U16" s="65">
        <v>14684.739539999999</v>
      </c>
      <c r="V16" s="65"/>
      <c r="W16" s="550"/>
      <c r="Y16" s="282"/>
      <c r="Z16" s="282"/>
      <c r="AA16" s="275"/>
      <c r="AB16" s="275"/>
      <c r="AC16" s="275"/>
      <c r="AD16" s="275"/>
      <c r="AE16" s="275"/>
      <c r="AF16" s="275"/>
      <c r="AG16" s="275"/>
      <c r="AH16" s="275"/>
      <c r="AI16" s="275"/>
      <c r="AJ16" s="343"/>
      <c r="AK16" s="343"/>
      <c r="AL16" s="343"/>
    </row>
    <row r="17" spans="2:38" s="22" customFormat="1" ht="15.75" customHeight="1">
      <c r="B17" s="24" t="s">
        <v>206</v>
      </c>
      <c r="C17" s="65">
        <v>6172.94</v>
      </c>
      <c r="D17" s="65">
        <v>8455.3019999999997</v>
      </c>
      <c r="E17" s="65">
        <v>2853.8</v>
      </c>
      <c r="F17" s="65"/>
      <c r="G17" s="65">
        <v>1389.24</v>
      </c>
      <c r="H17" s="65">
        <v>696.4</v>
      </c>
      <c r="I17" s="65">
        <v>2150.46</v>
      </c>
      <c r="J17" s="65"/>
      <c r="K17" s="65">
        <v>1706.40948</v>
      </c>
      <c r="L17" s="65">
        <v>5131.5600000000004</v>
      </c>
      <c r="M17" s="65">
        <v>8758.64</v>
      </c>
      <c r="N17" s="65"/>
      <c r="O17" s="65">
        <v>144</v>
      </c>
      <c r="P17" s="65">
        <v>25</v>
      </c>
      <c r="Q17" s="65">
        <v>0</v>
      </c>
      <c r="R17" s="65"/>
      <c r="S17" s="65">
        <v>9525.1349799999989</v>
      </c>
      <c r="T17" s="65">
        <v>14420.7042</v>
      </c>
      <c r="U17" s="65">
        <v>15271.59433</v>
      </c>
      <c r="V17" s="65"/>
      <c r="W17" s="550"/>
      <c r="X17" s="22" t="s">
        <v>97</v>
      </c>
      <c r="Y17" s="282"/>
      <c r="Z17" s="282"/>
      <c r="AA17" s="275"/>
      <c r="AB17" s="275"/>
      <c r="AC17" s="275"/>
      <c r="AD17" s="275"/>
      <c r="AE17" s="275"/>
      <c r="AF17" s="275"/>
      <c r="AG17" s="275"/>
      <c r="AH17" s="275"/>
      <c r="AI17" s="275"/>
      <c r="AJ17" s="343"/>
      <c r="AK17" s="343"/>
      <c r="AL17" s="343"/>
    </row>
    <row r="18" spans="2:38" s="22" customFormat="1" ht="15.75" customHeight="1">
      <c r="B18" s="24" t="s">
        <v>207</v>
      </c>
      <c r="C18" s="65">
        <v>5579.29</v>
      </c>
      <c r="D18" s="65">
        <v>8669.26</v>
      </c>
      <c r="E18" s="65">
        <v>1523.912</v>
      </c>
      <c r="F18" s="65"/>
      <c r="G18" s="65">
        <v>2233.2399999999998</v>
      </c>
      <c r="H18" s="65">
        <v>1865.2</v>
      </c>
      <c r="I18" s="65">
        <v>2116</v>
      </c>
      <c r="J18" s="65"/>
      <c r="K18" s="65">
        <v>2434.6</v>
      </c>
      <c r="L18" s="65">
        <v>2512.96</v>
      </c>
      <c r="M18" s="65">
        <v>3961.0720000000001</v>
      </c>
      <c r="N18" s="65"/>
      <c r="O18" s="65">
        <v>50.22</v>
      </c>
      <c r="P18" s="65">
        <v>0</v>
      </c>
      <c r="Q18" s="65">
        <v>3500</v>
      </c>
      <c r="R18" s="65"/>
      <c r="S18" s="65">
        <v>10440.009099999999</v>
      </c>
      <c r="T18" s="65">
        <v>13137.667120000002</v>
      </c>
      <c r="U18" s="65">
        <v>12565.227469999998</v>
      </c>
      <c r="V18" s="65"/>
      <c r="W18" s="550"/>
      <c r="Y18" s="282"/>
      <c r="Z18" s="282"/>
      <c r="AA18" s="275"/>
      <c r="AB18" s="275"/>
      <c r="AC18" s="275"/>
      <c r="AD18" s="275"/>
      <c r="AE18" s="275"/>
      <c r="AF18" s="275"/>
      <c r="AG18" s="275"/>
      <c r="AH18" s="275"/>
      <c r="AI18" s="275"/>
      <c r="AJ18" s="343"/>
      <c r="AK18" s="343"/>
      <c r="AL18" s="343"/>
    </row>
    <row r="19" spans="2:38" s="22" customFormat="1" ht="15.75" customHeight="1">
      <c r="B19" s="55" t="s">
        <v>208</v>
      </c>
      <c r="C19" s="65">
        <f t="shared" ref="C19:V19" si="1">SUM(C7:C18)</f>
        <v>72143.539439999993</v>
      </c>
      <c r="D19" s="65">
        <f t="shared" si="1"/>
        <v>83326.424399999989</v>
      </c>
      <c r="E19" s="65">
        <f t="shared" si="1"/>
        <v>52577.163650000002</v>
      </c>
      <c r="F19" s="65">
        <f t="shared" si="1"/>
        <v>25486.559999999998</v>
      </c>
      <c r="G19" s="65">
        <f t="shared" si="1"/>
        <v>14142.07</v>
      </c>
      <c r="H19" s="65">
        <f t="shared" si="1"/>
        <v>12509.482260000001</v>
      </c>
      <c r="I19" s="65">
        <f t="shared" si="1"/>
        <v>15257.901259999999</v>
      </c>
      <c r="J19" s="65">
        <f t="shared" si="1"/>
        <v>5730.18325</v>
      </c>
      <c r="K19" s="65">
        <f t="shared" si="1"/>
        <v>31109.533479999998</v>
      </c>
      <c r="L19" s="65">
        <f t="shared" si="1"/>
        <v>54841.659999999996</v>
      </c>
      <c r="M19" s="65">
        <f t="shared" si="1"/>
        <v>83406.493499999997</v>
      </c>
      <c r="N19" s="65">
        <f t="shared" si="1"/>
        <v>35515.102500000001</v>
      </c>
      <c r="O19" s="65">
        <f t="shared" si="1"/>
        <v>3183.0620199999998</v>
      </c>
      <c r="P19" s="65">
        <f t="shared" si="1"/>
        <v>626</v>
      </c>
      <c r="Q19" s="65">
        <f t="shared" si="1"/>
        <v>4104.5740000000005</v>
      </c>
      <c r="R19" s="65">
        <f t="shared" si="1"/>
        <v>7205.78</v>
      </c>
      <c r="S19" s="65">
        <f t="shared" si="1"/>
        <v>131209.09016000002</v>
      </c>
      <c r="T19" s="65">
        <f t="shared" si="1"/>
        <v>152907.08041</v>
      </c>
      <c r="U19" s="65">
        <f t="shared" si="1"/>
        <v>170002.56452999997</v>
      </c>
      <c r="V19" s="65">
        <f t="shared" si="1"/>
        <v>76965.156650000004</v>
      </c>
      <c r="W19" s="550"/>
      <c r="Y19" s="282"/>
      <c r="Z19" s="397"/>
      <c r="AA19" s="275"/>
      <c r="AB19" s="275"/>
      <c r="AC19" s="275"/>
      <c r="AD19" s="275"/>
      <c r="AE19" s="275"/>
      <c r="AF19" s="275"/>
      <c r="AG19" s="275"/>
      <c r="AH19" s="275"/>
      <c r="AI19" s="275"/>
      <c r="AJ19" s="343"/>
      <c r="AK19" s="343"/>
      <c r="AL19" s="343"/>
    </row>
    <row r="20" spans="2:38" s="22" customFormat="1" ht="15.75" customHeight="1">
      <c r="B20" s="226" t="s">
        <v>228</v>
      </c>
      <c r="C20" s="588">
        <f>C19/S19</f>
        <v>0.54983644313077817</v>
      </c>
      <c r="D20" s="588">
        <f>D19/T19</f>
        <v>0.54494810950919514</v>
      </c>
      <c r="E20" s="588">
        <f>E19/U19</f>
        <v>0.30927276771005313</v>
      </c>
      <c r="F20" s="588">
        <f>F19/V19</f>
        <v>0.33114413208954335</v>
      </c>
      <c r="G20" s="588">
        <f>G19/S19</f>
        <v>0.10778269998484682</v>
      </c>
      <c r="H20" s="588">
        <f>H19/T19</f>
        <v>8.181100722384789E-2</v>
      </c>
      <c r="I20" s="588">
        <f>I19/U19</f>
        <v>8.9751006416773624E-2</v>
      </c>
      <c r="J20" s="588">
        <f>J19/V19</f>
        <v>7.445165448123596E-2</v>
      </c>
      <c r="K20" s="588">
        <f>K19/S19</f>
        <v>0.23709891930554633</v>
      </c>
      <c r="L20" s="588">
        <f>L19/T19</f>
        <v>0.35866004277205071</v>
      </c>
      <c r="M20" s="588">
        <f>M19/U19</f>
        <v>0.49061903113397703</v>
      </c>
      <c r="N20" s="588">
        <f>N19/V19</f>
        <v>0.46144390586386208</v>
      </c>
      <c r="O20" s="588">
        <f>O19/S19</f>
        <v>2.4259462634170281E-2</v>
      </c>
      <c r="P20" s="588">
        <f>P19/T19</f>
        <v>4.0939896198492857E-3</v>
      </c>
      <c r="Q20" s="588">
        <f>Q19/U19</f>
        <v>2.4144188714727746E-2</v>
      </c>
      <c r="R20" s="588">
        <f>R19/V19</f>
        <v>9.3623924300815398E-2</v>
      </c>
      <c r="S20" s="203">
        <f>+S19/S19</f>
        <v>1</v>
      </c>
      <c r="T20" s="203">
        <f>+T19/T19</f>
        <v>1</v>
      </c>
      <c r="U20" s="203">
        <f>+U19/U19</f>
        <v>1</v>
      </c>
      <c r="V20" s="203">
        <f>+V19/V19</f>
        <v>1</v>
      </c>
      <c r="W20" s="65"/>
      <c r="Y20" s="755"/>
      <c r="Z20" s="667"/>
      <c r="AA20" s="275"/>
      <c r="AB20" s="275"/>
      <c r="AC20" s="275"/>
      <c r="AD20" s="275"/>
      <c r="AE20" s="275"/>
      <c r="AF20" s="275"/>
      <c r="AG20" s="275"/>
      <c r="AH20" s="275"/>
      <c r="AI20" s="275"/>
      <c r="AJ20" s="343"/>
      <c r="AK20" s="343"/>
      <c r="AL20" s="343"/>
    </row>
    <row r="21" spans="2:38" s="22" customFormat="1" ht="23.25" customHeight="1">
      <c r="B21" s="1069" t="s">
        <v>503</v>
      </c>
      <c r="C21" s="1069"/>
      <c r="D21" s="1069"/>
      <c r="E21" s="1069"/>
      <c r="F21" s="1069"/>
      <c r="G21" s="1069"/>
      <c r="H21" s="1069"/>
      <c r="I21" s="1069"/>
      <c r="J21" s="1069"/>
      <c r="K21" s="1069"/>
      <c r="L21" s="1069"/>
      <c r="M21" s="1069"/>
      <c r="N21" s="1069"/>
      <c r="O21" s="1069"/>
      <c r="P21" s="1069"/>
      <c r="Q21" s="1069"/>
      <c r="R21" s="1069"/>
      <c r="S21" s="1069"/>
      <c r="T21" s="1069"/>
      <c r="U21" s="1069"/>
      <c r="V21" s="1069"/>
      <c r="W21" s="1069"/>
      <c r="X21" s="22" t="s">
        <v>97</v>
      </c>
      <c r="Y21" s="496"/>
      <c r="Z21" s="667"/>
      <c r="AA21" s="275"/>
      <c r="AB21" s="275"/>
      <c r="AC21" s="275"/>
      <c r="AD21" s="275"/>
      <c r="AE21" s="275"/>
      <c r="AF21" s="275"/>
      <c r="AG21" s="275"/>
      <c r="AH21" s="275"/>
      <c r="AI21" s="275"/>
      <c r="AJ21" s="343"/>
      <c r="AK21" s="343"/>
      <c r="AL21" s="343"/>
    </row>
    <row r="22" spans="2:38" ht="17.2" customHeight="1">
      <c r="B22" s="885"/>
      <c r="C22" s="885"/>
      <c r="D22" s="885"/>
      <c r="E22" s="885"/>
      <c r="F22" s="885"/>
      <c r="G22" s="885"/>
      <c r="H22" s="885"/>
      <c r="I22" s="885"/>
      <c r="J22" s="885"/>
      <c r="K22" s="885"/>
      <c r="L22" s="885"/>
      <c r="M22" s="885"/>
      <c r="N22" s="885"/>
      <c r="O22" s="885"/>
      <c r="P22" s="885"/>
      <c r="Q22" s="885"/>
      <c r="R22" s="885"/>
      <c r="S22" s="885"/>
      <c r="T22" s="885"/>
      <c r="U22" s="885"/>
      <c r="V22" s="885"/>
      <c r="W22" s="885"/>
      <c r="Y22" s="339" t="s">
        <v>97</v>
      </c>
      <c r="Z22" s="585"/>
    </row>
    <row r="23" spans="2:38" ht="15.05" customHeight="1">
      <c r="Z23" s="667"/>
    </row>
    <row r="24" spans="2:38" ht="15.05" customHeight="1">
      <c r="Z24" s="667"/>
    </row>
    <row r="25" spans="2:38" ht="15.05" customHeight="1">
      <c r="Z25" s="667"/>
    </row>
    <row r="26" spans="2:38" ht="15.05" customHeight="1">
      <c r="Z26" s="667"/>
    </row>
    <row r="27" spans="2:38" ht="15.05" customHeight="1">
      <c r="Z27" s="667"/>
    </row>
    <row r="28" spans="2:38" ht="15.05" customHeight="1"/>
    <row r="29" spans="2:38" ht="15.05" customHeight="1"/>
    <row r="30" spans="2:38" ht="15.05" customHeight="1"/>
    <row r="32" spans="2:38" ht="15.05" customHeight="1"/>
    <row r="33" spans="2:38" ht="15.05" customHeight="1">
      <c r="AL33" s="639"/>
    </row>
    <row r="34" spans="2:38" ht="15.05" customHeight="1"/>
    <row r="35" spans="2:38" ht="15.05" customHeight="1"/>
    <row r="36" spans="2:38" ht="15.05" customHeight="1">
      <c r="K36" s="1"/>
      <c r="L36" s="1"/>
      <c r="M36" s="1"/>
      <c r="N36" s="1"/>
      <c r="O36" s="1"/>
      <c r="P36" s="1"/>
      <c r="Q36" s="1"/>
      <c r="R36" s="1"/>
      <c r="S36" s="1"/>
      <c r="T36" s="1"/>
      <c r="U36" s="1"/>
      <c r="V36" s="1"/>
    </row>
    <row r="37" spans="2:38" ht="15.05" customHeight="1">
      <c r="K37" s="1"/>
      <c r="L37" s="1"/>
      <c r="M37" s="1"/>
      <c r="N37" s="1"/>
      <c r="O37" s="1"/>
      <c r="P37" s="1"/>
      <c r="Q37" s="1"/>
      <c r="R37" s="1"/>
      <c r="S37" s="1"/>
      <c r="T37" s="1"/>
      <c r="U37" s="1"/>
      <c r="V37" s="1"/>
    </row>
    <row r="38" spans="2:38">
      <c r="K38" s="1"/>
      <c r="L38" s="1"/>
      <c r="M38" s="1"/>
      <c r="N38" s="1"/>
      <c r="O38" s="1"/>
      <c r="P38" s="1"/>
      <c r="Q38" s="1"/>
      <c r="R38" s="1"/>
      <c r="S38" s="1"/>
      <c r="T38" s="1"/>
      <c r="U38" s="1"/>
      <c r="V38" s="1"/>
    </row>
    <row r="39" spans="2:38" ht="15.75" customHeight="1">
      <c r="B39" s="880" t="s">
        <v>503</v>
      </c>
      <c r="C39" s="880"/>
      <c r="D39" s="880"/>
      <c r="E39" s="880"/>
      <c r="F39" s="880"/>
      <c r="G39" s="880"/>
      <c r="H39" s="880"/>
      <c r="I39" s="880"/>
      <c r="J39" s="880"/>
      <c r="K39" s="880"/>
      <c r="L39" s="880"/>
      <c r="M39" s="880"/>
      <c r="N39" s="880"/>
      <c r="O39" s="880"/>
      <c r="P39" s="880"/>
      <c r="Q39" s="880"/>
      <c r="R39" s="880"/>
      <c r="S39" s="880"/>
      <c r="T39" s="880"/>
      <c r="U39" s="880"/>
      <c r="V39" s="880"/>
      <c r="W39" s="880"/>
    </row>
    <row r="40" spans="2:38">
      <c r="K40" s="1"/>
      <c r="L40" s="1"/>
      <c r="M40" s="1"/>
      <c r="N40" s="1"/>
      <c r="O40" s="1"/>
      <c r="P40" s="1"/>
      <c r="Q40" s="1"/>
      <c r="R40" s="1"/>
      <c r="S40" s="1"/>
      <c r="T40" s="1"/>
      <c r="U40" s="1"/>
      <c r="V40" s="1"/>
    </row>
    <row r="41" spans="2:38">
      <c r="K41" s="1"/>
      <c r="L41" s="1"/>
      <c r="M41" s="1"/>
      <c r="N41" s="1"/>
      <c r="O41" s="1"/>
      <c r="P41" s="1"/>
      <c r="Q41" s="1"/>
      <c r="R41" s="1"/>
      <c r="S41" s="1"/>
      <c r="T41" s="1"/>
      <c r="U41" s="1"/>
      <c r="V41" s="1"/>
    </row>
    <row r="42" spans="2:38">
      <c r="K42" s="1"/>
      <c r="L42" s="1"/>
      <c r="M42" s="1"/>
      <c r="N42" s="1"/>
      <c r="O42" s="1"/>
      <c r="P42" s="1"/>
      <c r="Q42" s="1"/>
      <c r="R42" s="1"/>
      <c r="S42" s="1"/>
      <c r="T42" s="1"/>
      <c r="U42" s="1"/>
      <c r="V42" s="1"/>
    </row>
    <row r="43" spans="2:38">
      <c r="K43" s="1"/>
      <c r="L43" s="1"/>
      <c r="M43" s="1"/>
      <c r="N43" s="1"/>
      <c r="O43" s="1"/>
      <c r="P43" s="1"/>
      <c r="Q43" s="1"/>
      <c r="R43" s="1"/>
      <c r="S43" s="1"/>
      <c r="T43" s="1"/>
      <c r="U43" s="1"/>
      <c r="V43" s="1"/>
    </row>
    <row r="44" spans="2:38">
      <c r="K44" s="1"/>
      <c r="L44" s="1"/>
      <c r="M44" s="1"/>
      <c r="N44" s="1"/>
      <c r="O44" s="1"/>
      <c r="P44" s="1"/>
      <c r="Q44" s="1"/>
      <c r="R44" s="1"/>
      <c r="S44" s="1"/>
      <c r="T44" s="1"/>
      <c r="U44" s="1"/>
      <c r="V44" s="1"/>
    </row>
    <row r="45" spans="2:38">
      <c r="K45" s="1"/>
      <c r="L45" s="1"/>
      <c r="M45" s="1"/>
      <c r="N45" s="1"/>
      <c r="O45" s="1"/>
      <c r="P45" s="1"/>
      <c r="Q45" s="1"/>
      <c r="R45" s="1"/>
      <c r="S45" s="1"/>
      <c r="T45" s="1"/>
      <c r="U45" s="1"/>
      <c r="V45" s="1"/>
    </row>
    <row r="46" spans="2:38">
      <c r="K46" s="1"/>
      <c r="L46" s="1"/>
      <c r="M46" s="1"/>
      <c r="N46" s="1"/>
      <c r="O46" s="1"/>
      <c r="P46" s="1"/>
      <c r="Q46" s="1"/>
      <c r="R46" s="1"/>
      <c r="S46" s="1"/>
      <c r="T46" s="1"/>
      <c r="U46" s="1"/>
      <c r="V46" s="1"/>
    </row>
    <row r="47" spans="2:38">
      <c r="K47" s="1"/>
      <c r="L47" s="1"/>
      <c r="M47" s="1"/>
      <c r="N47" s="1"/>
      <c r="O47" s="1"/>
      <c r="P47" s="1"/>
      <c r="Q47" s="1"/>
      <c r="R47" s="1"/>
      <c r="S47" s="1"/>
      <c r="T47" s="1"/>
      <c r="U47" s="1"/>
      <c r="V47" s="1"/>
    </row>
    <row r="48" spans="2:38">
      <c r="K48" s="1"/>
      <c r="L48" s="1"/>
      <c r="M48" s="1"/>
      <c r="N48" s="1"/>
      <c r="O48" s="1"/>
      <c r="P48" s="1"/>
      <c r="Q48" s="1"/>
      <c r="R48" s="1"/>
      <c r="S48" s="1"/>
      <c r="T48" s="1"/>
      <c r="U48" s="1"/>
      <c r="V48" s="1"/>
    </row>
    <row r="49" spans="11:22">
      <c r="K49" s="1"/>
      <c r="L49" s="1"/>
      <c r="M49" s="1"/>
      <c r="N49" s="1"/>
      <c r="O49" s="1"/>
      <c r="P49" s="1"/>
      <c r="Q49" s="1"/>
      <c r="R49" s="1"/>
      <c r="S49" s="1"/>
      <c r="T49" s="1"/>
      <c r="U49" s="1"/>
      <c r="V49" s="1"/>
    </row>
    <row r="50" spans="11:22">
      <c r="K50" s="1"/>
      <c r="L50" s="1"/>
      <c r="M50" s="1"/>
      <c r="N50" s="1"/>
      <c r="O50" s="1"/>
      <c r="P50" s="1"/>
      <c r="Q50" s="1"/>
      <c r="R50" s="1"/>
      <c r="S50" s="1"/>
      <c r="T50" s="1"/>
      <c r="U50" s="1"/>
      <c r="V50" s="1"/>
    </row>
    <row r="51" spans="11:22">
      <c r="K51" s="1"/>
      <c r="L51" s="1"/>
      <c r="M51" s="1"/>
      <c r="N51" s="1"/>
      <c r="O51" s="1"/>
      <c r="P51" s="1"/>
      <c r="Q51" s="1"/>
      <c r="R51" s="1"/>
      <c r="S51" s="1"/>
      <c r="T51" s="1"/>
      <c r="U51" s="1"/>
      <c r="V51" s="1"/>
    </row>
    <row r="52" spans="11:22">
      <c r="K52" s="1"/>
      <c r="L52" s="1"/>
      <c r="M52" s="1"/>
      <c r="N52" s="1"/>
      <c r="O52" s="1"/>
      <c r="P52" s="1"/>
      <c r="Q52" s="1"/>
      <c r="R52" s="1"/>
      <c r="S52" s="1"/>
      <c r="T52" s="1"/>
      <c r="U52" s="1"/>
      <c r="V52" s="1"/>
    </row>
    <row r="53" spans="11:22">
      <c r="K53" s="1"/>
      <c r="L53" s="1"/>
      <c r="M53" s="1"/>
      <c r="N53" s="1"/>
      <c r="O53" s="1"/>
      <c r="P53" s="1"/>
      <c r="Q53" s="1"/>
      <c r="R53" s="1"/>
      <c r="S53" s="1"/>
      <c r="T53" s="1"/>
      <c r="U53" s="1"/>
      <c r="V53" s="1"/>
    </row>
    <row r="54" spans="11:22">
      <c r="K54" s="1"/>
      <c r="L54" s="1"/>
      <c r="M54" s="1"/>
      <c r="N54" s="1"/>
      <c r="O54" s="1"/>
      <c r="P54" s="1"/>
      <c r="Q54" s="1"/>
      <c r="R54" s="1"/>
      <c r="S54" s="1"/>
      <c r="T54" s="1"/>
      <c r="U54" s="1"/>
      <c r="V54" s="1"/>
    </row>
    <row r="55" spans="11:22">
      <c r="K55" s="1"/>
      <c r="L55" s="1"/>
      <c r="M55" s="1"/>
      <c r="N55" s="1"/>
      <c r="O55" s="1"/>
      <c r="P55" s="1"/>
      <c r="Q55" s="1"/>
      <c r="R55" s="1"/>
      <c r="S55" s="1"/>
      <c r="T55" s="1"/>
      <c r="U55" s="1"/>
      <c r="V55" s="1"/>
    </row>
    <row r="56" spans="11:22">
      <c r="K56" s="1"/>
      <c r="L56" s="1"/>
      <c r="M56" s="1"/>
      <c r="N56" s="1"/>
      <c r="O56" s="1"/>
      <c r="P56" s="1"/>
      <c r="Q56" s="1"/>
      <c r="R56" s="1"/>
      <c r="S56" s="1"/>
      <c r="T56" s="1"/>
      <c r="U56" s="1"/>
      <c r="V56" s="1"/>
    </row>
    <row r="57" spans="11:22">
      <c r="K57" s="1"/>
      <c r="L57" s="1"/>
      <c r="M57" s="1"/>
      <c r="N57" s="1"/>
      <c r="O57" s="1"/>
      <c r="P57" s="1"/>
      <c r="Q57" s="1"/>
      <c r="R57" s="1"/>
      <c r="S57" s="1"/>
      <c r="T57" s="1"/>
      <c r="U57" s="1"/>
      <c r="V57" s="1"/>
    </row>
    <row r="58" spans="11:22">
      <c r="K58" s="1"/>
      <c r="L58" s="1"/>
      <c r="M58" s="1"/>
      <c r="N58" s="1"/>
      <c r="O58" s="1"/>
      <c r="P58" s="1"/>
      <c r="Q58" s="1"/>
      <c r="R58" s="1"/>
      <c r="S58" s="1"/>
      <c r="T58" s="1"/>
      <c r="U58" s="1"/>
      <c r="V58" s="1"/>
    </row>
    <row r="59" spans="11:22">
      <c r="K59" s="1"/>
      <c r="L59" s="1"/>
      <c r="M59" s="1"/>
      <c r="N59" s="1"/>
      <c r="O59" s="1"/>
      <c r="P59" s="1"/>
      <c r="Q59" s="1"/>
      <c r="R59" s="1"/>
      <c r="S59" s="1"/>
      <c r="T59" s="1"/>
      <c r="U59" s="1"/>
      <c r="V59" s="1"/>
    </row>
    <row r="60" spans="11:22">
      <c r="K60" s="1"/>
      <c r="L60" s="1"/>
      <c r="M60" s="1"/>
      <c r="N60" s="1"/>
      <c r="O60" s="1"/>
      <c r="P60" s="1"/>
      <c r="Q60" s="1"/>
      <c r="R60" s="1"/>
      <c r="S60" s="1"/>
      <c r="T60" s="1"/>
      <c r="U60" s="1"/>
      <c r="V60" s="1"/>
    </row>
    <row r="61" spans="11:22">
      <c r="K61" s="1"/>
      <c r="L61" s="1"/>
      <c r="M61" s="1"/>
      <c r="N61" s="1"/>
      <c r="O61" s="1"/>
      <c r="P61" s="1"/>
      <c r="Q61" s="1"/>
      <c r="R61" s="1"/>
      <c r="S61" s="1"/>
      <c r="T61" s="1"/>
      <c r="U61" s="1"/>
      <c r="V61" s="1"/>
    </row>
    <row r="62" spans="11:22">
      <c r="K62" s="1"/>
      <c r="L62" s="1"/>
      <c r="M62" s="1"/>
      <c r="N62" s="1"/>
      <c r="O62" s="1"/>
      <c r="P62" s="1"/>
      <c r="Q62" s="1"/>
      <c r="R62" s="1"/>
      <c r="S62" s="1"/>
      <c r="T62" s="1"/>
      <c r="U62" s="1"/>
      <c r="V62" s="1"/>
    </row>
    <row r="63" spans="11:22">
      <c r="K63" s="1"/>
      <c r="L63" s="1"/>
      <c r="M63" s="1"/>
      <c r="N63" s="1"/>
      <c r="O63" s="1"/>
      <c r="P63" s="1"/>
      <c r="Q63" s="1"/>
      <c r="R63" s="1"/>
      <c r="S63" s="1"/>
      <c r="T63" s="1"/>
      <c r="U63" s="1"/>
      <c r="V63" s="1"/>
    </row>
    <row r="64" spans="11:22">
      <c r="K64" s="1"/>
      <c r="L64" s="1"/>
      <c r="M64" s="1"/>
      <c r="N64" s="1"/>
      <c r="O64" s="1"/>
      <c r="P64" s="1"/>
      <c r="Q64" s="1"/>
      <c r="R64" s="1"/>
      <c r="S64" s="1"/>
      <c r="T64" s="1"/>
      <c r="U64" s="1"/>
      <c r="V64" s="1"/>
    </row>
    <row r="65" spans="11:22">
      <c r="K65" s="1"/>
      <c r="L65" s="1"/>
      <c r="M65" s="1"/>
      <c r="N65" s="1"/>
      <c r="O65" s="1"/>
      <c r="P65" s="1"/>
      <c r="Q65" s="1"/>
      <c r="R65" s="1"/>
      <c r="S65" s="1"/>
      <c r="T65" s="1"/>
      <c r="U65" s="1"/>
      <c r="V65" s="1"/>
    </row>
    <row r="66" spans="11:22">
      <c r="K66" s="1"/>
      <c r="L66" s="1"/>
      <c r="M66" s="1"/>
      <c r="N66" s="1"/>
      <c r="O66" s="1"/>
      <c r="P66" s="1"/>
      <c r="Q66" s="1"/>
      <c r="R66" s="1"/>
      <c r="S66" s="1"/>
      <c r="T66" s="1"/>
      <c r="U66" s="1"/>
      <c r="V66" s="1"/>
    </row>
    <row r="67" spans="11:22">
      <c r="K67" s="1"/>
      <c r="L67" s="1"/>
      <c r="M67" s="1"/>
      <c r="N67" s="1"/>
      <c r="O67" s="1"/>
      <c r="P67" s="1"/>
      <c r="Q67" s="1"/>
      <c r="R67" s="1"/>
      <c r="S67" s="1"/>
      <c r="T67" s="1"/>
      <c r="U67" s="1"/>
      <c r="V67" s="1"/>
    </row>
    <row r="68" spans="11:22">
      <c r="K68" s="1"/>
      <c r="L68" s="1"/>
      <c r="M68" s="1"/>
      <c r="N68" s="1"/>
      <c r="O68" s="1"/>
      <c r="P68" s="1"/>
      <c r="Q68" s="1"/>
      <c r="R68" s="1"/>
      <c r="S68" s="1"/>
      <c r="T68" s="1"/>
      <c r="U68" s="1"/>
      <c r="V68" s="1"/>
    </row>
    <row r="69" spans="11:22">
      <c r="K69" s="1"/>
      <c r="L69" s="1"/>
      <c r="M69" s="1"/>
      <c r="N69" s="1"/>
      <c r="O69" s="1"/>
      <c r="P69" s="1"/>
      <c r="Q69" s="1"/>
      <c r="R69" s="1"/>
      <c r="S69" s="1"/>
      <c r="T69" s="1"/>
      <c r="U69" s="1"/>
      <c r="V69" s="1"/>
    </row>
    <row r="70" spans="11:22">
      <c r="K70" s="1"/>
      <c r="L70" s="1"/>
      <c r="M70" s="1"/>
      <c r="N70" s="1"/>
      <c r="O70" s="1"/>
      <c r="P70" s="1"/>
      <c r="Q70" s="1"/>
      <c r="R70" s="1"/>
      <c r="S70" s="1"/>
      <c r="T70" s="1"/>
      <c r="U70" s="1"/>
      <c r="V70" s="1"/>
    </row>
    <row r="71" spans="11:22">
      <c r="K71" s="1"/>
      <c r="L71" s="1"/>
      <c r="M71" s="1"/>
      <c r="N71" s="1"/>
      <c r="O71" s="1"/>
      <c r="P71" s="1"/>
      <c r="Q71" s="1"/>
      <c r="R71" s="1"/>
      <c r="S71" s="1"/>
      <c r="T71" s="1"/>
      <c r="U71" s="1"/>
      <c r="V71" s="1"/>
    </row>
    <row r="72" spans="11:22">
      <c r="K72" s="1"/>
      <c r="L72" s="1"/>
      <c r="M72" s="1"/>
      <c r="N72" s="1"/>
      <c r="O72" s="1"/>
      <c r="P72" s="1"/>
      <c r="Q72" s="1"/>
      <c r="R72" s="1"/>
      <c r="S72" s="1"/>
      <c r="T72" s="1"/>
      <c r="U72" s="1"/>
      <c r="V72" s="1"/>
    </row>
    <row r="73" spans="11:22">
      <c r="K73" s="1"/>
      <c r="L73" s="1"/>
      <c r="M73" s="1"/>
      <c r="N73" s="1"/>
      <c r="O73" s="1"/>
      <c r="P73" s="1"/>
      <c r="Q73" s="1"/>
      <c r="R73" s="1"/>
      <c r="S73" s="1"/>
      <c r="T73" s="1"/>
      <c r="U73" s="1"/>
      <c r="V73" s="1"/>
    </row>
    <row r="74" spans="11:22">
      <c r="K74" s="1"/>
      <c r="L74" s="1"/>
      <c r="M74" s="1"/>
      <c r="N74" s="1"/>
      <c r="O74" s="1"/>
      <c r="P74" s="1"/>
      <c r="Q74" s="1"/>
      <c r="R74" s="1"/>
      <c r="S74" s="1"/>
      <c r="T74" s="1"/>
      <c r="U74" s="1"/>
      <c r="V74" s="1"/>
    </row>
    <row r="75" spans="11:22">
      <c r="K75" s="1"/>
      <c r="L75" s="1"/>
      <c r="M75" s="1"/>
      <c r="N75" s="1"/>
      <c r="O75" s="1"/>
      <c r="P75" s="1"/>
      <c r="Q75" s="1"/>
      <c r="R75" s="1"/>
      <c r="S75" s="1"/>
      <c r="T75" s="1"/>
      <c r="U75" s="1"/>
      <c r="V75" s="1"/>
    </row>
    <row r="76" spans="11:22">
      <c r="K76" s="1"/>
      <c r="L76" s="1"/>
      <c r="M76" s="1"/>
      <c r="N76" s="1"/>
      <c r="O76" s="1"/>
      <c r="P76" s="1"/>
      <c r="Q76" s="1"/>
      <c r="R76" s="1"/>
      <c r="S76" s="1"/>
      <c r="T76" s="1"/>
      <c r="U76" s="1"/>
      <c r="V76" s="1"/>
    </row>
    <row r="77" spans="11:22">
      <c r="K77" s="1"/>
      <c r="L77" s="1"/>
      <c r="M77" s="1"/>
      <c r="N77" s="1"/>
      <c r="O77" s="1"/>
      <c r="P77" s="1"/>
      <c r="Q77" s="1"/>
      <c r="R77" s="1"/>
      <c r="S77" s="1"/>
      <c r="T77" s="1"/>
      <c r="U77" s="1"/>
      <c r="V77" s="1"/>
    </row>
    <row r="78" spans="11:22">
      <c r="K78" s="1"/>
      <c r="L78" s="1"/>
      <c r="M78" s="1"/>
      <c r="N78" s="1"/>
      <c r="O78" s="1"/>
      <c r="P78" s="1"/>
      <c r="Q78" s="1"/>
      <c r="R78" s="1"/>
      <c r="S78" s="1"/>
      <c r="T78" s="1"/>
      <c r="U78" s="1"/>
      <c r="V78" s="1"/>
    </row>
    <row r="79" spans="11:22">
      <c r="K79" s="1"/>
      <c r="L79" s="1"/>
      <c r="M79" s="1"/>
      <c r="N79" s="1"/>
      <c r="O79" s="1"/>
      <c r="P79" s="1"/>
      <c r="Q79" s="1"/>
      <c r="R79" s="1"/>
      <c r="S79" s="1"/>
      <c r="T79" s="1"/>
      <c r="U79" s="1"/>
      <c r="V79" s="1"/>
    </row>
    <row r="80" spans="11:22">
      <c r="K80" s="1"/>
      <c r="L80" s="1"/>
      <c r="M80" s="1"/>
      <c r="N80" s="1"/>
      <c r="O80" s="1"/>
      <c r="P80" s="1"/>
      <c r="Q80" s="1"/>
      <c r="R80" s="1"/>
      <c r="S80" s="1"/>
      <c r="T80" s="1"/>
      <c r="U80" s="1"/>
      <c r="V80" s="1"/>
    </row>
    <row r="81" spans="11:22">
      <c r="K81" s="1"/>
      <c r="L81" s="1"/>
      <c r="M81" s="1"/>
      <c r="N81" s="1"/>
      <c r="O81" s="1"/>
      <c r="P81" s="1"/>
      <c r="Q81" s="1"/>
      <c r="R81" s="1"/>
      <c r="S81" s="1"/>
      <c r="T81" s="1"/>
      <c r="U81" s="1"/>
      <c r="V81" s="1"/>
    </row>
    <row r="82" spans="11:22">
      <c r="K82" s="1"/>
      <c r="L82" s="1"/>
      <c r="M82" s="1"/>
      <c r="N82" s="1"/>
      <c r="O82" s="1"/>
      <c r="P82" s="1"/>
      <c r="Q82" s="1"/>
      <c r="R82" s="1"/>
      <c r="S82" s="1"/>
      <c r="T82" s="1"/>
      <c r="U82" s="1"/>
      <c r="V82" s="1"/>
    </row>
    <row r="83" spans="11:22">
      <c r="K83" s="1"/>
      <c r="L83" s="1"/>
      <c r="M83" s="1"/>
      <c r="N83" s="1"/>
      <c r="O83" s="1"/>
      <c r="P83" s="1"/>
      <c r="Q83" s="1"/>
      <c r="R83" s="1"/>
      <c r="S83" s="1"/>
      <c r="T83" s="1"/>
      <c r="U83" s="1"/>
      <c r="V83" s="1"/>
    </row>
    <row r="84" spans="11:22">
      <c r="K84" s="1"/>
      <c r="L84" s="1"/>
      <c r="M84" s="1"/>
      <c r="N84" s="1"/>
      <c r="O84" s="1"/>
      <c r="P84" s="1"/>
      <c r="Q84" s="1"/>
      <c r="R84" s="1"/>
      <c r="S84" s="1"/>
      <c r="T84" s="1"/>
      <c r="U84" s="1"/>
      <c r="V84" s="1"/>
    </row>
    <row r="85" spans="11:22">
      <c r="K85" s="1"/>
      <c r="L85" s="1"/>
      <c r="M85" s="1"/>
      <c r="N85" s="1"/>
      <c r="O85" s="1"/>
      <c r="P85" s="1"/>
      <c r="Q85" s="1"/>
      <c r="R85" s="1"/>
      <c r="S85" s="1"/>
      <c r="T85" s="1"/>
      <c r="U85" s="1"/>
      <c r="V85" s="1"/>
    </row>
    <row r="86" spans="11:22">
      <c r="K86" s="1"/>
      <c r="L86" s="1"/>
      <c r="M86" s="1"/>
      <c r="N86" s="1"/>
      <c r="O86" s="1"/>
      <c r="P86" s="1"/>
      <c r="Q86" s="1"/>
      <c r="R86" s="1"/>
      <c r="S86" s="1"/>
      <c r="T86" s="1"/>
      <c r="U86" s="1"/>
      <c r="V86" s="1"/>
    </row>
    <row r="87" spans="11:22">
      <c r="K87" s="1"/>
      <c r="L87" s="1"/>
      <c r="M87" s="1"/>
      <c r="N87" s="1"/>
      <c r="O87" s="1"/>
      <c r="P87" s="1"/>
      <c r="Q87" s="1"/>
      <c r="R87" s="1"/>
      <c r="S87" s="1"/>
      <c r="T87" s="1"/>
      <c r="U87" s="1"/>
      <c r="V87" s="1"/>
    </row>
    <row r="88" spans="11:22">
      <c r="K88" s="1"/>
      <c r="L88" s="1"/>
      <c r="M88" s="1"/>
      <c r="N88" s="1"/>
      <c r="O88" s="1"/>
      <c r="P88" s="1"/>
      <c r="Q88" s="1"/>
      <c r="R88" s="1"/>
      <c r="S88" s="1"/>
      <c r="T88" s="1"/>
      <c r="U88" s="1"/>
      <c r="V88" s="1"/>
    </row>
    <row r="89" spans="11:22">
      <c r="K89" s="1"/>
      <c r="L89" s="1"/>
      <c r="M89" s="1"/>
      <c r="N89" s="1"/>
      <c r="O89" s="1"/>
      <c r="P89" s="1"/>
      <c r="Q89" s="1"/>
      <c r="R89" s="1"/>
      <c r="S89" s="1"/>
      <c r="T89" s="1"/>
      <c r="U89" s="1"/>
      <c r="V89" s="1"/>
    </row>
    <row r="90" spans="11:22">
      <c r="K90" s="1"/>
      <c r="L90" s="1"/>
      <c r="M90" s="1"/>
      <c r="N90" s="1"/>
      <c r="O90" s="1"/>
      <c r="P90" s="1"/>
      <c r="Q90" s="1"/>
      <c r="R90" s="1"/>
      <c r="S90" s="1"/>
      <c r="T90" s="1"/>
      <c r="U90" s="1"/>
      <c r="V90" s="1"/>
    </row>
    <row r="91" spans="11:22">
      <c r="K91" s="1"/>
      <c r="L91" s="1"/>
      <c r="M91" s="1"/>
      <c r="N91" s="1"/>
      <c r="O91" s="1"/>
      <c r="P91" s="1"/>
      <c r="Q91" s="1"/>
      <c r="R91" s="1"/>
      <c r="S91" s="1"/>
      <c r="T91" s="1"/>
      <c r="U91" s="1"/>
      <c r="V91" s="1"/>
    </row>
    <row r="92" spans="11:22">
      <c r="K92" s="1"/>
      <c r="L92" s="1"/>
      <c r="M92" s="1"/>
      <c r="N92" s="1"/>
      <c r="O92" s="1"/>
      <c r="P92" s="1"/>
      <c r="Q92" s="1"/>
      <c r="R92" s="1"/>
      <c r="S92" s="1"/>
      <c r="T92" s="1"/>
      <c r="U92" s="1"/>
      <c r="V92" s="1"/>
    </row>
    <row r="93" spans="11:22">
      <c r="K93" s="1"/>
      <c r="L93" s="1"/>
      <c r="M93" s="1"/>
      <c r="N93" s="1"/>
      <c r="O93" s="1"/>
      <c r="P93" s="1"/>
      <c r="Q93" s="1"/>
      <c r="R93" s="1"/>
      <c r="S93" s="1"/>
      <c r="T93" s="1"/>
      <c r="U93" s="1"/>
      <c r="V93" s="1"/>
    </row>
    <row r="94" spans="11:22">
      <c r="K94" s="1"/>
      <c r="L94" s="1"/>
      <c r="M94" s="1"/>
      <c r="N94" s="1"/>
      <c r="O94" s="1"/>
      <c r="P94" s="1"/>
      <c r="Q94" s="1"/>
      <c r="R94" s="1"/>
      <c r="S94" s="1"/>
      <c r="T94" s="1"/>
      <c r="U94" s="1"/>
      <c r="V94" s="1"/>
    </row>
    <row r="95" spans="11:22">
      <c r="K95" s="1"/>
      <c r="L95" s="1"/>
      <c r="M95" s="1"/>
      <c r="N95" s="1"/>
      <c r="O95" s="1"/>
      <c r="P95" s="1"/>
      <c r="Q95" s="1"/>
      <c r="R95" s="1"/>
      <c r="S95" s="1"/>
      <c r="T95" s="1"/>
      <c r="U95" s="1"/>
      <c r="V95" s="1"/>
    </row>
    <row r="96" spans="11:22">
      <c r="K96" s="1"/>
      <c r="L96" s="1"/>
      <c r="M96" s="1"/>
      <c r="N96" s="1"/>
      <c r="O96" s="1"/>
      <c r="P96" s="1"/>
      <c r="Q96" s="1"/>
      <c r="R96" s="1"/>
      <c r="S96" s="1"/>
      <c r="T96" s="1"/>
      <c r="U96" s="1"/>
      <c r="V96" s="1"/>
    </row>
    <row r="97" spans="11:22">
      <c r="K97" s="1"/>
      <c r="L97" s="1"/>
      <c r="M97" s="1"/>
      <c r="N97" s="1"/>
      <c r="O97" s="1"/>
      <c r="P97" s="1"/>
      <c r="Q97" s="1"/>
      <c r="R97" s="1"/>
      <c r="S97" s="1"/>
      <c r="T97" s="1"/>
      <c r="U97" s="1"/>
      <c r="V97" s="1"/>
    </row>
    <row r="98" spans="11:22">
      <c r="K98" s="1"/>
      <c r="L98" s="1"/>
      <c r="M98" s="1"/>
      <c r="N98" s="1"/>
      <c r="O98" s="1"/>
      <c r="P98" s="1"/>
      <c r="Q98" s="1"/>
      <c r="R98" s="1"/>
      <c r="S98" s="1"/>
      <c r="T98" s="1"/>
      <c r="U98" s="1"/>
      <c r="V98" s="1"/>
    </row>
    <row r="99" spans="11:22">
      <c r="K99" s="1"/>
      <c r="L99" s="1"/>
      <c r="M99" s="1"/>
      <c r="N99" s="1"/>
      <c r="O99" s="1"/>
      <c r="P99" s="1"/>
      <c r="Q99" s="1"/>
      <c r="R99" s="1"/>
      <c r="S99" s="1"/>
      <c r="T99" s="1"/>
      <c r="U99" s="1"/>
      <c r="V99" s="1"/>
    </row>
    <row r="100" spans="11:22">
      <c r="K100" s="1"/>
      <c r="L100" s="1"/>
      <c r="M100" s="1"/>
      <c r="N100" s="1"/>
      <c r="O100" s="1"/>
      <c r="P100" s="1"/>
      <c r="Q100" s="1"/>
      <c r="R100" s="1"/>
      <c r="S100" s="1"/>
      <c r="T100" s="1"/>
      <c r="U100" s="1"/>
      <c r="V100" s="1"/>
    </row>
    <row r="101" spans="11:22">
      <c r="K101" s="1"/>
      <c r="L101" s="1"/>
      <c r="M101" s="1"/>
      <c r="N101" s="1"/>
      <c r="O101" s="1"/>
      <c r="P101" s="1"/>
      <c r="Q101" s="1"/>
      <c r="R101" s="1"/>
      <c r="S101" s="1"/>
      <c r="T101" s="1"/>
      <c r="U101" s="1"/>
      <c r="V101" s="1"/>
    </row>
    <row r="102" spans="11:22">
      <c r="K102" s="1"/>
      <c r="L102" s="1"/>
      <c r="M102" s="1"/>
      <c r="N102" s="1"/>
      <c r="O102" s="1"/>
      <c r="P102" s="1"/>
      <c r="Q102" s="1"/>
      <c r="R102" s="1"/>
      <c r="S102" s="1"/>
      <c r="T102" s="1"/>
      <c r="U102" s="1"/>
      <c r="V102" s="1"/>
    </row>
    <row r="103" spans="11:22">
      <c r="K103" s="1"/>
      <c r="L103" s="1"/>
      <c r="M103" s="1"/>
      <c r="N103" s="1"/>
      <c r="O103" s="1"/>
      <c r="P103" s="1"/>
      <c r="Q103" s="1"/>
      <c r="R103" s="1"/>
      <c r="S103" s="1"/>
      <c r="T103" s="1"/>
      <c r="U103" s="1"/>
      <c r="V103" s="1"/>
    </row>
    <row r="104" spans="11:22">
      <c r="K104" s="1"/>
      <c r="L104" s="1"/>
      <c r="M104" s="1"/>
      <c r="N104" s="1"/>
      <c r="O104" s="1"/>
      <c r="P104" s="1"/>
      <c r="Q104" s="1"/>
      <c r="R104" s="1"/>
      <c r="S104" s="1"/>
      <c r="T104" s="1"/>
      <c r="U104" s="1"/>
      <c r="V104" s="1"/>
    </row>
    <row r="105" spans="11:22">
      <c r="K105" s="1"/>
      <c r="L105" s="1"/>
      <c r="M105" s="1"/>
      <c r="N105" s="1"/>
      <c r="O105" s="1"/>
      <c r="P105" s="1"/>
      <c r="Q105" s="1"/>
      <c r="R105" s="1"/>
      <c r="S105" s="1"/>
      <c r="T105" s="1"/>
      <c r="U105" s="1"/>
      <c r="V105" s="1"/>
    </row>
    <row r="106" spans="11:22">
      <c r="K106" s="1"/>
      <c r="L106" s="1"/>
      <c r="M106" s="1"/>
      <c r="N106" s="1"/>
      <c r="O106" s="1"/>
      <c r="P106" s="1"/>
      <c r="Q106" s="1"/>
      <c r="R106" s="1"/>
      <c r="S106" s="1"/>
      <c r="T106" s="1"/>
      <c r="U106" s="1"/>
      <c r="V106" s="1"/>
    </row>
    <row r="107" spans="11:22">
      <c r="K107" s="1"/>
      <c r="L107" s="1"/>
      <c r="M107" s="1"/>
      <c r="N107" s="1"/>
      <c r="O107" s="1"/>
      <c r="P107" s="1"/>
      <c r="Q107" s="1"/>
      <c r="R107" s="1"/>
      <c r="S107" s="1"/>
      <c r="T107" s="1"/>
      <c r="U107" s="1"/>
      <c r="V107" s="1"/>
    </row>
    <row r="108" spans="11:22">
      <c r="K108" s="1"/>
      <c r="L108" s="1"/>
      <c r="M108" s="1"/>
      <c r="N108" s="1"/>
      <c r="O108" s="1"/>
      <c r="P108" s="1"/>
      <c r="Q108" s="1"/>
      <c r="R108" s="1"/>
      <c r="S108" s="1"/>
      <c r="T108" s="1"/>
      <c r="U108" s="1"/>
      <c r="V108" s="1"/>
    </row>
    <row r="109" spans="11:22">
      <c r="K109" s="1"/>
      <c r="L109" s="1"/>
      <c r="M109" s="1"/>
      <c r="N109" s="1"/>
      <c r="O109" s="1"/>
      <c r="P109" s="1"/>
      <c r="Q109" s="1"/>
      <c r="R109" s="1"/>
      <c r="S109" s="1"/>
      <c r="T109" s="1"/>
      <c r="U109" s="1"/>
      <c r="V109" s="1"/>
    </row>
    <row r="110" spans="11:22">
      <c r="K110" s="1"/>
      <c r="L110" s="1"/>
      <c r="M110" s="1"/>
      <c r="N110" s="1"/>
      <c r="O110" s="1"/>
      <c r="P110" s="1"/>
      <c r="Q110" s="1"/>
      <c r="R110" s="1"/>
      <c r="S110" s="1"/>
      <c r="T110" s="1"/>
      <c r="U110" s="1"/>
      <c r="V110" s="1"/>
    </row>
    <row r="111" spans="11:22">
      <c r="K111" s="1"/>
      <c r="L111" s="1"/>
      <c r="M111" s="1"/>
      <c r="N111" s="1"/>
      <c r="O111" s="1"/>
      <c r="P111" s="1"/>
      <c r="Q111" s="1"/>
      <c r="R111" s="1"/>
      <c r="S111" s="1"/>
      <c r="T111" s="1"/>
      <c r="U111" s="1"/>
      <c r="V111" s="1"/>
    </row>
    <row r="112" spans="11:22">
      <c r="K112" s="1"/>
      <c r="L112" s="1"/>
      <c r="M112" s="1"/>
      <c r="N112" s="1"/>
      <c r="O112" s="1"/>
      <c r="P112" s="1"/>
      <c r="Q112" s="1"/>
      <c r="R112" s="1"/>
      <c r="S112" s="1"/>
      <c r="T112" s="1"/>
      <c r="U112" s="1"/>
      <c r="V112" s="1"/>
    </row>
    <row r="113" spans="11:22">
      <c r="K113" s="1"/>
      <c r="L113" s="1"/>
      <c r="M113" s="1"/>
      <c r="N113" s="1"/>
      <c r="O113" s="1"/>
      <c r="P113" s="1"/>
      <c r="Q113" s="1"/>
      <c r="R113" s="1"/>
      <c r="S113" s="1"/>
      <c r="T113" s="1"/>
      <c r="U113" s="1"/>
      <c r="V113" s="1"/>
    </row>
    <row r="114" spans="11:22">
      <c r="K114" s="1"/>
      <c r="L114" s="1"/>
      <c r="M114" s="1"/>
      <c r="N114" s="1"/>
      <c r="O114" s="1"/>
      <c r="P114" s="1"/>
      <c r="Q114" s="1"/>
      <c r="R114" s="1"/>
      <c r="S114" s="1"/>
      <c r="T114" s="1"/>
      <c r="U114" s="1"/>
      <c r="V114" s="1"/>
    </row>
    <row r="115" spans="11:22">
      <c r="K115" s="1"/>
      <c r="L115" s="1"/>
      <c r="M115" s="1"/>
      <c r="N115" s="1"/>
      <c r="O115" s="1"/>
      <c r="P115" s="1"/>
      <c r="Q115" s="1"/>
      <c r="R115" s="1"/>
      <c r="S115" s="1"/>
      <c r="T115" s="1"/>
      <c r="U115" s="1"/>
      <c r="V115" s="1"/>
    </row>
    <row r="116" spans="11:22">
      <c r="K116" s="1"/>
      <c r="L116" s="1"/>
      <c r="M116" s="1"/>
      <c r="N116" s="1"/>
      <c r="O116" s="1"/>
      <c r="P116" s="1"/>
      <c r="Q116" s="1"/>
      <c r="R116" s="1"/>
      <c r="S116" s="1"/>
      <c r="T116" s="1"/>
      <c r="U116" s="1"/>
      <c r="V116" s="1"/>
    </row>
    <row r="117" spans="11:22">
      <c r="K117" s="1"/>
      <c r="L117" s="1"/>
      <c r="M117" s="1"/>
      <c r="N117" s="1"/>
      <c r="O117" s="1"/>
      <c r="P117" s="1"/>
      <c r="Q117" s="1"/>
      <c r="R117" s="1"/>
      <c r="S117" s="1"/>
      <c r="T117" s="1"/>
      <c r="U117" s="1"/>
      <c r="V117" s="1"/>
    </row>
    <row r="118" spans="11:22">
      <c r="K118" s="1"/>
      <c r="L118" s="1"/>
      <c r="M118" s="1"/>
      <c r="N118" s="1"/>
      <c r="O118" s="1"/>
      <c r="P118" s="1"/>
      <c r="Q118" s="1"/>
      <c r="R118" s="1"/>
      <c r="S118" s="1"/>
      <c r="T118" s="1"/>
      <c r="U118" s="1"/>
      <c r="V118" s="1"/>
    </row>
    <row r="119" spans="11:22">
      <c r="K119" s="1"/>
      <c r="L119" s="1"/>
      <c r="M119" s="1"/>
      <c r="N119" s="1"/>
      <c r="O119" s="1"/>
      <c r="P119" s="1"/>
      <c r="Q119" s="1"/>
      <c r="R119" s="1"/>
      <c r="S119" s="1"/>
      <c r="T119" s="1"/>
      <c r="U119" s="1"/>
      <c r="V119" s="1"/>
    </row>
    <row r="120" spans="11:22">
      <c r="K120" s="1"/>
      <c r="L120" s="1"/>
      <c r="M120" s="1"/>
      <c r="N120" s="1"/>
      <c r="O120" s="1"/>
      <c r="P120" s="1"/>
      <c r="Q120" s="1"/>
      <c r="R120" s="1"/>
      <c r="S120" s="1"/>
      <c r="T120" s="1"/>
      <c r="U120" s="1"/>
      <c r="V120" s="1"/>
    </row>
    <row r="121" spans="11:22">
      <c r="K121" s="1"/>
      <c r="L121" s="1"/>
      <c r="M121" s="1"/>
      <c r="N121" s="1"/>
      <c r="O121" s="1"/>
      <c r="P121" s="1"/>
      <c r="Q121" s="1"/>
      <c r="R121" s="1"/>
      <c r="S121" s="1"/>
      <c r="T121" s="1"/>
      <c r="U121" s="1"/>
      <c r="V121" s="1"/>
    </row>
    <row r="122" spans="11:22">
      <c r="K122" s="1"/>
      <c r="L122" s="1"/>
      <c r="M122" s="1"/>
      <c r="N122" s="1"/>
      <c r="O122" s="1"/>
      <c r="P122" s="1"/>
      <c r="Q122" s="1"/>
      <c r="R122" s="1"/>
      <c r="S122" s="1"/>
      <c r="T122" s="1"/>
      <c r="U122" s="1"/>
      <c r="V122" s="1"/>
    </row>
    <row r="123" spans="11:22">
      <c r="K123" s="1"/>
      <c r="L123" s="1"/>
      <c r="M123" s="1"/>
      <c r="N123" s="1"/>
      <c r="O123" s="1"/>
      <c r="P123" s="1"/>
      <c r="Q123" s="1"/>
      <c r="R123" s="1"/>
      <c r="S123" s="1"/>
      <c r="T123" s="1"/>
      <c r="U123" s="1"/>
      <c r="V123" s="1"/>
    </row>
    <row r="124" spans="11:22">
      <c r="K124" s="1"/>
      <c r="L124" s="1"/>
      <c r="M124" s="1"/>
      <c r="N124" s="1"/>
      <c r="O124" s="1"/>
      <c r="P124" s="1"/>
      <c r="Q124" s="1"/>
      <c r="R124" s="1"/>
      <c r="S124" s="1"/>
      <c r="T124" s="1"/>
      <c r="U124" s="1"/>
      <c r="V124" s="1"/>
    </row>
    <row r="125" spans="11:22">
      <c r="K125" s="1"/>
      <c r="L125" s="1"/>
      <c r="M125" s="1"/>
      <c r="N125" s="1"/>
      <c r="O125" s="1"/>
      <c r="P125" s="1"/>
      <c r="Q125" s="1"/>
      <c r="R125" s="1"/>
      <c r="S125" s="1"/>
      <c r="T125" s="1"/>
      <c r="U125" s="1"/>
      <c r="V125" s="1"/>
    </row>
    <row r="126" spans="11:22">
      <c r="K126" s="1"/>
      <c r="L126" s="1"/>
      <c r="M126" s="1"/>
      <c r="N126" s="1"/>
      <c r="O126" s="1"/>
      <c r="P126" s="1"/>
      <c r="Q126" s="1"/>
      <c r="R126" s="1"/>
      <c r="S126" s="1"/>
      <c r="T126" s="1"/>
      <c r="U126" s="1"/>
      <c r="V126" s="1"/>
    </row>
    <row r="127" spans="11:22">
      <c r="K127" s="1"/>
      <c r="L127" s="1"/>
      <c r="M127" s="1"/>
      <c r="N127" s="1"/>
      <c r="O127" s="1"/>
      <c r="P127" s="1"/>
      <c r="Q127" s="1"/>
      <c r="R127" s="1"/>
      <c r="S127" s="1"/>
      <c r="T127" s="1"/>
      <c r="U127" s="1"/>
      <c r="V127" s="1"/>
    </row>
    <row r="128" spans="11:22">
      <c r="K128" s="1"/>
      <c r="L128" s="1"/>
      <c r="M128" s="1"/>
      <c r="N128" s="1"/>
      <c r="O128" s="1"/>
      <c r="P128" s="1"/>
      <c r="Q128" s="1"/>
      <c r="R128" s="1"/>
      <c r="S128" s="1"/>
      <c r="T128" s="1"/>
      <c r="U128" s="1"/>
      <c r="V128" s="1"/>
    </row>
    <row r="129" spans="11:22">
      <c r="K129" s="1"/>
      <c r="L129" s="1"/>
      <c r="M129" s="1"/>
      <c r="N129" s="1"/>
      <c r="O129" s="1"/>
      <c r="P129" s="1"/>
      <c r="Q129" s="1"/>
      <c r="R129" s="1"/>
      <c r="S129" s="1"/>
      <c r="T129" s="1"/>
      <c r="U129" s="1"/>
      <c r="V129" s="1"/>
    </row>
    <row r="130" spans="11:22">
      <c r="K130" s="1"/>
      <c r="L130" s="1"/>
      <c r="M130" s="1"/>
      <c r="N130" s="1"/>
      <c r="O130" s="1"/>
      <c r="P130" s="1"/>
      <c r="Q130" s="1"/>
      <c r="R130" s="1"/>
      <c r="S130" s="1"/>
      <c r="T130" s="1"/>
      <c r="U130" s="1"/>
      <c r="V130" s="1"/>
    </row>
    <row r="131" spans="11:22">
      <c r="K131" s="1"/>
      <c r="L131" s="1"/>
      <c r="M131" s="1"/>
      <c r="N131" s="1"/>
      <c r="O131" s="1"/>
      <c r="P131" s="1"/>
      <c r="Q131" s="1"/>
      <c r="R131" s="1"/>
      <c r="S131" s="1"/>
      <c r="T131" s="1"/>
      <c r="U131" s="1"/>
      <c r="V131" s="1"/>
    </row>
    <row r="132" spans="11:22">
      <c r="K132" s="1"/>
      <c r="L132" s="1"/>
      <c r="M132" s="1"/>
      <c r="N132" s="1"/>
      <c r="O132" s="1"/>
      <c r="P132" s="1"/>
      <c r="Q132" s="1"/>
      <c r="R132" s="1"/>
      <c r="S132" s="1"/>
      <c r="T132" s="1"/>
      <c r="U132" s="1"/>
      <c r="V132" s="1"/>
    </row>
    <row r="133" spans="11:22">
      <c r="K133" s="1"/>
      <c r="L133" s="1"/>
      <c r="M133" s="1"/>
      <c r="N133" s="1"/>
      <c r="O133" s="1"/>
      <c r="P133" s="1"/>
      <c r="Q133" s="1"/>
      <c r="R133" s="1"/>
      <c r="S133" s="1"/>
      <c r="T133" s="1"/>
      <c r="U133" s="1"/>
      <c r="V133" s="1"/>
    </row>
    <row r="134" spans="11:22">
      <c r="K134" s="1"/>
      <c r="L134" s="1"/>
      <c r="M134" s="1"/>
      <c r="N134" s="1"/>
      <c r="O134" s="1"/>
      <c r="P134" s="1"/>
      <c r="Q134" s="1"/>
      <c r="R134" s="1"/>
      <c r="S134" s="1"/>
      <c r="T134" s="1"/>
      <c r="U134" s="1"/>
      <c r="V134" s="1"/>
    </row>
    <row r="135" spans="11:22">
      <c r="K135" s="1"/>
      <c r="L135" s="1"/>
      <c r="M135" s="1"/>
      <c r="N135" s="1"/>
      <c r="O135" s="1"/>
      <c r="P135" s="1"/>
      <c r="Q135" s="1"/>
      <c r="R135" s="1"/>
      <c r="S135" s="1"/>
      <c r="T135" s="1"/>
      <c r="U135" s="1"/>
      <c r="V135" s="1"/>
    </row>
    <row r="136" spans="11:22">
      <c r="K136" s="1"/>
      <c r="L136" s="1"/>
      <c r="M136" s="1"/>
      <c r="N136" s="1"/>
      <c r="O136" s="1"/>
      <c r="P136" s="1"/>
      <c r="Q136" s="1"/>
      <c r="R136" s="1"/>
      <c r="S136" s="1"/>
      <c r="T136" s="1"/>
      <c r="U136" s="1"/>
      <c r="V136" s="1"/>
    </row>
    <row r="137" spans="11:22">
      <c r="K137" s="1"/>
      <c r="L137" s="1"/>
      <c r="M137" s="1"/>
      <c r="N137" s="1"/>
      <c r="O137" s="1"/>
      <c r="P137" s="1"/>
      <c r="Q137" s="1"/>
      <c r="R137" s="1"/>
      <c r="S137" s="1"/>
      <c r="T137" s="1"/>
      <c r="U137" s="1"/>
      <c r="V137" s="1"/>
    </row>
    <row r="138" spans="11:22">
      <c r="K138" s="1"/>
      <c r="L138" s="1"/>
      <c r="M138" s="1"/>
      <c r="N138" s="1"/>
      <c r="O138" s="1"/>
      <c r="P138" s="1"/>
      <c r="Q138" s="1"/>
      <c r="R138" s="1"/>
      <c r="S138" s="1"/>
      <c r="T138" s="1"/>
      <c r="U138" s="1"/>
      <c r="V138" s="1"/>
    </row>
    <row r="139" spans="11:22">
      <c r="K139" s="1"/>
      <c r="L139" s="1"/>
      <c r="M139" s="1"/>
      <c r="N139" s="1"/>
      <c r="O139" s="1"/>
      <c r="P139" s="1"/>
      <c r="Q139" s="1"/>
      <c r="R139" s="1"/>
      <c r="S139" s="1"/>
      <c r="T139" s="1"/>
      <c r="U139" s="1"/>
      <c r="V139" s="1"/>
    </row>
    <row r="140" spans="11:22">
      <c r="K140" s="1"/>
      <c r="L140" s="1"/>
      <c r="M140" s="1"/>
      <c r="N140" s="1"/>
      <c r="O140" s="1"/>
      <c r="P140" s="1"/>
      <c r="Q140" s="1"/>
      <c r="R140" s="1"/>
      <c r="S140" s="1"/>
      <c r="T140" s="1"/>
      <c r="U140" s="1"/>
      <c r="V140" s="1"/>
    </row>
    <row r="141" spans="11:22">
      <c r="K141" s="1"/>
      <c r="L141" s="1"/>
      <c r="M141" s="1"/>
      <c r="N141" s="1"/>
      <c r="O141" s="1"/>
      <c r="P141" s="1"/>
      <c r="Q141" s="1"/>
      <c r="R141" s="1"/>
      <c r="S141" s="1"/>
      <c r="T141" s="1"/>
      <c r="U141" s="1"/>
      <c r="V141" s="1"/>
    </row>
    <row r="142" spans="11:22">
      <c r="K142" s="1"/>
      <c r="L142" s="1"/>
      <c r="M142" s="1"/>
      <c r="N142" s="1"/>
      <c r="O142" s="1"/>
      <c r="P142" s="1"/>
      <c r="Q142" s="1"/>
      <c r="R142" s="1"/>
      <c r="S142" s="1"/>
      <c r="T142" s="1"/>
      <c r="U142" s="1"/>
      <c r="V142" s="1"/>
    </row>
    <row r="143" spans="11:22">
      <c r="K143" s="1"/>
      <c r="L143" s="1"/>
      <c r="M143" s="1"/>
      <c r="N143" s="1"/>
      <c r="O143" s="1"/>
      <c r="P143" s="1"/>
      <c r="Q143" s="1"/>
      <c r="R143" s="1"/>
      <c r="S143" s="1"/>
      <c r="T143" s="1"/>
      <c r="U143" s="1"/>
      <c r="V143" s="1"/>
    </row>
    <row r="144" spans="11:22">
      <c r="K144" s="1"/>
      <c r="L144" s="1"/>
      <c r="M144" s="1"/>
      <c r="N144" s="1"/>
      <c r="O144" s="1"/>
      <c r="P144" s="1"/>
      <c r="Q144" s="1"/>
      <c r="R144" s="1"/>
      <c r="S144" s="1"/>
      <c r="T144" s="1"/>
      <c r="U144" s="1"/>
      <c r="V144" s="1"/>
    </row>
    <row r="145" spans="11:22">
      <c r="K145" s="1"/>
      <c r="L145" s="1"/>
      <c r="M145" s="1"/>
      <c r="N145" s="1"/>
      <c r="O145" s="1"/>
      <c r="P145" s="1"/>
      <c r="Q145" s="1"/>
      <c r="R145" s="1"/>
      <c r="S145" s="1"/>
      <c r="T145" s="1"/>
      <c r="U145" s="1"/>
      <c r="V145" s="1"/>
    </row>
    <row r="146" spans="11:22">
      <c r="K146" s="1"/>
      <c r="L146" s="1"/>
      <c r="M146" s="1"/>
      <c r="N146" s="1"/>
      <c r="O146" s="1"/>
      <c r="P146" s="1"/>
      <c r="Q146" s="1"/>
      <c r="R146" s="1"/>
      <c r="S146" s="1"/>
      <c r="T146" s="1"/>
      <c r="U146" s="1"/>
      <c r="V146" s="1"/>
    </row>
    <row r="147" spans="11:22">
      <c r="K147" s="1"/>
      <c r="L147" s="1"/>
      <c r="M147" s="1"/>
      <c r="N147" s="1"/>
      <c r="O147" s="1"/>
      <c r="P147" s="1"/>
      <c r="Q147" s="1"/>
      <c r="R147" s="1"/>
      <c r="S147" s="1"/>
      <c r="T147" s="1"/>
      <c r="U147" s="1"/>
      <c r="V147" s="1"/>
    </row>
    <row r="148" spans="11:22">
      <c r="K148" s="1"/>
      <c r="L148" s="1"/>
      <c r="M148" s="1"/>
      <c r="N148" s="1"/>
      <c r="O148" s="1"/>
      <c r="P148" s="1"/>
      <c r="Q148" s="1"/>
      <c r="R148" s="1"/>
      <c r="S148" s="1"/>
      <c r="T148" s="1"/>
      <c r="U148" s="1"/>
      <c r="V148" s="1"/>
    </row>
    <row r="149" spans="11:22">
      <c r="K149" s="1"/>
      <c r="L149" s="1"/>
      <c r="M149" s="1"/>
      <c r="N149" s="1"/>
      <c r="O149" s="1"/>
      <c r="P149" s="1"/>
      <c r="Q149" s="1"/>
      <c r="R149" s="1"/>
      <c r="S149" s="1"/>
      <c r="T149" s="1"/>
      <c r="U149" s="1"/>
      <c r="V149" s="1"/>
    </row>
    <row r="150" spans="11:22">
      <c r="K150" s="1"/>
      <c r="L150" s="1"/>
      <c r="M150" s="1"/>
      <c r="N150" s="1"/>
      <c r="O150" s="1"/>
      <c r="P150" s="1"/>
      <c r="Q150" s="1"/>
      <c r="R150" s="1"/>
      <c r="S150" s="1"/>
      <c r="T150" s="1"/>
      <c r="U150" s="1"/>
      <c r="V150" s="1"/>
    </row>
    <row r="151" spans="11:22">
      <c r="K151" s="1"/>
      <c r="L151" s="1"/>
      <c r="M151" s="1"/>
      <c r="N151" s="1"/>
      <c r="O151" s="1"/>
      <c r="P151" s="1"/>
      <c r="Q151" s="1"/>
      <c r="R151" s="1"/>
      <c r="S151" s="1"/>
      <c r="T151" s="1"/>
      <c r="U151" s="1"/>
      <c r="V151" s="1"/>
    </row>
    <row r="152" spans="11:22">
      <c r="K152" s="1"/>
      <c r="L152" s="1"/>
      <c r="M152" s="1"/>
      <c r="N152" s="1"/>
      <c r="O152" s="1"/>
      <c r="P152" s="1"/>
      <c r="Q152" s="1"/>
      <c r="R152" s="1"/>
      <c r="S152" s="1"/>
      <c r="T152" s="1"/>
      <c r="U152" s="1"/>
      <c r="V152" s="1"/>
    </row>
    <row r="153" spans="11:22">
      <c r="K153" s="1"/>
      <c r="L153" s="1"/>
      <c r="M153" s="1"/>
      <c r="N153" s="1"/>
      <c r="O153" s="1"/>
      <c r="P153" s="1"/>
      <c r="Q153" s="1"/>
      <c r="R153" s="1"/>
      <c r="S153" s="1"/>
      <c r="T153" s="1"/>
      <c r="U153" s="1"/>
      <c r="V153" s="1"/>
    </row>
    <row r="154" spans="11:22">
      <c r="K154" s="1"/>
      <c r="L154" s="1"/>
      <c r="M154" s="1"/>
      <c r="N154" s="1"/>
      <c r="O154" s="1"/>
      <c r="P154" s="1"/>
      <c r="Q154" s="1"/>
      <c r="R154" s="1"/>
      <c r="S154" s="1"/>
      <c r="T154" s="1"/>
      <c r="U154" s="1"/>
      <c r="V154" s="1"/>
    </row>
    <row r="155" spans="11:22">
      <c r="K155" s="1"/>
      <c r="L155" s="1"/>
      <c r="M155" s="1"/>
      <c r="N155" s="1"/>
      <c r="O155" s="1"/>
      <c r="P155" s="1"/>
      <c r="Q155" s="1"/>
      <c r="R155" s="1"/>
      <c r="S155" s="1"/>
      <c r="T155" s="1"/>
      <c r="U155" s="1"/>
      <c r="V155" s="1"/>
    </row>
    <row r="156" spans="11:22">
      <c r="K156" s="1"/>
      <c r="L156" s="1"/>
      <c r="M156" s="1"/>
      <c r="N156" s="1"/>
      <c r="O156" s="1"/>
      <c r="P156" s="1"/>
      <c r="Q156" s="1"/>
      <c r="R156" s="1"/>
      <c r="S156" s="1"/>
      <c r="T156" s="1"/>
      <c r="U156" s="1"/>
      <c r="V156" s="1"/>
    </row>
    <row r="157" spans="11:22">
      <c r="K157" s="1"/>
      <c r="L157" s="1"/>
      <c r="M157" s="1"/>
      <c r="N157" s="1"/>
      <c r="O157" s="1"/>
      <c r="P157" s="1"/>
      <c r="Q157" s="1"/>
      <c r="R157" s="1"/>
      <c r="S157" s="1"/>
      <c r="T157" s="1"/>
      <c r="U157" s="1"/>
      <c r="V157" s="1"/>
    </row>
    <row r="158" spans="11:22">
      <c r="K158" s="1"/>
      <c r="L158" s="1"/>
      <c r="M158" s="1"/>
      <c r="N158" s="1"/>
      <c r="O158" s="1"/>
      <c r="P158" s="1"/>
      <c r="Q158" s="1"/>
      <c r="R158" s="1"/>
      <c r="S158" s="1"/>
      <c r="T158" s="1"/>
      <c r="U158" s="1"/>
      <c r="V158" s="1"/>
    </row>
    <row r="159" spans="11:22">
      <c r="K159" s="1"/>
      <c r="L159" s="1"/>
      <c r="M159" s="1"/>
      <c r="N159" s="1"/>
      <c r="O159" s="1"/>
      <c r="P159" s="1"/>
      <c r="Q159" s="1"/>
      <c r="R159" s="1"/>
      <c r="S159" s="1"/>
      <c r="T159" s="1"/>
      <c r="U159" s="1"/>
      <c r="V159" s="1"/>
    </row>
    <row r="160" spans="11:22">
      <c r="K160" s="1"/>
      <c r="L160" s="1"/>
      <c r="M160" s="1"/>
      <c r="N160" s="1"/>
      <c r="O160" s="1"/>
      <c r="P160" s="1"/>
      <c r="Q160" s="1"/>
      <c r="R160" s="1"/>
      <c r="S160" s="1"/>
      <c r="T160" s="1"/>
      <c r="U160" s="1"/>
      <c r="V160" s="1"/>
    </row>
    <row r="161" spans="11:22">
      <c r="K161" s="1"/>
      <c r="L161" s="1"/>
      <c r="M161" s="1"/>
      <c r="N161" s="1"/>
      <c r="O161" s="1"/>
      <c r="P161" s="1"/>
      <c r="Q161" s="1"/>
      <c r="R161" s="1"/>
      <c r="S161" s="1"/>
      <c r="T161" s="1"/>
      <c r="U161" s="1"/>
      <c r="V161" s="1"/>
    </row>
    <row r="162" spans="11:22">
      <c r="K162" s="1"/>
      <c r="L162" s="1"/>
      <c r="M162" s="1"/>
      <c r="N162" s="1"/>
      <c r="O162" s="1"/>
      <c r="P162" s="1"/>
      <c r="Q162" s="1"/>
      <c r="R162" s="1"/>
      <c r="S162" s="1"/>
      <c r="T162" s="1"/>
      <c r="U162" s="1"/>
      <c r="V162" s="1"/>
    </row>
    <row r="163" spans="11:22">
      <c r="K163" s="1"/>
      <c r="L163" s="1"/>
      <c r="M163" s="1"/>
      <c r="N163" s="1"/>
      <c r="O163" s="1"/>
      <c r="P163" s="1"/>
      <c r="Q163" s="1"/>
      <c r="R163" s="1"/>
      <c r="S163" s="1"/>
      <c r="T163" s="1"/>
      <c r="U163" s="1"/>
      <c r="V163" s="1"/>
    </row>
    <row r="164" spans="11:22">
      <c r="K164" s="1"/>
      <c r="L164" s="1"/>
      <c r="M164" s="1"/>
      <c r="N164" s="1"/>
      <c r="O164" s="1"/>
      <c r="P164" s="1"/>
      <c r="Q164" s="1"/>
      <c r="R164" s="1"/>
      <c r="S164" s="1"/>
      <c r="T164" s="1"/>
      <c r="U164" s="1"/>
      <c r="V164" s="1"/>
    </row>
    <row r="165" spans="11:22">
      <c r="K165" s="1"/>
      <c r="L165" s="1"/>
      <c r="M165" s="1"/>
      <c r="N165" s="1"/>
      <c r="O165" s="1"/>
      <c r="P165" s="1"/>
      <c r="Q165" s="1"/>
      <c r="R165" s="1"/>
      <c r="S165" s="1"/>
      <c r="T165" s="1"/>
      <c r="U165" s="1"/>
      <c r="V165" s="1"/>
    </row>
    <row r="166" spans="11:22">
      <c r="K166" s="1"/>
      <c r="L166" s="1"/>
      <c r="M166" s="1"/>
      <c r="N166" s="1"/>
      <c r="O166" s="1"/>
      <c r="P166" s="1"/>
      <c r="Q166" s="1"/>
      <c r="R166" s="1"/>
      <c r="S166" s="1"/>
      <c r="T166" s="1"/>
      <c r="U166" s="1"/>
      <c r="V166" s="1"/>
    </row>
    <row r="167" spans="11:22">
      <c r="K167" s="1"/>
      <c r="L167" s="1"/>
      <c r="M167" s="1"/>
      <c r="N167" s="1"/>
      <c r="O167" s="1"/>
      <c r="P167" s="1"/>
      <c r="Q167" s="1"/>
      <c r="R167" s="1"/>
      <c r="S167" s="1"/>
      <c r="T167" s="1"/>
      <c r="U167" s="1"/>
      <c r="V167" s="1"/>
    </row>
    <row r="168" spans="11:22">
      <c r="K168" s="1"/>
      <c r="L168" s="1"/>
      <c r="M168" s="1"/>
      <c r="N168" s="1"/>
      <c r="O168" s="1"/>
      <c r="P168" s="1"/>
      <c r="Q168" s="1"/>
      <c r="R168" s="1"/>
      <c r="S168" s="1"/>
      <c r="T168" s="1"/>
      <c r="U168" s="1"/>
      <c r="V168" s="1"/>
    </row>
    <row r="169" spans="11:22">
      <c r="K169" s="1"/>
      <c r="L169" s="1"/>
      <c r="M169" s="1"/>
      <c r="N169" s="1"/>
      <c r="O169" s="1"/>
      <c r="P169" s="1"/>
      <c r="Q169" s="1"/>
      <c r="R169" s="1"/>
      <c r="S169" s="1"/>
      <c r="T169" s="1"/>
      <c r="U169" s="1"/>
      <c r="V169" s="1"/>
    </row>
    <row r="170" spans="11:22">
      <c r="K170" s="1"/>
      <c r="L170" s="1"/>
      <c r="M170" s="1"/>
      <c r="N170" s="1"/>
      <c r="O170" s="1"/>
      <c r="P170" s="1"/>
      <c r="Q170" s="1"/>
      <c r="R170" s="1"/>
      <c r="S170" s="1"/>
      <c r="T170" s="1"/>
      <c r="U170" s="1"/>
      <c r="V170" s="1"/>
    </row>
    <row r="171" spans="11:22">
      <c r="K171" s="1"/>
      <c r="L171" s="1"/>
      <c r="M171" s="1"/>
      <c r="N171" s="1"/>
      <c r="O171" s="1"/>
      <c r="P171" s="1"/>
      <c r="Q171" s="1"/>
      <c r="R171" s="1"/>
      <c r="S171" s="1"/>
      <c r="T171" s="1"/>
      <c r="U171" s="1"/>
      <c r="V171" s="1"/>
    </row>
    <row r="172" spans="11:22">
      <c r="K172" s="1"/>
      <c r="L172" s="1"/>
      <c r="M172" s="1"/>
      <c r="N172" s="1"/>
      <c r="O172" s="1"/>
      <c r="P172" s="1"/>
      <c r="Q172" s="1"/>
      <c r="R172" s="1"/>
      <c r="S172" s="1"/>
      <c r="T172" s="1"/>
      <c r="U172" s="1"/>
      <c r="V172" s="1"/>
    </row>
    <row r="173" spans="11:22">
      <c r="K173" s="1"/>
      <c r="L173" s="1"/>
      <c r="M173" s="1"/>
      <c r="N173" s="1"/>
      <c r="O173" s="1"/>
      <c r="P173" s="1"/>
      <c r="Q173" s="1"/>
      <c r="R173" s="1"/>
      <c r="S173" s="1"/>
      <c r="T173" s="1"/>
      <c r="U173" s="1"/>
      <c r="V173" s="1"/>
    </row>
    <row r="174" spans="11:22">
      <c r="K174" s="1"/>
      <c r="L174" s="1"/>
      <c r="M174" s="1"/>
      <c r="N174" s="1"/>
      <c r="O174" s="1"/>
      <c r="P174" s="1"/>
      <c r="Q174" s="1"/>
      <c r="R174" s="1"/>
      <c r="S174" s="1"/>
      <c r="T174" s="1"/>
      <c r="U174" s="1"/>
      <c r="V174" s="1"/>
    </row>
    <row r="175" spans="11:22">
      <c r="K175" s="1"/>
      <c r="L175" s="1"/>
      <c r="M175" s="1"/>
      <c r="N175" s="1"/>
      <c r="O175" s="1"/>
      <c r="P175" s="1"/>
      <c r="Q175" s="1"/>
      <c r="R175" s="1"/>
      <c r="S175" s="1"/>
      <c r="T175" s="1"/>
      <c r="U175" s="1"/>
      <c r="V175" s="1"/>
    </row>
    <row r="176" spans="11:22">
      <c r="K176" s="1"/>
      <c r="L176" s="1"/>
      <c r="M176" s="1"/>
      <c r="N176" s="1"/>
      <c r="O176" s="1"/>
      <c r="P176" s="1"/>
      <c r="Q176" s="1"/>
      <c r="R176" s="1"/>
      <c r="S176" s="1"/>
      <c r="T176" s="1"/>
      <c r="U176" s="1"/>
      <c r="V176" s="1"/>
    </row>
    <row r="177" spans="11:22">
      <c r="K177" s="1"/>
      <c r="L177" s="1"/>
      <c r="M177" s="1"/>
      <c r="N177" s="1"/>
      <c r="O177" s="1"/>
      <c r="P177" s="1"/>
      <c r="Q177" s="1"/>
      <c r="R177" s="1"/>
      <c r="S177" s="1"/>
      <c r="T177" s="1"/>
      <c r="U177" s="1"/>
      <c r="V177" s="1"/>
    </row>
    <row r="178" spans="11:22">
      <c r="K178" s="1"/>
      <c r="L178" s="1"/>
      <c r="M178" s="1"/>
      <c r="N178" s="1"/>
      <c r="O178" s="1"/>
      <c r="P178" s="1"/>
      <c r="Q178" s="1"/>
      <c r="R178" s="1"/>
      <c r="S178" s="1"/>
      <c r="T178" s="1"/>
      <c r="U178" s="1"/>
      <c r="V178" s="1"/>
    </row>
    <row r="179" spans="11:22">
      <c r="K179" s="1"/>
      <c r="L179" s="1"/>
      <c r="M179" s="1"/>
      <c r="N179" s="1"/>
      <c r="O179" s="1"/>
      <c r="P179" s="1"/>
      <c r="Q179" s="1"/>
      <c r="R179" s="1"/>
      <c r="S179" s="1"/>
      <c r="T179" s="1"/>
      <c r="U179" s="1"/>
      <c r="V179" s="1"/>
    </row>
    <row r="180" spans="11:22">
      <c r="K180" s="1"/>
      <c r="L180" s="1"/>
      <c r="M180" s="1"/>
      <c r="N180" s="1"/>
      <c r="O180" s="1"/>
      <c r="P180" s="1"/>
      <c r="Q180" s="1"/>
      <c r="R180" s="1"/>
      <c r="S180" s="1"/>
      <c r="T180" s="1"/>
      <c r="U180" s="1"/>
      <c r="V180" s="1"/>
    </row>
    <row r="181" spans="11:22">
      <c r="K181" s="1"/>
      <c r="L181" s="1"/>
      <c r="M181" s="1"/>
      <c r="N181" s="1"/>
      <c r="O181" s="1"/>
      <c r="P181" s="1"/>
      <c r="Q181" s="1"/>
      <c r="R181" s="1"/>
      <c r="S181" s="1"/>
      <c r="T181" s="1"/>
      <c r="U181" s="1"/>
      <c r="V181" s="1"/>
    </row>
    <row r="182" spans="11:22">
      <c r="K182" s="1"/>
      <c r="L182" s="1"/>
      <c r="M182" s="1"/>
      <c r="N182" s="1"/>
      <c r="O182" s="1"/>
      <c r="P182" s="1"/>
      <c r="Q182" s="1"/>
      <c r="R182" s="1"/>
      <c r="S182" s="1"/>
      <c r="T182" s="1"/>
      <c r="U182" s="1"/>
      <c r="V182" s="1"/>
    </row>
    <row r="183" spans="11:22">
      <c r="K183" s="1"/>
      <c r="L183" s="1"/>
      <c r="M183" s="1"/>
      <c r="N183" s="1"/>
      <c r="O183" s="1"/>
      <c r="P183" s="1"/>
      <c r="Q183" s="1"/>
      <c r="R183" s="1"/>
      <c r="S183" s="1"/>
      <c r="T183" s="1"/>
      <c r="U183" s="1"/>
      <c r="V183" s="1"/>
    </row>
    <row r="184" spans="11:22">
      <c r="K184" s="1"/>
      <c r="L184" s="1"/>
      <c r="M184" s="1"/>
      <c r="N184" s="1"/>
      <c r="O184" s="1"/>
      <c r="P184" s="1"/>
      <c r="Q184" s="1"/>
      <c r="R184" s="1"/>
      <c r="S184" s="1"/>
      <c r="T184" s="1"/>
      <c r="U184" s="1"/>
      <c r="V184" s="1"/>
    </row>
    <row r="185" spans="11:22">
      <c r="K185" s="1"/>
      <c r="L185" s="1"/>
      <c r="M185" s="1"/>
      <c r="N185" s="1"/>
      <c r="O185" s="1"/>
      <c r="P185" s="1"/>
      <c r="Q185" s="1"/>
      <c r="R185" s="1"/>
      <c r="S185" s="1"/>
      <c r="T185" s="1"/>
      <c r="U185" s="1"/>
      <c r="V185" s="1"/>
    </row>
    <row r="186" spans="11:22">
      <c r="K186" s="1"/>
      <c r="L186" s="1"/>
      <c r="M186" s="1"/>
      <c r="N186" s="1"/>
      <c r="O186" s="1"/>
      <c r="P186" s="1"/>
      <c r="Q186" s="1"/>
      <c r="R186" s="1"/>
      <c r="S186" s="1"/>
      <c r="T186" s="1"/>
      <c r="U186" s="1"/>
      <c r="V186" s="1"/>
    </row>
    <row r="187" spans="11:22">
      <c r="K187" s="1"/>
      <c r="L187" s="1"/>
      <c r="M187" s="1"/>
      <c r="N187" s="1"/>
      <c r="O187" s="1"/>
      <c r="P187" s="1"/>
      <c r="Q187" s="1"/>
      <c r="R187" s="1"/>
      <c r="S187" s="1"/>
      <c r="T187" s="1"/>
      <c r="U187" s="1"/>
      <c r="V187" s="1"/>
    </row>
    <row r="188" spans="11:22">
      <c r="K188" s="1"/>
      <c r="L188" s="1"/>
      <c r="M188" s="1"/>
      <c r="N188" s="1"/>
      <c r="O188" s="1"/>
      <c r="P188" s="1"/>
      <c r="Q188" s="1"/>
      <c r="R188" s="1"/>
      <c r="S188" s="1"/>
      <c r="T188" s="1"/>
      <c r="U188" s="1"/>
      <c r="V188" s="1"/>
    </row>
    <row r="189" spans="11:22">
      <c r="K189" s="1"/>
      <c r="L189" s="1"/>
      <c r="M189" s="1"/>
      <c r="N189" s="1"/>
      <c r="O189" s="1"/>
      <c r="P189" s="1"/>
      <c r="Q189" s="1"/>
      <c r="R189" s="1"/>
      <c r="S189" s="1"/>
      <c r="T189" s="1"/>
      <c r="U189" s="1"/>
      <c r="V189" s="1"/>
    </row>
    <row r="190" spans="11:22">
      <c r="K190" s="1"/>
      <c r="L190" s="1"/>
      <c r="M190" s="1"/>
      <c r="N190" s="1"/>
      <c r="O190" s="1"/>
      <c r="P190" s="1"/>
      <c r="Q190" s="1"/>
      <c r="R190" s="1"/>
      <c r="S190" s="1"/>
      <c r="T190" s="1"/>
      <c r="U190" s="1"/>
      <c r="V190" s="1"/>
    </row>
    <row r="191" spans="11:22">
      <c r="K191" s="1"/>
      <c r="L191" s="1"/>
      <c r="M191" s="1"/>
      <c r="N191" s="1"/>
      <c r="O191" s="1"/>
      <c r="P191" s="1"/>
      <c r="Q191" s="1"/>
      <c r="R191" s="1"/>
      <c r="S191" s="1"/>
      <c r="T191" s="1"/>
      <c r="U191" s="1"/>
      <c r="V191" s="1"/>
    </row>
    <row r="192" spans="11:22">
      <c r="K192" s="1"/>
      <c r="L192" s="1"/>
      <c r="M192" s="1"/>
      <c r="N192" s="1"/>
      <c r="O192" s="1"/>
      <c r="P192" s="1"/>
      <c r="Q192" s="1"/>
      <c r="R192" s="1"/>
      <c r="S192" s="1"/>
      <c r="T192" s="1"/>
      <c r="U192" s="1"/>
      <c r="V192" s="1"/>
    </row>
    <row r="193" spans="11:22">
      <c r="K193" s="1"/>
      <c r="L193" s="1"/>
      <c r="M193" s="1"/>
      <c r="N193" s="1"/>
      <c r="O193" s="1"/>
      <c r="P193" s="1"/>
      <c r="Q193" s="1"/>
      <c r="R193" s="1"/>
      <c r="S193" s="1"/>
      <c r="T193" s="1"/>
      <c r="U193" s="1"/>
      <c r="V193" s="1"/>
    </row>
    <row r="194" spans="11:22">
      <c r="K194" s="1"/>
      <c r="L194" s="1"/>
      <c r="M194" s="1"/>
      <c r="N194" s="1"/>
      <c r="O194" s="1"/>
      <c r="P194" s="1"/>
      <c r="Q194" s="1"/>
      <c r="R194" s="1"/>
      <c r="S194" s="1"/>
      <c r="T194" s="1"/>
      <c r="U194" s="1"/>
      <c r="V194" s="1"/>
    </row>
    <row r="195" spans="11:22">
      <c r="K195" s="1"/>
      <c r="L195" s="1"/>
      <c r="M195" s="1"/>
      <c r="N195" s="1"/>
      <c r="O195" s="1"/>
      <c r="P195" s="1"/>
      <c r="Q195" s="1"/>
      <c r="R195" s="1"/>
      <c r="S195" s="1"/>
      <c r="T195" s="1"/>
      <c r="U195" s="1"/>
      <c r="V195" s="1"/>
    </row>
    <row r="196" spans="11:22">
      <c r="K196" s="1"/>
      <c r="L196" s="1"/>
      <c r="M196" s="1"/>
      <c r="N196" s="1"/>
      <c r="O196" s="1"/>
      <c r="P196" s="1"/>
      <c r="Q196" s="1"/>
      <c r="R196" s="1"/>
      <c r="S196" s="1"/>
      <c r="T196" s="1"/>
      <c r="U196" s="1"/>
      <c r="V196" s="1"/>
    </row>
    <row r="197" spans="11:22">
      <c r="K197" s="1"/>
      <c r="L197" s="1"/>
      <c r="M197" s="1"/>
      <c r="N197" s="1"/>
      <c r="O197" s="1"/>
      <c r="P197" s="1"/>
      <c r="Q197" s="1"/>
      <c r="R197" s="1"/>
      <c r="S197" s="1"/>
      <c r="T197" s="1"/>
      <c r="U197" s="1"/>
      <c r="V197" s="1"/>
    </row>
    <row r="198" spans="11:22">
      <c r="K198" s="1"/>
      <c r="L198" s="1"/>
      <c r="M198" s="1"/>
      <c r="N198" s="1"/>
      <c r="O198" s="1"/>
      <c r="P198" s="1"/>
      <c r="Q198" s="1"/>
      <c r="R198" s="1"/>
      <c r="S198" s="1"/>
      <c r="T198" s="1"/>
      <c r="U198" s="1"/>
      <c r="V198" s="1"/>
    </row>
    <row r="199" spans="11:22">
      <c r="K199" s="1"/>
      <c r="L199" s="1"/>
      <c r="M199" s="1"/>
      <c r="N199" s="1"/>
      <c r="O199" s="1"/>
      <c r="P199" s="1"/>
      <c r="Q199" s="1"/>
      <c r="R199" s="1"/>
      <c r="S199" s="1"/>
      <c r="T199" s="1"/>
      <c r="U199" s="1"/>
      <c r="V199" s="1"/>
    </row>
    <row r="200" spans="11:22">
      <c r="K200" s="1"/>
      <c r="L200" s="1"/>
      <c r="M200" s="1"/>
      <c r="N200" s="1"/>
      <c r="O200" s="1"/>
      <c r="P200" s="1"/>
      <c r="Q200" s="1"/>
      <c r="R200" s="1"/>
      <c r="S200" s="1"/>
      <c r="T200" s="1"/>
      <c r="U200" s="1"/>
      <c r="V200" s="1"/>
    </row>
    <row r="201" spans="11:22">
      <c r="K201" s="1"/>
      <c r="L201" s="1"/>
      <c r="M201" s="1"/>
      <c r="N201" s="1"/>
      <c r="O201" s="1"/>
      <c r="P201" s="1"/>
      <c r="Q201" s="1"/>
      <c r="R201" s="1"/>
      <c r="S201" s="1"/>
      <c r="T201" s="1"/>
      <c r="U201" s="1"/>
      <c r="V201" s="1"/>
    </row>
    <row r="202" spans="11:22">
      <c r="K202" s="1"/>
      <c r="L202" s="1"/>
      <c r="M202" s="1"/>
      <c r="N202" s="1"/>
      <c r="O202" s="1"/>
      <c r="P202" s="1"/>
      <c r="Q202" s="1"/>
      <c r="R202" s="1"/>
      <c r="S202" s="1"/>
      <c r="T202" s="1"/>
      <c r="U202" s="1"/>
      <c r="V202" s="1"/>
    </row>
    <row r="203" spans="11:22">
      <c r="K203" s="1"/>
      <c r="L203" s="1"/>
      <c r="M203" s="1"/>
      <c r="N203" s="1"/>
      <c r="O203" s="1"/>
      <c r="P203" s="1"/>
      <c r="Q203" s="1"/>
      <c r="R203" s="1"/>
      <c r="S203" s="1"/>
      <c r="T203" s="1"/>
      <c r="U203" s="1"/>
      <c r="V203" s="1"/>
    </row>
    <row r="204" spans="11:22">
      <c r="K204" s="1"/>
      <c r="L204" s="1"/>
      <c r="M204" s="1"/>
      <c r="N204" s="1"/>
      <c r="O204" s="1"/>
      <c r="P204" s="1"/>
      <c r="Q204" s="1"/>
      <c r="R204" s="1"/>
      <c r="S204" s="1"/>
      <c r="T204" s="1"/>
      <c r="U204" s="1"/>
      <c r="V204" s="1"/>
    </row>
    <row r="205" spans="11:22">
      <c r="K205" s="1"/>
      <c r="L205" s="1"/>
      <c r="M205" s="1"/>
      <c r="N205" s="1"/>
      <c r="O205" s="1"/>
      <c r="P205" s="1"/>
      <c r="Q205" s="1"/>
      <c r="R205" s="1"/>
      <c r="S205" s="1"/>
      <c r="T205" s="1"/>
      <c r="U205" s="1"/>
      <c r="V205" s="1"/>
    </row>
    <row r="206" spans="11:22">
      <c r="K206" s="1"/>
      <c r="L206" s="1"/>
      <c r="M206" s="1"/>
      <c r="N206" s="1"/>
      <c r="O206" s="1"/>
      <c r="P206" s="1"/>
      <c r="Q206" s="1"/>
      <c r="R206" s="1"/>
      <c r="S206" s="1"/>
      <c r="T206" s="1"/>
      <c r="U206" s="1"/>
      <c r="V206" s="1"/>
    </row>
    <row r="207" spans="11:22">
      <c r="K207" s="1"/>
      <c r="L207" s="1"/>
      <c r="M207" s="1"/>
      <c r="N207" s="1"/>
      <c r="O207" s="1"/>
      <c r="P207" s="1"/>
      <c r="Q207" s="1"/>
      <c r="R207" s="1"/>
      <c r="S207" s="1"/>
      <c r="T207" s="1"/>
      <c r="U207" s="1"/>
      <c r="V207" s="1"/>
    </row>
    <row r="208" spans="11:22">
      <c r="K208" s="1"/>
      <c r="L208" s="1"/>
      <c r="M208" s="1"/>
      <c r="N208" s="1"/>
      <c r="O208" s="1"/>
      <c r="P208" s="1"/>
      <c r="Q208" s="1"/>
      <c r="R208" s="1"/>
      <c r="S208" s="1"/>
      <c r="T208" s="1"/>
      <c r="U208" s="1"/>
      <c r="V208" s="1"/>
    </row>
    <row r="209" spans="11:22">
      <c r="K209" s="1"/>
      <c r="L209" s="1"/>
      <c r="M209" s="1"/>
      <c r="N209" s="1"/>
      <c r="O209" s="1"/>
      <c r="P209" s="1"/>
      <c r="Q209" s="1"/>
      <c r="R209" s="1"/>
      <c r="S209" s="1"/>
      <c r="T209" s="1"/>
      <c r="U209" s="1"/>
      <c r="V209" s="1"/>
    </row>
    <row r="210" spans="11:22">
      <c r="K210" s="1"/>
      <c r="L210" s="1"/>
      <c r="M210" s="1"/>
      <c r="N210" s="1"/>
      <c r="O210" s="1"/>
      <c r="P210" s="1"/>
      <c r="Q210" s="1"/>
      <c r="R210" s="1"/>
      <c r="S210" s="1"/>
      <c r="T210" s="1"/>
      <c r="U210" s="1"/>
      <c r="V210" s="1"/>
    </row>
    <row r="211" spans="11:22">
      <c r="K211" s="1"/>
      <c r="L211" s="1"/>
      <c r="M211" s="1"/>
      <c r="N211" s="1"/>
      <c r="O211" s="1"/>
      <c r="P211" s="1"/>
      <c r="Q211" s="1"/>
      <c r="R211" s="1"/>
      <c r="S211" s="1"/>
      <c r="T211" s="1"/>
      <c r="U211" s="1"/>
      <c r="V211" s="1"/>
    </row>
    <row r="212" spans="11:22">
      <c r="K212" s="1"/>
      <c r="L212" s="1"/>
      <c r="M212" s="1"/>
      <c r="N212" s="1"/>
      <c r="O212" s="1"/>
      <c r="P212" s="1"/>
      <c r="Q212" s="1"/>
      <c r="R212" s="1"/>
      <c r="S212" s="1"/>
      <c r="T212" s="1"/>
      <c r="U212" s="1"/>
      <c r="V212" s="1"/>
    </row>
    <row r="213" spans="11:22">
      <c r="K213" s="1"/>
      <c r="L213" s="1"/>
      <c r="M213" s="1"/>
      <c r="N213" s="1"/>
      <c r="O213" s="1"/>
      <c r="P213" s="1"/>
      <c r="Q213" s="1"/>
      <c r="R213" s="1"/>
      <c r="S213" s="1"/>
      <c r="T213" s="1"/>
      <c r="U213" s="1"/>
      <c r="V213" s="1"/>
    </row>
    <row r="214" spans="11:22">
      <c r="K214" s="1"/>
      <c r="L214" s="1"/>
      <c r="M214" s="1"/>
      <c r="N214" s="1"/>
      <c r="O214" s="1"/>
      <c r="P214" s="1"/>
      <c r="Q214" s="1"/>
      <c r="R214" s="1"/>
      <c r="S214" s="1"/>
      <c r="T214" s="1"/>
      <c r="U214" s="1"/>
      <c r="V214" s="1"/>
    </row>
    <row r="215" spans="11:22">
      <c r="K215" s="1"/>
      <c r="L215" s="1"/>
      <c r="M215" s="1"/>
      <c r="N215" s="1"/>
      <c r="O215" s="1"/>
      <c r="P215" s="1"/>
      <c r="Q215" s="1"/>
      <c r="R215" s="1"/>
      <c r="S215" s="1"/>
      <c r="T215" s="1"/>
      <c r="U215" s="1"/>
      <c r="V215" s="1"/>
    </row>
    <row r="216" spans="11:22">
      <c r="K216" s="1"/>
      <c r="L216" s="1"/>
      <c r="M216" s="1"/>
      <c r="N216" s="1"/>
      <c r="O216" s="1"/>
      <c r="P216" s="1"/>
      <c r="Q216" s="1"/>
      <c r="R216" s="1"/>
      <c r="S216" s="1"/>
      <c r="T216" s="1"/>
      <c r="U216" s="1"/>
      <c r="V216" s="1"/>
    </row>
    <row r="217" spans="11:22">
      <c r="K217" s="1"/>
      <c r="L217" s="1"/>
      <c r="M217" s="1"/>
      <c r="N217" s="1"/>
      <c r="O217" s="1"/>
      <c r="P217" s="1"/>
      <c r="Q217" s="1"/>
      <c r="R217" s="1"/>
      <c r="S217" s="1"/>
      <c r="T217" s="1"/>
      <c r="U217" s="1"/>
      <c r="V217" s="1"/>
    </row>
    <row r="218" spans="11:22">
      <c r="K218" s="1"/>
      <c r="L218" s="1"/>
      <c r="M218" s="1"/>
      <c r="N218" s="1"/>
      <c r="O218" s="1"/>
      <c r="P218" s="1"/>
      <c r="Q218" s="1"/>
      <c r="R218" s="1"/>
      <c r="S218" s="1"/>
      <c r="T218" s="1"/>
      <c r="U218" s="1"/>
      <c r="V218" s="1"/>
    </row>
    <row r="219" spans="11:22">
      <c r="K219" s="1"/>
      <c r="L219" s="1"/>
      <c r="M219" s="1"/>
      <c r="N219" s="1"/>
      <c r="O219" s="1"/>
      <c r="P219" s="1"/>
      <c r="Q219" s="1"/>
      <c r="R219" s="1"/>
      <c r="S219" s="1"/>
      <c r="T219" s="1"/>
      <c r="U219" s="1"/>
      <c r="V219" s="1"/>
    </row>
    <row r="220" spans="11:22">
      <c r="K220" s="1"/>
      <c r="L220" s="1"/>
      <c r="M220" s="1"/>
      <c r="N220" s="1"/>
      <c r="O220" s="1"/>
      <c r="P220" s="1"/>
      <c r="Q220" s="1"/>
      <c r="R220" s="1"/>
      <c r="S220" s="1"/>
      <c r="T220" s="1"/>
      <c r="U220" s="1"/>
      <c r="V220" s="1"/>
    </row>
    <row r="221" spans="11:22">
      <c r="K221" s="1"/>
      <c r="L221" s="1"/>
      <c r="M221" s="1"/>
      <c r="N221" s="1"/>
      <c r="O221" s="1"/>
      <c r="P221" s="1"/>
      <c r="Q221" s="1"/>
      <c r="R221" s="1"/>
      <c r="S221" s="1"/>
      <c r="T221" s="1"/>
      <c r="U221" s="1"/>
      <c r="V221" s="1"/>
    </row>
    <row r="222" spans="11:22">
      <c r="K222" s="1"/>
      <c r="L222" s="1"/>
      <c r="M222" s="1"/>
      <c r="N222" s="1"/>
      <c r="O222" s="1"/>
      <c r="P222" s="1"/>
      <c r="Q222" s="1"/>
      <c r="R222" s="1"/>
      <c r="S222" s="1"/>
      <c r="T222" s="1"/>
      <c r="U222" s="1"/>
      <c r="V222" s="1"/>
    </row>
    <row r="223" spans="11:22">
      <c r="K223" s="1"/>
      <c r="L223" s="1"/>
      <c r="M223" s="1"/>
      <c r="N223" s="1"/>
      <c r="O223" s="1"/>
      <c r="P223" s="1"/>
      <c r="Q223" s="1"/>
      <c r="R223" s="1"/>
      <c r="S223" s="1"/>
      <c r="T223" s="1"/>
      <c r="U223" s="1"/>
      <c r="V223" s="1"/>
    </row>
    <row r="224" spans="11:22">
      <c r="K224" s="1"/>
      <c r="L224" s="1"/>
      <c r="M224" s="1"/>
      <c r="N224" s="1"/>
      <c r="O224" s="1"/>
      <c r="P224" s="1"/>
      <c r="Q224" s="1"/>
      <c r="R224" s="1"/>
      <c r="S224" s="1"/>
      <c r="T224" s="1"/>
      <c r="U224" s="1"/>
      <c r="V224" s="1"/>
    </row>
    <row r="225" spans="11:22">
      <c r="K225" s="1"/>
      <c r="L225" s="1"/>
      <c r="M225" s="1"/>
      <c r="N225" s="1"/>
      <c r="O225" s="1"/>
      <c r="P225" s="1"/>
      <c r="Q225" s="1"/>
      <c r="R225" s="1"/>
      <c r="S225" s="1"/>
      <c r="T225" s="1"/>
      <c r="U225" s="1"/>
      <c r="V225" s="1"/>
    </row>
    <row r="226" spans="11:22">
      <c r="K226" s="1"/>
      <c r="L226" s="1"/>
      <c r="M226" s="1"/>
      <c r="N226" s="1"/>
      <c r="O226" s="1"/>
      <c r="P226" s="1"/>
      <c r="Q226" s="1"/>
      <c r="R226" s="1"/>
      <c r="S226" s="1"/>
      <c r="T226" s="1"/>
      <c r="U226" s="1"/>
      <c r="V226" s="1"/>
    </row>
    <row r="227" spans="11:22">
      <c r="K227" s="1"/>
      <c r="L227" s="1"/>
      <c r="M227" s="1"/>
      <c r="N227" s="1"/>
      <c r="O227" s="1"/>
      <c r="P227" s="1"/>
      <c r="Q227" s="1"/>
      <c r="R227" s="1"/>
      <c r="S227" s="1"/>
      <c r="T227" s="1"/>
      <c r="U227" s="1"/>
      <c r="V227" s="1"/>
    </row>
    <row r="228" spans="11:22">
      <c r="K228" s="1"/>
      <c r="L228" s="1"/>
      <c r="M228" s="1"/>
      <c r="N228" s="1"/>
      <c r="O228" s="1"/>
      <c r="P228" s="1"/>
      <c r="Q228" s="1"/>
      <c r="R228" s="1"/>
      <c r="S228" s="1"/>
      <c r="T228" s="1"/>
      <c r="U228" s="1"/>
      <c r="V228" s="1"/>
    </row>
    <row r="229" spans="11:22">
      <c r="K229" s="1"/>
      <c r="L229" s="1"/>
      <c r="M229" s="1"/>
      <c r="N229" s="1"/>
      <c r="O229" s="1"/>
      <c r="P229" s="1"/>
      <c r="Q229" s="1"/>
      <c r="R229" s="1"/>
      <c r="S229" s="1"/>
      <c r="T229" s="1"/>
      <c r="U229" s="1"/>
      <c r="V229" s="1"/>
    </row>
    <row r="230" spans="11:22">
      <c r="K230" s="1"/>
      <c r="L230" s="1"/>
      <c r="M230" s="1"/>
      <c r="N230" s="1"/>
      <c r="O230" s="1"/>
      <c r="P230" s="1"/>
      <c r="Q230" s="1"/>
      <c r="R230" s="1"/>
      <c r="S230" s="1"/>
      <c r="T230" s="1"/>
      <c r="U230" s="1"/>
      <c r="V230" s="1"/>
    </row>
    <row r="231" spans="11:22">
      <c r="K231" s="1"/>
      <c r="L231" s="1"/>
      <c r="M231" s="1"/>
      <c r="N231" s="1"/>
      <c r="O231" s="1"/>
      <c r="P231" s="1"/>
      <c r="Q231" s="1"/>
      <c r="R231" s="1"/>
      <c r="S231" s="1"/>
      <c r="T231" s="1"/>
      <c r="U231" s="1"/>
      <c r="V231" s="1"/>
    </row>
    <row r="232" spans="11:22">
      <c r="K232" s="1"/>
      <c r="L232" s="1"/>
      <c r="M232" s="1"/>
      <c r="N232" s="1"/>
      <c r="O232" s="1"/>
      <c r="P232" s="1"/>
      <c r="Q232" s="1"/>
      <c r="R232" s="1"/>
      <c r="S232" s="1"/>
      <c r="T232" s="1"/>
      <c r="U232" s="1"/>
      <c r="V232" s="1"/>
    </row>
    <row r="233" spans="11:22">
      <c r="K233" s="1"/>
      <c r="L233" s="1"/>
      <c r="M233" s="1"/>
      <c r="N233" s="1"/>
      <c r="O233" s="1"/>
      <c r="P233" s="1"/>
      <c r="Q233" s="1"/>
      <c r="R233" s="1"/>
      <c r="S233" s="1"/>
      <c r="T233" s="1"/>
      <c r="U233" s="1"/>
      <c r="V233" s="1"/>
    </row>
    <row r="234" spans="11:22">
      <c r="K234" s="1"/>
      <c r="L234" s="1"/>
      <c r="M234" s="1"/>
      <c r="N234" s="1"/>
      <c r="O234" s="1"/>
      <c r="P234" s="1"/>
      <c r="Q234" s="1"/>
      <c r="R234" s="1"/>
      <c r="S234" s="1"/>
      <c r="T234" s="1"/>
      <c r="U234" s="1"/>
      <c r="V234" s="1"/>
    </row>
    <row r="235" spans="11:22">
      <c r="K235" s="1"/>
      <c r="L235" s="1"/>
      <c r="M235" s="1"/>
      <c r="N235" s="1"/>
      <c r="O235" s="1"/>
      <c r="P235" s="1"/>
      <c r="Q235" s="1"/>
      <c r="R235" s="1"/>
      <c r="S235" s="1"/>
      <c r="T235" s="1"/>
      <c r="U235" s="1"/>
      <c r="V235" s="1"/>
    </row>
    <row r="236" spans="11:22">
      <c r="K236" s="1"/>
      <c r="L236" s="1"/>
      <c r="M236" s="1"/>
      <c r="N236" s="1"/>
      <c r="O236" s="1"/>
      <c r="P236" s="1"/>
      <c r="Q236" s="1"/>
      <c r="R236" s="1"/>
      <c r="S236" s="1"/>
      <c r="T236" s="1"/>
      <c r="U236" s="1"/>
      <c r="V236" s="1"/>
    </row>
    <row r="237" spans="11:22">
      <c r="K237" s="1"/>
      <c r="L237" s="1"/>
      <c r="M237" s="1"/>
      <c r="N237" s="1"/>
      <c r="O237" s="1"/>
      <c r="P237" s="1"/>
      <c r="Q237" s="1"/>
      <c r="R237" s="1"/>
      <c r="S237" s="1"/>
      <c r="T237" s="1"/>
      <c r="U237" s="1"/>
      <c r="V237" s="1"/>
    </row>
    <row r="238" spans="11:22">
      <c r="K238" s="1"/>
      <c r="L238" s="1"/>
      <c r="M238" s="1"/>
      <c r="N238" s="1"/>
      <c r="O238" s="1"/>
      <c r="P238" s="1"/>
      <c r="Q238" s="1"/>
      <c r="R238" s="1"/>
      <c r="S238" s="1"/>
      <c r="T238" s="1"/>
      <c r="U238" s="1"/>
      <c r="V238" s="1"/>
    </row>
    <row r="239" spans="11:22">
      <c r="K239" s="1"/>
      <c r="L239" s="1"/>
      <c r="M239" s="1"/>
      <c r="N239" s="1"/>
      <c r="O239" s="1"/>
      <c r="P239" s="1"/>
      <c r="Q239" s="1"/>
      <c r="R239" s="1"/>
      <c r="S239" s="1"/>
      <c r="T239" s="1"/>
      <c r="U239" s="1"/>
      <c r="V239" s="1"/>
    </row>
    <row r="240" spans="11:22">
      <c r="K240" s="1"/>
      <c r="L240" s="1"/>
      <c r="M240" s="1"/>
      <c r="N240" s="1"/>
      <c r="O240" s="1"/>
      <c r="P240" s="1"/>
      <c r="Q240" s="1"/>
      <c r="R240" s="1"/>
      <c r="S240" s="1"/>
      <c r="T240" s="1"/>
      <c r="U240" s="1"/>
      <c r="V240" s="1"/>
    </row>
    <row r="241" spans="11:22">
      <c r="K241" s="1"/>
      <c r="L241" s="1"/>
      <c r="M241" s="1"/>
      <c r="N241" s="1"/>
      <c r="O241" s="1"/>
      <c r="P241" s="1"/>
      <c r="Q241" s="1"/>
      <c r="R241" s="1"/>
      <c r="S241" s="1"/>
      <c r="T241" s="1"/>
      <c r="U241" s="1"/>
      <c r="V241" s="1"/>
    </row>
    <row r="242" spans="11:22">
      <c r="K242" s="1"/>
      <c r="L242" s="1"/>
      <c r="M242" s="1"/>
      <c r="N242" s="1"/>
      <c r="O242" s="1"/>
      <c r="P242" s="1"/>
      <c r="Q242" s="1"/>
      <c r="R242" s="1"/>
      <c r="S242" s="1"/>
      <c r="T242" s="1"/>
      <c r="U242" s="1"/>
      <c r="V242" s="1"/>
    </row>
    <row r="243" spans="11:22">
      <c r="K243" s="1"/>
      <c r="L243" s="1"/>
      <c r="M243" s="1"/>
      <c r="N243" s="1"/>
      <c r="O243" s="1"/>
      <c r="P243" s="1"/>
      <c r="Q243" s="1"/>
      <c r="R243" s="1"/>
      <c r="S243" s="1"/>
      <c r="T243" s="1"/>
      <c r="U243" s="1"/>
      <c r="V243" s="1"/>
    </row>
    <row r="244" spans="11:22">
      <c r="K244" s="1"/>
      <c r="L244" s="1"/>
      <c r="M244" s="1"/>
      <c r="N244" s="1"/>
      <c r="O244" s="1"/>
      <c r="P244" s="1"/>
      <c r="Q244" s="1"/>
      <c r="R244" s="1"/>
      <c r="S244" s="1"/>
      <c r="T244" s="1"/>
      <c r="U244" s="1"/>
      <c r="V244" s="1"/>
    </row>
    <row r="245" spans="11:22">
      <c r="K245" s="1"/>
      <c r="L245" s="1"/>
      <c r="M245" s="1"/>
      <c r="N245" s="1"/>
      <c r="O245" s="1"/>
      <c r="P245" s="1"/>
      <c r="Q245" s="1"/>
      <c r="R245" s="1"/>
      <c r="S245" s="1"/>
      <c r="T245" s="1"/>
      <c r="U245" s="1"/>
      <c r="V245" s="1"/>
    </row>
    <row r="246" spans="11:22">
      <c r="K246" s="1"/>
      <c r="L246" s="1"/>
      <c r="M246" s="1"/>
      <c r="N246" s="1"/>
      <c r="O246" s="1"/>
      <c r="P246" s="1"/>
      <c r="Q246" s="1"/>
      <c r="R246" s="1"/>
      <c r="S246" s="1"/>
      <c r="T246" s="1"/>
      <c r="U246" s="1"/>
      <c r="V246" s="1"/>
    </row>
    <row r="247" spans="11:22">
      <c r="K247" s="1"/>
      <c r="L247" s="1"/>
      <c r="M247" s="1"/>
      <c r="N247" s="1"/>
      <c r="O247" s="1"/>
      <c r="P247" s="1"/>
      <c r="Q247" s="1"/>
      <c r="R247" s="1"/>
      <c r="S247" s="1"/>
      <c r="T247" s="1"/>
      <c r="U247" s="1"/>
      <c r="V247" s="1"/>
    </row>
    <row r="248" spans="11:22">
      <c r="K248" s="1"/>
      <c r="L248" s="1"/>
      <c r="M248" s="1"/>
      <c r="N248" s="1"/>
      <c r="O248" s="1"/>
      <c r="P248" s="1"/>
      <c r="Q248" s="1"/>
      <c r="R248" s="1"/>
      <c r="S248" s="1"/>
      <c r="T248" s="1"/>
      <c r="U248" s="1"/>
      <c r="V248" s="1"/>
    </row>
    <row r="249" spans="11:22">
      <c r="K249" s="1"/>
      <c r="L249" s="1"/>
      <c r="M249" s="1"/>
      <c r="N249" s="1"/>
      <c r="O249" s="1"/>
      <c r="P249" s="1"/>
      <c r="Q249" s="1"/>
      <c r="R249" s="1"/>
      <c r="S249" s="1"/>
      <c r="T249" s="1"/>
      <c r="U249" s="1"/>
      <c r="V249" s="1"/>
    </row>
    <row r="250" spans="11:22">
      <c r="K250" s="1"/>
      <c r="L250" s="1"/>
      <c r="M250" s="1"/>
      <c r="N250" s="1"/>
      <c r="O250" s="1"/>
      <c r="P250" s="1"/>
      <c r="Q250" s="1"/>
      <c r="R250" s="1"/>
      <c r="S250" s="1"/>
      <c r="T250" s="1"/>
      <c r="U250" s="1"/>
      <c r="V250" s="1"/>
    </row>
    <row r="251" spans="11:22">
      <c r="K251" s="1"/>
      <c r="L251" s="1"/>
      <c r="M251" s="1"/>
      <c r="N251" s="1"/>
      <c r="O251" s="1"/>
      <c r="P251" s="1"/>
      <c r="Q251" s="1"/>
      <c r="R251" s="1"/>
      <c r="S251" s="1"/>
      <c r="T251" s="1"/>
      <c r="U251" s="1"/>
      <c r="V251" s="1"/>
    </row>
    <row r="252" spans="11:22">
      <c r="K252" s="1"/>
      <c r="L252" s="1"/>
      <c r="M252" s="1"/>
      <c r="N252" s="1"/>
      <c r="O252" s="1"/>
      <c r="P252" s="1"/>
      <c r="Q252" s="1"/>
      <c r="R252" s="1"/>
      <c r="S252" s="1"/>
      <c r="T252" s="1"/>
      <c r="U252" s="1"/>
      <c r="V252" s="1"/>
    </row>
    <row r="253" spans="11:22">
      <c r="K253" s="1"/>
      <c r="L253" s="1"/>
      <c r="M253" s="1"/>
      <c r="N253" s="1"/>
      <c r="O253" s="1"/>
      <c r="P253" s="1"/>
      <c r="Q253" s="1"/>
      <c r="R253" s="1"/>
      <c r="S253" s="1"/>
      <c r="T253" s="1"/>
      <c r="U253" s="1"/>
      <c r="V253" s="1"/>
    </row>
    <row r="254" spans="11:22">
      <c r="K254" s="1"/>
      <c r="L254" s="1"/>
      <c r="M254" s="1"/>
      <c r="N254" s="1"/>
      <c r="O254" s="1"/>
      <c r="P254" s="1"/>
      <c r="Q254" s="1"/>
      <c r="R254" s="1"/>
      <c r="S254" s="1"/>
      <c r="T254" s="1"/>
      <c r="U254" s="1"/>
      <c r="V254" s="1"/>
    </row>
    <row r="255" spans="11:22">
      <c r="K255" s="1"/>
      <c r="L255" s="1"/>
      <c r="M255" s="1"/>
      <c r="N255" s="1"/>
      <c r="O255" s="1"/>
      <c r="P255" s="1"/>
      <c r="Q255" s="1"/>
      <c r="R255" s="1"/>
      <c r="S255" s="1"/>
      <c r="T255" s="1"/>
      <c r="U255" s="1"/>
      <c r="V255" s="1"/>
    </row>
    <row r="256" spans="11:22">
      <c r="K256" s="1"/>
      <c r="L256" s="1"/>
      <c r="M256" s="1"/>
      <c r="N256" s="1"/>
      <c r="O256" s="1"/>
      <c r="P256" s="1"/>
      <c r="Q256" s="1"/>
      <c r="R256" s="1"/>
      <c r="S256" s="1"/>
      <c r="T256" s="1"/>
      <c r="U256" s="1"/>
      <c r="V256" s="1"/>
    </row>
    <row r="257" spans="11:22">
      <c r="K257" s="1"/>
      <c r="L257" s="1"/>
      <c r="M257" s="1"/>
      <c r="N257" s="1"/>
      <c r="O257" s="1"/>
      <c r="P257" s="1"/>
      <c r="Q257" s="1"/>
      <c r="R257" s="1"/>
      <c r="S257" s="1"/>
      <c r="T257" s="1"/>
      <c r="U257" s="1"/>
      <c r="V257" s="1"/>
    </row>
    <row r="258" spans="11:22">
      <c r="K258" s="1"/>
      <c r="L258" s="1"/>
      <c r="M258" s="1"/>
      <c r="N258" s="1"/>
      <c r="O258" s="1"/>
      <c r="P258" s="1"/>
      <c r="Q258" s="1"/>
      <c r="R258" s="1"/>
      <c r="S258" s="1"/>
      <c r="T258" s="1"/>
      <c r="U258" s="1"/>
      <c r="V258" s="1"/>
    </row>
    <row r="259" spans="11:22">
      <c r="K259" s="1"/>
      <c r="L259" s="1"/>
      <c r="M259" s="1"/>
      <c r="N259" s="1"/>
      <c r="O259" s="1"/>
      <c r="P259" s="1"/>
      <c r="Q259" s="1"/>
      <c r="R259" s="1"/>
      <c r="S259" s="1"/>
      <c r="T259" s="1"/>
      <c r="U259" s="1"/>
      <c r="V259" s="1"/>
    </row>
    <row r="260" spans="11:22">
      <c r="K260" s="1"/>
      <c r="L260" s="1"/>
      <c r="M260" s="1"/>
      <c r="N260" s="1"/>
      <c r="O260" s="1"/>
      <c r="P260" s="1"/>
      <c r="Q260" s="1"/>
      <c r="R260" s="1"/>
      <c r="S260" s="1"/>
      <c r="T260" s="1"/>
      <c r="U260" s="1"/>
      <c r="V260" s="1"/>
    </row>
    <row r="261" spans="11:22">
      <c r="K261" s="1"/>
      <c r="L261" s="1"/>
      <c r="M261" s="1"/>
      <c r="N261" s="1"/>
      <c r="O261" s="1"/>
      <c r="P261" s="1"/>
      <c r="Q261" s="1"/>
      <c r="R261" s="1"/>
      <c r="S261" s="1"/>
      <c r="T261" s="1"/>
      <c r="U261" s="1"/>
      <c r="V261" s="1"/>
    </row>
    <row r="262" spans="11:22">
      <c r="K262" s="1"/>
      <c r="L262" s="1"/>
      <c r="M262" s="1"/>
      <c r="N262" s="1"/>
      <c r="O262" s="1"/>
      <c r="P262" s="1"/>
      <c r="Q262" s="1"/>
      <c r="R262" s="1"/>
      <c r="S262" s="1"/>
      <c r="T262" s="1"/>
      <c r="U262" s="1"/>
      <c r="V262" s="1"/>
    </row>
    <row r="263" spans="11:22">
      <c r="K263" s="1"/>
      <c r="L263" s="1"/>
      <c r="M263" s="1"/>
      <c r="N263" s="1"/>
      <c r="O263" s="1"/>
      <c r="P263" s="1"/>
      <c r="Q263" s="1"/>
      <c r="R263" s="1"/>
      <c r="S263" s="1"/>
      <c r="T263" s="1"/>
      <c r="U263" s="1"/>
      <c r="V263" s="1"/>
    </row>
    <row r="264" spans="11:22">
      <c r="K264" s="1"/>
      <c r="L264" s="1"/>
      <c r="M264" s="1"/>
      <c r="N264" s="1"/>
      <c r="O264" s="1"/>
      <c r="P264" s="1"/>
      <c r="Q264" s="1"/>
      <c r="R264" s="1"/>
      <c r="S264" s="1"/>
      <c r="T264" s="1"/>
      <c r="U264" s="1"/>
      <c r="V264" s="1"/>
    </row>
    <row r="265" spans="11:22">
      <c r="K265" s="1"/>
      <c r="L265" s="1"/>
      <c r="M265" s="1"/>
      <c r="N265" s="1"/>
      <c r="O265" s="1"/>
      <c r="P265" s="1"/>
      <c r="Q265" s="1"/>
      <c r="R265" s="1"/>
      <c r="S265" s="1"/>
      <c r="T265" s="1"/>
      <c r="U265" s="1"/>
      <c r="V265" s="1"/>
    </row>
    <row r="266" spans="11:22">
      <c r="K266" s="1"/>
      <c r="L266" s="1"/>
      <c r="M266" s="1"/>
      <c r="N266" s="1"/>
      <c r="O266" s="1"/>
      <c r="P266" s="1"/>
      <c r="Q266" s="1"/>
      <c r="R266" s="1"/>
      <c r="S266" s="1"/>
      <c r="T266" s="1"/>
      <c r="U266" s="1"/>
      <c r="V266" s="1"/>
    </row>
    <row r="267" spans="11:22">
      <c r="K267" s="1"/>
      <c r="L267" s="1"/>
      <c r="M267" s="1"/>
      <c r="N267" s="1"/>
      <c r="O267" s="1"/>
      <c r="P267" s="1"/>
      <c r="Q267" s="1"/>
      <c r="R267" s="1"/>
      <c r="S267" s="1"/>
      <c r="T267" s="1"/>
      <c r="U267" s="1"/>
      <c r="V267" s="1"/>
    </row>
    <row r="268" spans="11:22">
      <c r="K268" s="1"/>
      <c r="L268" s="1"/>
      <c r="M268" s="1"/>
      <c r="N268" s="1"/>
      <c r="O268" s="1"/>
      <c r="P268" s="1"/>
      <c r="Q268" s="1"/>
      <c r="R268" s="1"/>
      <c r="S268" s="1"/>
      <c r="T268" s="1"/>
      <c r="U268" s="1"/>
      <c r="V268" s="1"/>
    </row>
    <row r="269" spans="11:22">
      <c r="K269" s="1"/>
      <c r="L269" s="1"/>
      <c r="M269" s="1"/>
      <c r="N269" s="1"/>
      <c r="O269" s="1"/>
      <c r="P269" s="1"/>
      <c r="Q269" s="1"/>
      <c r="R269" s="1"/>
      <c r="S269" s="1"/>
      <c r="T269" s="1"/>
      <c r="U269" s="1"/>
      <c r="V269" s="1"/>
    </row>
    <row r="270" spans="11:22">
      <c r="K270" s="1"/>
      <c r="L270" s="1"/>
      <c r="M270" s="1"/>
      <c r="N270" s="1"/>
      <c r="O270" s="1"/>
      <c r="P270" s="1"/>
      <c r="Q270" s="1"/>
      <c r="R270" s="1"/>
      <c r="S270" s="1"/>
      <c r="T270" s="1"/>
      <c r="U270" s="1"/>
      <c r="V270" s="1"/>
    </row>
    <row r="271" spans="11:22">
      <c r="K271" s="1"/>
      <c r="L271" s="1"/>
      <c r="M271" s="1"/>
      <c r="N271" s="1"/>
      <c r="O271" s="1"/>
      <c r="P271" s="1"/>
      <c r="Q271" s="1"/>
      <c r="R271" s="1"/>
      <c r="S271" s="1"/>
      <c r="T271" s="1"/>
      <c r="U271" s="1"/>
      <c r="V271" s="1"/>
    </row>
    <row r="272" spans="11:22">
      <c r="K272" s="1"/>
      <c r="L272" s="1"/>
      <c r="M272" s="1"/>
      <c r="N272" s="1"/>
      <c r="O272" s="1"/>
      <c r="P272" s="1"/>
      <c r="Q272" s="1"/>
      <c r="R272" s="1"/>
      <c r="S272" s="1"/>
      <c r="T272" s="1"/>
      <c r="U272" s="1"/>
      <c r="V272" s="1"/>
    </row>
    <row r="273" spans="11:22">
      <c r="K273" s="1"/>
      <c r="L273" s="1"/>
      <c r="M273" s="1"/>
      <c r="N273" s="1"/>
      <c r="O273" s="1"/>
      <c r="P273" s="1"/>
      <c r="Q273" s="1"/>
      <c r="R273" s="1"/>
      <c r="S273" s="1"/>
      <c r="T273" s="1"/>
      <c r="U273" s="1"/>
      <c r="V273" s="1"/>
    </row>
    <row r="274" spans="11:22">
      <c r="K274" s="1"/>
      <c r="L274" s="1"/>
      <c r="M274" s="1"/>
      <c r="N274" s="1"/>
      <c r="O274" s="1"/>
      <c r="P274" s="1"/>
      <c r="Q274" s="1"/>
      <c r="R274" s="1"/>
      <c r="S274" s="1"/>
      <c r="T274" s="1"/>
      <c r="U274" s="1"/>
      <c r="V274" s="1"/>
    </row>
    <row r="275" spans="11:22">
      <c r="K275" s="1"/>
      <c r="L275" s="1"/>
      <c r="M275" s="1"/>
      <c r="N275" s="1"/>
      <c r="O275" s="1"/>
      <c r="P275" s="1"/>
      <c r="Q275" s="1"/>
      <c r="R275" s="1"/>
      <c r="S275" s="1"/>
      <c r="T275" s="1"/>
      <c r="U275" s="1"/>
      <c r="V275" s="1"/>
    </row>
    <row r="276" spans="11:22">
      <c r="K276" s="1"/>
      <c r="L276" s="1"/>
      <c r="M276" s="1"/>
      <c r="N276" s="1"/>
      <c r="O276" s="1"/>
      <c r="P276" s="1"/>
      <c r="Q276" s="1"/>
      <c r="R276" s="1"/>
      <c r="S276" s="1"/>
      <c r="T276" s="1"/>
      <c r="U276" s="1"/>
      <c r="V276" s="1"/>
    </row>
    <row r="277" spans="11:22">
      <c r="K277" s="1"/>
      <c r="L277" s="1"/>
      <c r="M277" s="1"/>
      <c r="N277" s="1"/>
      <c r="O277" s="1"/>
      <c r="P277" s="1"/>
      <c r="Q277" s="1"/>
      <c r="R277" s="1"/>
      <c r="S277" s="1"/>
      <c r="T277" s="1"/>
      <c r="U277" s="1"/>
      <c r="V277" s="1"/>
    </row>
    <row r="278" spans="11:22">
      <c r="K278" s="1"/>
      <c r="L278" s="1"/>
      <c r="M278" s="1"/>
      <c r="N278" s="1"/>
      <c r="O278" s="1"/>
      <c r="P278" s="1"/>
      <c r="Q278" s="1"/>
      <c r="R278" s="1"/>
      <c r="S278" s="1"/>
      <c r="T278" s="1"/>
      <c r="U278" s="1"/>
      <c r="V278" s="1"/>
    </row>
    <row r="279" spans="11:22">
      <c r="K279" s="1"/>
      <c r="L279" s="1"/>
      <c r="M279" s="1"/>
      <c r="N279" s="1"/>
      <c r="O279" s="1"/>
      <c r="P279" s="1"/>
      <c r="Q279" s="1"/>
      <c r="R279" s="1"/>
      <c r="S279" s="1"/>
      <c r="T279" s="1"/>
      <c r="U279" s="1"/>
      <c r="V279" s="1"/>
    </row>
    <row r="280" spans="11:22">
      <c r="K280" s="1"/>
      <c r="L280" s="1"/>
      <c r="M280" s="1"/>
      <c r="N280" s="1"/>
      <c r="O280" s="1"/>
      <c r="P280" s="1"/>
      <c r="Q280" s="1"/>
      <c r="R280" s="1"/>
      <c r="S280" s="1"/>
      <c r="T280" s="1"/>
      <c r="U280" s="1"/>
      <c r="V280" s="1"/>
    </row>
    <row r="281" spans="11:22">
      <c r="K281" s="1"/>
      <c r="L281" s="1"/>
      <c r="M281" s="1"/>
      <c r="N281" s="1"/>
      <c r="O281" s="1"/>
      <c r="P281" s="1"/>
      <c r="Q281" s="1"/>
      <c r="R281" s="1"/>
      <c r="S281" s="1"/>
      <c r="T281" s="1"/>
      <c r="U281" s="1"/>
      <c r="V281" s="1"/>
    </row>
    <row r="282" spans="11:22">
      <c r="K282" s="1"/>
      <c r="L282" s="1"/>
      <c r="M282" s="1"/>
      <c r="N282" s="1"/>
      <c r="O282" s="1"/>
      <c r="P282" s="1"/>
      <c r="Q282" s="1"/>
      <c r="R282" s="1"/>
      <c r="S282" s="1"/>
      <c r="T282" s="1"/>
      <c r="U282" s="1"/>
      <c r="V282" s="1"/>
    </row>
    <row r="283" spans="11:22">
      <c r="K283" s="1"/>
      <c r="L283" s="1"/>
      <c r="M283" s="1"/>
      <c r="N283" s="1"/>
      <c r="O283" s="1"/>
      <c r="P283" s="1"/>
      <c r="Q283" s="1"/>
      <c r="R283" s="1"/>
      <c r="S283" s="1"/>
      <c r="T283" s="1"/>
      <c r="U283" s="1"/>
      <c r="V283" s="1"/>
    </row>
    <row r="284" spans="11:22">
      <c r="K284" s="1"/>
      <c r="L284" s="1"/>
      <c r="M284" s="1"/>
      <c r="N284" s="1"/>
      <c r="O284" s="1"/>
      <c r="P284" s="1"/>
      <c r="Q284" s="1"/>
      <c r="R284" s="1"/>
      <c r="S284" s="1"/>
      <c r="T284" s="1"/>
      <c r="U284" s="1"/>
      <c r="V284" s="1"/>
    </row>
    <row r="285" spans="11:22">
      <c r="K285" s="1"/>
      <c r="L285" s="1"/>
      <c r="M285" s="1"/>
      <c r="N285" s="1"/>
      <c r="O285" s="1"/>
      <c r="P285" s="1"/>
      <c r="Q285" s="1"/>
      <c r="R285" s="1"/>
      <c r="S285" s="1"/>
      <c r="T285" s="1"/>
      <c r="U285" s="1"/>
      <c r="V285" s="1"/>
    </row>
    <row r="286" spans="11:22">
      <c r="K286" s="1"/>
      <c r="L286" s="1"/>
      <c r="M286" s="1"/>
      <c r="N286" s="1"/>
      <c r="O286" s="1"/>
      <c r="P286" s="1"/>
      <c r="Q286" s="1"/>
      <c r="R286" s="1"/>
      <c r="S286" s="1"/>
      <c r="T286" s="1"/>
      <c r="U286" s="1"/>
      <c r="V286" s="1"/>
    </row>
    <row r="287" spans="11:22">
      <c r="K287" s="1"/>
      <c r="L287" s="1"/>
      <c r="M287" s="1"/>
      <c r="N287" s="1"/>
      <c r="O287" s="1"/>
      <c r="P287" s="1"/>
      <c r="Q287" s="1"/>
      <c r="R287" s="1"/>
      <c r="S287" s="1"/>
      <c r="T287" s="1"/>
      <c r="U287" s="1"/>
      <c r="V287" s="1"/>
    </row>
    <row r="288" spans="11:22">
      <c r="K288" s="1"/>
      <c r="L288" s="1"/>
      <c r="M288" s="1"/>
      <c r="N288" s="1"/>
      <c r="O288" s="1"/>
      <c r="P288" s="1"/>
      <c r="Q288" s="1"/>
      <c r="R288" s="1"/>
      <c r="S288" s="1"/>
      <c r="T288" s="1"/>
      <c r="U288" s="1"/>
      <c r="V288" s="1"/>
    </row>
    <row r="289" spans="11:22">
      <c r="K289" s="1"/>
      <c r="L289" s="1"/>
      <c r="M289" s="1"/>
      <c r="N289" s="1"/>
      <c r="O289" s="1"/>
      <c r="P289" s="1"/>
      <c r="Q289" s="1"/>
      <c r="R289" s="1"/>
      <c r="S289" s="1"/>
      <c r="T289" s="1"/>
      <c r="U289" s="1"/>
      <c r="V289" s="1"/>
    </row>
    <row r="290" spans="11:22">
      <c r="K290" s="1"/>
      <c r="L290" s="1"/>
      <c r="M290" s="1"/>
      <c r="N290" s="1"/>
      <c r="O290" s="1"/>
      <c r="P290" s="1"/>
      <c r="Q290" s="1"/>
      <c r="R290" s="1"/>
      <c r="S290" s="1"/>
      <c r="T290" s="1"/>
      <c r="U290" s="1"/>
      <c r="V290" s="1"/>
    </row>
    <row r="291" spans="11:22">
      <c r="K291" s="1"/>
      <c r="L291" s="1"/>
      <c r="M291" s="1"/>
      <c r="N291" s="1"/>
      <c r="O291" s="1"/>
      <c r="P291" s="1"/>
      <c r="Q291" s="1"/>
      <c r="R291" s="1"/>
      <c r="S291" s="1"/>
      <c r="T291" s="1"/>
      <c r="U291" s="1"/>
      <c r="V291" s="1"/>
    </row>
    <row r="292" spans="11:22">
      <c r="K292" s="1"/>
      <c r="L292" s="1"/>
      <c r="M292" s="1"/>
      <c r="N292" s="1"/>
      <c r="O292" s="1"/>
      <c r="P292" s="1"/>
      <c r="Q292" s="1"/>
      <c r="R292" s="1"/>
      <c r="S292" s="1"/>
      <c r="T292" s="1"/>
      <c r="U292" s="1"/>
      <c r="V292" s="1"/>
    </row>
    <row r="293" spans="11:22">
      <c r="K293" s="1"/>
      <c r="L293" s="1"/>
      <c r="M293" s="1"/>
      <c r="N293" s="1"/>
      <c r="O293" s="1"/>
      <c r="P293" s="1"/>
      <c r="Q293" s="1"/>
      <c r="R293" s="1"/>
      <c r="S293" s="1"/>
      <c r="T293" s="1"/>
      <c r="U293" s="1"/>
      <c r="V293" s="1"/>
    </row>
    <row r="294" spans="11:22">
      <c r="K294" s="1"/>
      <c r="L294" s="1"/>
      <c r="M294" s="1"/>
      <c r="N294" s="1"/>
      <c r="O294" s="1"/>
      <c r="P294" s="1"/>
      <c r="Q294" s="1"/>
      <c r="R294" s="1"/>
      <c r="S294" s="1"/>
      <c r="T294" s="1"/>
      <c r="U294" s="1"/>
      <c r="V294" s="1"/>
    </row>
    <row r="295" spans="11:22">
      <c r="K295" s="1"/>
      <c r="L295" s="1"/>
      <c r="M295" s="1"/>
      <c r="N295" s="1"/>
      <c r="O295" s="1"/>
      <c r="P295" s="1"/>
      <c r="Q295" s="1"/>
      <c r="R295" s="1"/>
      <c r="S295" s="1"/>
      <c r="T295" s="1"/>
      <c r="U295" s="1"/>
      <c r="V295" s="1"/>
    </row>
    <row r="296" spans="11:22">
      <c r="K296" s="1"/>
      <c r="L296" s="1"/>
      <c r="M296" s="1"/>
      <c r="N296" s="1"/>
      <c r="O296" s="1"/>
      <c r="P296" s="1"/>
      <c r="Q296" s="1"/>
      <c r="R296" s="1"/>
      <c r="S296" s="1"/>
      <c r="T296" s="1"/>
      <c r="U296" s="1"/>
      <c r="V296" s="1"/>
    </row>
    <row r="297" spans="11:22">
      <c r="K297" s="1"/>
      <c r="L297" s="1"/>
      <c r="M297" s="1"/>
      <c r="N297" s="1"/>
      <c r="O297" s="1"/>
      <c r="P297" s="1"/>
      <c r="Q297" s="1"/>
      <c r="R297" s="1"/>
      <c r="S297" s="1"/>
      <c r="T297" s="1"/>
      <c r="U297" s="1"/>
      <c r="V297" s="1"/>
    </row>
    <row r="298" spans="11:22">
      <c r="K298" s="1"/>
      <c r="L298" s="1"/>
      <c r="M298" s="1"/>
      <c r="N298" s="1"/>
      <c r="O298" s="1"/>
      <c r="P298" s="1"/>
      <c r="Q298" s="1"/>
      <c r="R298" s="1"/>
      <c r="S298" s="1"/>
      <c r="T298" s="1"/>
      <c r="U298" s="1"/>
      <c r="V298" s="1"/>
    </row>
    <row r="299" spans="11:22">
      <c r="K299" s="1"/>
      <c r="L299" s="1"/>
      <c r="M299" s="1"/>
      <c r="N299" s="1"/>
      <c r="O299" s="1"/>
      <c r="P299" s="1"/>
      <c r="Q299" s="1"/>
      <c r="R299" s="1"/>
      <c r="S299" s="1"/>
      <c r="T299" s="1"/>
      <c r="U299" s="1"/>
      <c r="V299" s="1"/>
    </row>
    <row r="300" spans="11:22">
      <c r="K300" s="1"/>
      <c r="L300" s="1"/>
      <c r="M300" s="1"/>
      <c r="N300" s="1"/>
      <c r="O300" s="1"/>
      <c r="P300" s="1"/>
      <c r="Q300" s="1"/>
      <c r="R300" s="1"/>
      <c r="S300" s="1"/>
      <c r="T300" s="1"/>
      <c r="U300" s="1"/>
      <c r="V300" s="1"/>
    </row>
    <row r="301" spans="11:22">
      <c r="K301" s="1"/>
      <c r="L301" s="1"/>
      <c r="M301" s="1"/>
      <c r="N301" s="1"/>
      <c r="O301" s="1"/>
      <c r="P301" s="1"/>
      <c r="Q301" s="1"/>
      <c r="R301" s="1"/>
      <c r="S301" s="1"/>
      <c r="T301" s="1"/>
      <c r="U301" s="1"/>
      <c r="V301" s="1"/>
    </row>
    <row r="302" spans="11:22">
      <c r="K302" s="1"/>
      <c r="L302" s="1"/>
      <c r="M302" s="1"/>
      <c r="N302" s="1"/>
      <c r="O302" s="1"/>
      <c r="P302" s="1"/>
      <c r="Q302" s="1"/>
      <c r="R302" s="1"/>
      <c r="S302" s="1"/>
      <c r="T302" s="1"/>
      <c r="U302" s="1"/>
      <c r="V302" s="1"/>
    </row>
    <row r="303" spans="11:22">
      <c r="K303" s="1"/>
      <c r="L303" s="1"/>
      <c r="M303" s="1"/>
      <c r="N303" s="1"/>
      <c r="O303" s="1"/>
      <c r="P303" s="1"/>
      <c r="Q303" s="1"/>
      <c r="R303" s="1"/>
      <c r="S303" s="1"/>
      <c r="T303" s="1"/>
      <c r="U303" s="1"/>
      <c r="V303" s="1"/>
    </row>
    <row r="304" spans="11:22">
      <c r="K304" s="1"/>
      <c r="L304" s="1"/>
      <c r="M304" s="1"/>
      <c r="N304" s="1"/>
      <c r="O304" s="1"/>
      <c r="P304" s="1"/>
      <c r="Q304" s="1"/>
      <c r="R304" s="1"/>
      <c r="S304" s="1"/>
      <c r="T304" s="1"/>
      <c r="U304" s="1"/>
      <c r="V304" s="1"/>
    </row>
    <row r="305" spans="11:22">
      <c r="K305" s="1"/>
      <c r="L305" s="1"/>
      <c r="M305" s="1"/>
      <c r="N305" s="1"/>
      <c r="O305" s="1"/>
      <c r="P305" s="1"/>
      <c r="Q305" s="1"/>
      <c r="R305" s="1"/>
      <c r="S305" s="1"/>
      <c r="T305" s="1"/>
      <c r="U305" s="1"/>
      <c r="V305" s="1"/>
    </row>
    <row r="306" spans="11:22">
      <c r="K306" s="1"/>
      <c r="L306" s="1"/>
      <c r="M306" s="1"/>
      <c r="N306" s="1"/>
      <c r="O306" s="1"/>
      <c r="P306" s="1"/>
      <c r="Q306" s="1"/>
      <c r="R306" s="1"/>
      <c r="S306" s="1"/>
      <c r="T306" s="1"/>
      <c r="U306" s="1"/>
      <c r="V306" s="1"/>
    </row>
    <row r="307" spans="11:22">
      <c r="K307" s="1"/>
      <c r="L307" s="1"/>
      <c r="M307" s="1"/>
      <c r="N307" s="1"/>
      <c r="O307" s="1"/>
      <c r="P307" s="1"/>
      <c r="Q307" s="1"/>
      <c r="R307" s="1"/>
      <c r="S307" s="1"/>
      <c r="T307" s="1"/>
      <c r="U307" s="1"/>
      <c r="V307" s="1"/>
    </row>
    <row r="308" spans="11:22">
      <c r="K308" s="1"/>
      <c r="L308" s="1"/>
      <c r="M308" s="1"/>
      <c r="N308" s="1"/>
      <c r="O308" s="1"/>
      <c r="P308" s="1"/>
      <c r="Q308" s="1"/>
      <c r="R308" s="1"/>
      <c r="S308" s="1"/>
      <c r="T308" s="1"/>
      <c r="U308" s="1"/>
      <c r="V308" s="1"/>
    </row>
    <row r="309" spans="11:22">
      <c r="K309" s="1"/>
      <c r="L309" s="1"/>
      <c r="M309" s="1"/>
      <c r="N309" s="1"/>
      <c r="O309" s="1"/>
      <c r="P309" s="1"/>
      <c r="Q309" s="1"/>
      <c r="R309" s="1"/>
      <c r="S309" s="1"/>
      <c r="T309" s="1"/>
      <c r="U309" s="1"/>
      <c r="V309" s="1"/>
    </row>
    <row r="310" spans="11:22">
      <c r="K310" s="1"/>
      <c r="L310" s="1"/>
      <c r="M310" s="1"/>
      <c r="N310" s="1"/>
      <c r="O310" s="1"/>
      <c r="P310" s="1"/>
      <c r="Q310" s="1"/>
      <c r="R310" s="1"/>
      <c r="S310" s="1"/>
      <c r="T310" s="1"/>
      <c r="U310" s="1"/>
      <c r="V310" s="1"/>
    </row>
    <row r="311" spans="11:22">
      <c r="K311" s="1"/>
      <c r="L311" s="1"/>
      <c r="M311" s="1"/>
      <c r="N311" s="1"/>
      <c r="O311" s="1"/>
      <c r="P311" s="1"/>
      <c r="Q311" s="1"/>
      <c r="R311" s="1"/>
      <c r="S311" s="1"/>
      <c r="T311" s="1"/>
      <c r="U311" s="1"/>
      <c r="V311" s="1"/>
    </row>
    <row r="312" spans="11:22">
      <c r="K312" s="1"/>
      <c r="L312" s="1"/>
      <c r="M312" s="1"/>
      <c r="N312" s="1"/>
      <c r="O312" s="1"/>
      <c r="P312" s="1"/>
      <c r="Q312" s="1"/>
      <c r="R312" s="1"/>
      <c r="S312" s="1"/>
      <c r="T312" s="1"/>
      <c r="U312" s="1"/>
      <c r="V312" s="1"/>
    </row>
    <row r="313" spans="11:22">
      <c r="K313" s="1"/>
      <c r="L313" s="1"/>
      <c r="M313" s="1"/>
      <c r="N313" s="1"/>
      <c r="O313" s="1"/>
      <c r="P313" s="1"/>
      <c r="Q313" s="1"/>
      <c r="R313" s="1"/>
      <c r="S313" s="1"/>
      <c r="T313" s="1"/>
      <c r="U313" s="1"/>
      <c r="V313" s="1"/>
    </row>
    <row r="314" spans="11:22">
      <c r="K314" s="1"/>
      <c r="L314" s="1"/>
      <c r="M314" s="1"/>
      <c r="N314" s="1"/>
      <c r="O314" s="1"/>
      <c r="P314" s="1"/>
      <c r="Q314" s="1"/>
      <c r="R314" s="1"/>
      <c r="S314" s="1"/>
      <c r="T314" s="1"/>
      <c r="U314" s="1"/>
      <c r="V314" s="1"/>
    </row>
    <row r="315" spans="11:22">
      <c r="K315" s="1"/>
      <c r="L315" s="1"/>
      <c r="M315" s="1"/>
      <c r="N315" s="1"/>
      <c r="O315" s="1"/>
      <c r="P315" s="1"/>
      <c r="Q315" s="1"/>
      <c r="R315" s="1"/>
      <c r="S315" s="1"/>
      <c r="T315" s="1"/>
      <c r="U315" s="1"/>
      <c r="V315" s="1"/>
    </row>
    <row r="316" spans="11:22">
      <c r="K316" s="1"/>
      <c r="L316" s="1"/>
      <c r="M316" s="1"/>
      <c r="N316" s="1"/>
      <c r="O316" s="1"/>
      <c r="P316" s="1"/>
      <c r="Q316" s="1"/>
      <c r="R316" s="1"/>
      <c r="S316" s="1"/>
      <c r="T316" s="1"/>
      <c r="U316" s="1"/>
      <c r="V316" s="1"/>
    </row>
    <row r="317" spans="11:22">
      <c r="K317" s="1"/>
      <c r="L317" s="1"/>
      <c r="M317" s="1"/>
      <c r="N317" s="1"/>
      <c r="O317" s="1"/>
      <c r="P317" s="1"/>
      <c r="Q317" s="1"/>
      <c r="R317" s="1"/>
      <c r="S317" s="1"/>
      <c r="T317" s="1"/>
      <c r="U317" s="1"/>
      <c r="V317" s="1"/>
    </row>
    <row r="318" spans="11:22">
      <c r="K318" s="1"/>
      <c r="L318" s="1"/>
      <c r="M318" s="1"/>
      <c r="N318" s="1"/>
      <c r="O318" s="1"/>
      <c r="P318" s="1"/>
      <c r="Q318" s="1"/>
      <c r="R318" s="1"/>
      <c r="S318" s="1"/>
      <c r="T318" s="1"/>
      <c r="U318" s="1"/>
      <c r="V318" s="1"/>
    </row>
    <row r="319" spans="11:22">
      <c r="K319" s="1"/>
      <c r="L319" s="1"/>
      <c r="M319" s="1"/>
      <c r="N319" s="1"/>
      <c r="O319" s="1"/>
      <c r="P319" s="1"/>
      <c r="Q319" s="1"/>
      <c r="R319" s="1"/>
      <c r="S319" s="1"/>
      <c r="T319" s="1"/>
      <c r="U319" s="1"/>
      <c r="V319" s="1"/>
    </row>
    <row r="320" spans="11:22">
      <c r="K320" s="1"/>
      <c r="L320" s="1"/>
      <c r="M320" s="1"/>
      <c r="N320" s="1"/>
      <c r="O320" s="1"/>
      <c r="P320" s="1"/>
      <c r="Q320" s="1"/>
      <c r="R320" s="1"/>
      <c r="S320" s="1"/>
      <c r="T320" s="1"/>
      <c r="U320" s="1"/>
      <c r="V320" s="1"/>
    </row>
    <row r="321" spans="11:22">
      <c r="K321" s="1"/>
      <c r="L321" s="1"/>
      <c r="M321" s="1"/>
      <c r="N321" s="1"/>
      <c r="O321" s="1"/>
      <c r="P321" s="1"/>
      <c r="Q321" s="1"/>
      <c r="R321" s="1"/>
      <c r="S321" s="1"/>
      <c r="T321" s="1"/>
      <c r="U321" s="1"/>
      <c r="V321" s="1"/>
    </row>
    <row r="322" spans="11:22">
      <c r="K322" s="1"/>
      <c r="L322" s="1"/>
      <c r="M322" s="1"/>
      <c r="N322" s="1"/>
      <c r="O322" s="1"/>
      <c r="P322" s="1"/>
      <c r="Q322" s="1"/>
      <c r="R322" s="1"/>
      <c r="S322" s="1"/>
      <c r="T322" s="1"/>
      <c r="U322" s="1"/>
      <c r="V322" s="1"/>
    </row>
    <row r="323" spans="11:22">
      <c r="K323" s="1"/>
      <c r="L323" s="1"/>
      <c r="M323" s="1"/>
      <c r="N323" s="1"/>
      <c r="O323" s="1"/>
      <c r="P323" s="1"/>
      <c r="Q323" s="1"/>
      <c r="R323" s="1"/>
      <c r="S323" s="1"/>
      <c r="T323" s="1"/>
      <c r="U323" s="1"/>
      <c r="V323" s="1"/>
    </row>
    <row r="324" spans="11:22">
      <c r="K324" s="1"/>
      <c r="L324" s="1"/>
      <c r="M324" s="1"/>
      <c r="N324" s="1"/>
      <c r="O324" s="1"/>
      <c r="P324" s="1"/>
      <c r="Q324" s="1"/>
      <c r="R324" s="1"/>
      <c r="S324" s="1"/>
      <c r="T324" s="1"/>
      <c r="U324" s="1"/>
      <c r="V324" s="1"/>
    </row>
    <row r="325" spans="11:22">
      <c r="K325" s="1"/>
      <c r="L325" s="1"/>
      <c r="M325" s="1"/>
      <c r="N325" s="1"/>
      <c r="O325" s="1"/>
      <c r="P325" s="1"/>
      <c r="Q325" s="1"/>
      <c r="R325" s="1"/>
      <c r="S325" s="1"/>
      <c r="T325" s="1"/>
      <c r="U325" s="1"/>
      <c r="V325" s="1"/>
    </row>
    <row r="326" spans="11:22">
      <c r="K326" s="1"/>
      <c r="L326" s="1"/>
      <c r="M326" s="1"/>
      <c r="N326" s="1"/>
      <c r="O326" s="1"/>
      <c r="P326" s="1"/>
      <c r="Q326" s="1"/>
      <c r="R326" s="1"/>
      <c r="S326" s="1"/>
      <c r="T326" s="1"/>
      <c r="U326" s="1"/>
      <c r="V326" s="1"/>
    </row>
    <row r="327" spans="11:22">
      <c r="K327" s="1"/>
      <c r="L327" s="1"/>
      <c r="M327" s="1"/>
      <c r="N327" s="1"/>
      <c r="O327" s="1"/>
      <c r="P327" s="1"/>
      <c r="Q327" s="1"/>
      <c r="R327" s="1"/>
      <c r="S327" s="1"/>
      <c r="T327" s="1"/>
      <c r="U327" s="1"/>
      <c r="V327" s="1"/>
    </row>
    <row r="328" spans="11:22">
      <c r="K328" s="1"/>
      <c r="L328" s="1"/>
      <c r="M328" s="1"/>
      <c r="N328" s="1"/>
      <c r="O328" s="1"/>
      <c r="P328" s="1"/>
      <c r="Q328" s="1"/>
      <c r="R328" s="1"/>
      <c r="S328" s="1"/>
      <c r="T328" s="1"/>
      <c r="U328" s="1"/>
      <c r="V328" s="1"/>
    </row>
    <row r="329" spans="11:22">
      <c r="K329" s="1"/>
      <c r="L329" s="1"/>
      <c r="M329" s="1"/>
      <c r="N329" s="1"/>
      <c r="O329" s="1"/>
      <c r="P329" s="1"/>
      <c r="Q329" s="1"/>
      <c r="R329" s="1"/>
      <c r="S329" s="1"/>
      <c r="T329" s="1"/>
      <c r="U329" s="1"/>
      <c r="V329" s="1"/>
    </row>
    <row r="330" spans="11:22">
      <c r="K330" s="1"/>
      <c r="L330" s="1"/>
      <c r="M330" s="1"/>
      <c r="N330" s="1"/>
      <c r="O330" s="1"/>
      <c r="P330" s="1"/>
      <c r="Q330" s="1"/>
      <c r="R330" s="1"/>
      <c r="S330" s="1"/>
      <c r="T330" s="1"/>
      <c r="U330" s="1"/>
      <c r="V330" s="1"/>
    </row>
    <row r="331" spans="11:22">
      <c r="K331" s="1"/>
      <c r="L331" s="1"/>
      <c r="M331" s="1"/>
      <c r="N331" s="1"/>
      <c r="O331" s="1"/>
      <c r="P331" s="1"/>
      <c r="Q331" s="1"/>
      <c r="R331" s="1"/>
      <c r="S331" s="1"/>
      <c r="T331" s="1"/>
      <c r="U331" s="1"/>
      <c r="V331" s="1"/>
    </row>
    <row r="332" spans="11:22">
      <c r="K332" s="1"/>
      <c r="L332" s="1"/>
      <c r="M332" s="1"/>
      <c r="N332" s="1"/>
      <c r="O332" s="1"/>
      <c r="P332" s="1"/>
      <c r="Q332" s="1"/>
      <c r="R332" s="1"/>
      <c r="S332" s="1"/>
      <c r="T332" s="1"/>
      <c r="U332" s="1"/>
      <c r="V332" s="1"/>
    </row>
    <row r="333" spans="11:22">
      <c r="K333" s="1"/>
      <c r="L333" s="1"/>
      <c r="M333" s="1"/>
      <c r="N333" s="1"/>
      <c r="O333" s="1"/>
      <c r="P333" s="1"/>
      <c r="Q333" s="1"/>
      <c r="R333" s="1"/>
      <c r="S333" s="1"/>
      <c r="T333" s="1"/>
      <c r="U333" s="1"/>
      <c r="V333" s="1"/>
    </row>
    <row r="334" spans="11:22">
      <c r="K334" s="1"/>
      <c r="L334" s="1"/>
      <c r="M334" s="1"/>
      <c r="N334" s="1"/>
      <c r="O334" s="1"/>
      <c r="P334" s="1"/>
      <c r="Q334" s="1"/>
      <c r="R334" s="1"/>
      <c r="S334" s="1"/>
      <c r="T334" s="1"/>
      <c r="U334" s="1"/>
      <c r="V334" s="1"/>
    </row>
    <row r="335" spans="11:22">
      <c r="K335" s="1"/>
      <c r="L335" s="1"/>
      <c r="M335" s="1"/>
      <c r="N335" s="1"/>
      <c r="O335" s="1"/>
      <c r="P335" s="1"/>
      <c r="Q335" s="1"/>
      <c r="R335" s="1"/>
      <c r="S335" s="1"/>
      <c r="T335" s="1"/>
      <c r="U335" s="1"/>
      <c r="V335" s="1"/>
    </row>
    <row r="336" spans="11:22">
      <c r="K336" s="1"/>
      <c r="L336" s="1"/>
      <c r="M336" s="1"/>
      <c r="N336" s="1"/>
      <c r="O336" s="1"/>
      <c r="P336" s="1"/>
      <c r="Q336" s="1"/>
      <c r="R336" s="1"/>
      <c r="S336" s="1"/>
      <c r="T336" s="1"/>
      <c r="U336" s="1"/>
      <c r="V336" s="1"/>
    </row>
    <row r="337" spans="11:22">
      <c r="K337" s="1"/>
      <c r="L337" s="1"/>
      <c r="M337" s="1"/>
      <c r="N337" s="1"/>
      <c r="O337" s="1"/>
      <c r="P337" s="1"/>
      <c r="Q337" s="1"/>
      <c r="R337" s="1"/>
      <c r="S337" s="1"/>
      <c r="T337" s="1"/>
      <c r="U337" s="1"/>
      <c r="V337" s="1"/>
    </row>
    <row r="338" spans="11:22">
      <c r="K338" s="1"/>
      <c r="L338" s="1"/>
      <c r="M338" s="1"/>
      <c r="N338" s="1"/>
      <c r="O338" s="1"/>
      <c r="P338" s="1"/>
      <c r="Q338" s="1"/>
      <c r="R338" s="1"/>
      <c r="S338" s="1"/>
      <c r="T338" s="1"/>
      <c r="U338" s="1"/>
      <c r="V338" s="1"/>
    </row>
    <row r="339" spans="11:22">
      <c r="K339" s="1"/>
      <c r="L339" s="1"/>
      <c r="M339" s="1"/>
      <c r="N339" s="1"/>
      <c r="O339" s="1"/>
      <c r="P339" s="1"/>
      <c r="Q339" s="1"/>
      <c r="R339" s="1"/>
      <c r="S339" s="1"/>
      <c r="T339" s="1"/>
      <c r="U339" s="1"/>
      <c r="V339" s="1"/>
    </row>
    <row r="340" spans="11:22">
      <c r="K340" s="1"/>
      <c r="L340" s="1"/>
      <c r="M340" s="1"/>
      <c r="N340" s="1"/>
      <c r="O340" s="1"/>
      <c r="P340" s="1"/>
      <c r="Q340" s="1"/>
      <c r="R340" s="1"/>
      <c r="S340" s="1"/>
      <c r="T340" s="1"/>
      <c r="U340" s="1"/>
      <c r="V340" s="1"/>
    </row>
    <row r="341" spans="11:22">
      <c r="K341" s="1"/>
      <c r="L341" s="1"/>
      <c r="M341" s="1"/>
      <c r="N341" s="1"/>
      <c r="O341" s="1"/>
      <c r="P341" s="1"/>
      <c r="Q341" s="1"/>
      <c r="R341" s="1"/>
      <c r="S341" s="1"/>
      <c r="T341" s="1"/>
      <c r="U341" s="1"/>
      <c r="V341" s="1"/>
    </row>
    <row r="342" spans="11:22">
      <c r="K342" s="1"/>
      <c r="L342" s="1"/>
      <c r="M342" s="1"/>
      <c r="N342" s="1"/>
      <c r="O342" s="1"/>
      <c r="P342" s="1"/>
      <c r="Q342" s="1"/>
      <c r="R342" s="1"/>
      <c r="S342" s="1"/>
      <c r="T342" s="1"/>
      <c r="U342" s="1"/>
      <c r="V342" s="1"/>
    </row>
    <row r="343" spans="11:22">
      <c r="K343" s="1"/>
      <c r="L343" s="1"/>
      <c r="M343" s="1"/>
      <c r="N343" s="1"/>
      <c r="O343" s="1"/>
      <c r="P343" s="1"/>
      <c r="Q343" s="1"/>
      <c r="R343" s="1"/>
      <c r="S343" s="1"/>
      <c r="T343" s="1"/>
      <c r="U343" s="1"/>
      <c r="V343" s="1"/>
    </row>
    <row r="344" spans="11:22">
      <c r="K344" s="1"/>
      <c r="L344" s="1"/>
      <c r="M344" s="1"/>
      <c r="N344" s="1"/>
      <c r="O344" s="1"/>
      <c r="P344" s="1"/>
      <c r="Q344" s="1"/>
      <c r="R344" s="1"/>
      <c r="S344" s="1"/>
      <c r="T344" s="1"/>
      <c r="U344" s="1"/>
      <c r="V344" s="1"/>
    </row>
    <row r="345" spans="11:22">
      <c r="K345" s="1"/>
      <c r="L345" s="1"/>
      <c r="M345" s="1"/>
      <c r="N345" s="1"/>
      <c r="O345" s="1"/>
      <c r="P345" s="1"/>
      <c r="Q345" s="1"/>
      <c r="R345" s="1"/>
      <c r="S345" s="1"/>
      <c r="T345" s="1"/>
      <c r="U345" s="1"/>
      <c r="V345" s="1"/>
    </row>
    <row r="346" spans="11:22">
      <c r="K346" s="1"/>
      <c r="L346" s="1"/>
      <c r="M346" s="1"/>
      <c r="N346" s="1"/>
      <c r="O346" s="1"/>
      <c r="P346" s="1"/>
      <c r="Q346" s="1"/>
      <c r="R346" s="1"/>
      <c r="S346" s="1"/>
      <c r="T346" s="1"/>
      <c r="U346" s="1"/>
      <c r="V346" s="1"/>
    </row>
    <row r="347" spans="11:22">
      <c r="K347" s="1"/>
      <c r="L347" s="1"/>
      <c r="M347" s="1"/>
      <c r="N347" s="1"/>
      <c r="O347" s="1"/>
      <c r="P347" s="1"/>
      <c r="Q347" s="1"/>
      <c r="R347" s="1"/>
      <c r="S347" s="1"/>
      <c r="T347" s="1"/>
      <c r="U347" s="1"/>
      <c r="V347" s="1"/>
    </row>
    <row r="348" spans="11:22">
      <c r="K348" s="1"/>
      <c r="L348" s="1"/>
      <c r="M348" s="1"/>
      <c r="N348" s="1"/>
      <c r="O348" s="1"/>
      <c r="P348" s="1"/>
      <c r="Q348" s="1"/>
      <c r="R348" s="1"/>
      <c r="S348" s="1"/>
      <c r="T348" s="1"/>
      <c r="U348" s="1"/>
      <c r="V348" s="1"/>
    </row>
    <row r="349" spans="11:22">
      <c r="K349" s="1"/>
      <c r="L349" s="1"/>
      <c r="M349" s="1"/>
      <c r="N349" s="1"/>
      <c r="O349" s="1"/>
      <c r="P349" s="1"/>
      <c r="Q349" s="1"/>
      <c r="R349" s="1"/>
      <c r="S349" s="1"/>
      <c r="T349" s="1"/>
      <c r="U349" s="1"/>
      <c r="V349" s="1"/>
    </row>
    <row r="350" spans="11:22">
      <c r="K350" s="1"/>
      <c r="L350" s="1"/>
      <c r="M350" s="1"/>
      <c r="N350" s="1"/>
      <c r="O350" s="1"/>
      <c r="P350" s="1"/>
      <c r="Q350" s="1"/>
      <c r="R350" s="1"/>
      <c r="S350" s="1"/>
      <c r="T350" s="1"/>
      <c r="U350" s="1"/>
      <c r="V350" s="1"/>
    </row>
    <row r="351" spans="11:22">
      <c r="K351" s="1"/>
      <c r="L351" s="1"/>
      <c r="M351" s="1"/>
      <c r="N351" s="1"/>
      <c r="O351" s="1"/>
      <c r="P351" s="1"/>
      <c r="Q351" s="1"/>
      <c r="R351" s="1"/>
      <c r="S351" s="1"/>
      <c r="T351" s="1"/>
      <c r="U351" s="1"/>
      <c r="V351" s="1"/>
    </row>
    <row r="352" spans="11:22">
      <c r="K352" s="1"/>
      <c r="L352" s="1"/>
      <c r="M352" s="1"/>
      <c r="N352" s="1"/>
      <c r="O352" s="1"/>
      <c r="P352" s="1"/>
      <c r="Q352" s="1"/>
      <c r="R352" s="1"/>
      <c r="S352" s="1"/>
      <c r="T352" s="1"/>
      <c r="U352" s="1"/>
      <c r="V352" s="1"/>
    </row>
    <row r="353" spans="11:22">
      <c r="K353" s="1"/>
      <c r="L353" s="1"/>
      <c r="M353" s="1"/>
      <c r="N353" s="1"/>
      <c r="O353" s="1"/>
      <c r="P353" s="1"/>
      <c r="Q353" s="1"/>
      <c r="R353" s="1"/>
      <c r="S353" s="1"/>
      <c r="T353" s="1"/>
      <c r="U353" s="1"/>
      <c r="V353" s="1"/>
    </row>
    <row r="354" spans="11:22">
      <c r="K354" s="1"/>
      <c r="L354" s="1"/>
      <c r="M354" s="1"/>
      <c r="N354" s="1"/>
      <c r="O354" s="1"/>
      <c r="P354" s="1"/>
      <c r="Q354" s="1"/>
      <c r="R354" s="1"/>
      <c r="S354" s="1"/>
      <c r="T354" s="1"/>
      <c r="U354" s="1"/>
      <c r="V354" s="1"/>
    </row>
    <row r="355" spans="11:22">
      <c r="K355" s="1"/>
      <c r="L355" s="1"/>
      <c r="M355" s="1"/>
      <c r="N355" s="1"/>
      <c r="O355" s="1"/>
      <c r="P355" s="1"/>
      <c r="Q355" s="1"/>
      <c r="R355" s="1"/>
      <c r="S355" s="1"/>
      <c r="T355" s="1"/>
      <c r="U355" s="1"/>
      <c r="V355" s="1"/>
    </row>
    <row r="356" spans="11:22">
      <c r="K356" s="1"/>
      <c r="L356" s="1"/>
      <c r="M356" s="1"/>
      <c r="N356" s="1"/>
      <c r="O356" s="1"/>
      <c r="P356" s="1"/>
      <c r="Q356" s="1"/>
      <c r="R356" s="1"/>
      <c r="S356" s="1"/>
      <c r="T356" s="1"/>
      <c r="U356" s="1"/>
      <c r="V356" s="1"/>
    </row>
    <row r="357" spans="11:22">
      <c r="K357" s="1"/>
      <c r="L357" s="1"/>
      <c r="M357" s="1"/>
      <c r="N357" s="1"/>
      <c r="O357" s="1"/>
      <c r="P357" s="1"/>
      <c r="Q357" s="1"/>
      <c r="R357" s="1"/>
      <c r="S357" s="1"/>
      <c r="T357" s="1"/>
      <c r="U357" s="1"/>
      <c r="V357" s="1"/>
    </row>
    <row r="358" spans="11:22">
      <c r="K358" s="1"/>
      <c r="L358" s="1"/>
      <c r="M358" s="1"/>
      <c r="N358" s="1"/>
      <c r="O358" s="1"/>
      <c r="P358" s="1"/>
      <c r="Q358" s="1"/>
      <c r="R358" s="1"/>
      <c r="S358" s="1"/>
      <c r="T358" s="1"/>
      <c r="U358" s="1"/>
      <c r="V358" s="1"/>
    </row>
    <row r="359" spans="11:22">
      <c r="K359" s="1"/>
      <c r="L359" s="1"/>
      <c r="M359" s="1"/>
      <c r="N359" s="1"/>
      <c r="O359" s="1"/>
      <c r="P359" s="1"/>
      <c r="Q359" s="1"/>
      <c r="R359" s="1"/>
      <c r="S359" s="1"/>
      <c r="T359" s="1"/>
      <c r="U359" s="1"/>
      <c r="V359" s="1"/>
    </row>
    <row r="360" spans="11:22">
      <c r="K360" s="1"/>
      <c r="L360" s="1"/>
      <c r="M360" s="1"/>
      <c r="N360" s="1"/>
      <c r="O360" s="1"/>
      <c r="P360" s="1"/>
      <c r="Q360" s="1"/>
      <c r="R360" s="1"/>
      <c r="S360" s="1"/>
      <c r="T360" s="1"/>
      <c r="U360" s="1"/>
      <c r="V360" s="1"/>
    </row>
    <row r="361" spans="11:22">
      <c r="K361" s="1"/>
      <c r="L361" s="1"/>
      <c r="M361" s="1"/>
      <c r="N361" s="1"/>
      <c r="O361" s="1"/>
      <c r="P361" s="1"/>
      <c r="Q361" s="1"/>
      <c r="R361" s="1"/>
      <c r="S361" s="1"/>
      <c r="T361" s="1"/>
      <c r="U361" s="1"/>
      <c r="V361" s="1"/>
    </row>
    <row r="362" spans="11:22">
      <c r="K362" s="1"/>
      <c r="L362" s="1"/>
      <c r="M362" s="1"/>
      <c r="N362" s="1"/>
      <c r="O362" s="1"/>
      <c r="P362" s="1"/>
      <c r="Q362" s="1"/>
      <c r="R362" s="1"/>
      <c r="S362" s="1"/>
      <c r="T362" s="1"/>
      <c r="U362" s="1"/>
      <c r="V362" s="1"/>
    </row>
    <row r="363" spans="11:22">
      <c r="K363" s="1"/>
      <c r="L363" s="1"/>
      <c r="M363" s="1"/>
      <c r="N363" s="1"/>
      <c r="O363" s="1"/>
      <c r="P363" s="1"/>
      <c r="Q363" s="1"/>
      <c r="R363" s="1"/>
      <c r="S363" s="1"/>
      <c r="T363" s="1"/>
      <c r="U363" s="1"/>
      <c r="V363" s="1"/>
    </row>
    <row r="364" spans="11:22">
      <c r="K364" s="1"/>
      <c r="L364" s="1"/>
      <c r="M364" s="1"/>
      <c r="N364" s="1"/>
      <c r="O364" s="1"/>
      <c r="P364" s="1"/>
      <c r="Q364" s="1"/>
      <c r="R364" s="1"/>
      <c r="S364" s="1"/>
      <c r="T364" s="1"/>
      <c r="U364" s="1"/>
      <c r="V364" s="1"/>
    </row>
    <row r="365" spans="11:22">
      <c r="K365" s="1"/>
      <c r="L365" s="1"/>
      <c r="M365" s="1"/>
      <c r="N365" s="1"/>
      <c r="O365" s="1"/>
      <c r="P365" s="1"/>
      <c r="Q365" s="1"/>
      <c r="R365" s="1"/>
      <c r="S365" s="1"/>
      <c r="T365" s="1"/>
      <c r="U365" s="1"/>
      <c r="V365" s="1"/>
    </row>
    <row r="366" spans="11:22">
      <c r="K366" s="1"/>
      <c r="L366" s="1"/>
      <c r="M366" s="1"/>
      <c r="N366" s="1"/>
      <c r="O366" s="1"/>
      <c r="P366" s="1"/>
      <c r="Q366" s="1"/>
      <c r="R366" s="1"/>
      <c r="S366" s="1"/>
      <c r="T366" s="1"/>
      <c r="U366" s="1"/>
      <c r="V366" s="1"/>
    </row>
    <row r="367" spans="11:22">
      <c r="K367" s="1"/>
      <c r="L367" s="1"/>
      <c r="M367" s="1"/>
      <c r="N367" s="1"/>
      <c r="O367" s="1"/>
      <c r="P367" s="1"/>
      <c r="Q367" s="1"/>
      <c r="R367" s="1"/>
      <c r="S367" s="1"/>
      <c r="T367" s="1"/>
      <c r="U367" s="1"/>
      <c r="V367" s="1"/>
    </row>
    <row r="368" spans="11:22">
      <c r="K368" s="1"/>
      <c r="L368" s="1"/>
      <c r="M368" s="1"/>
      <c r="N368" s="1"/>
      <c r="O368" s="1"/>
      <c r="P368" s="1"/>
      <c r="Q368" s="1"/>
      <c r="R368" s="1"/>
      <c r="S368" s="1"/>
      <c r="T368" s="1"/>
      <c r="U368" s="1"/>
      <c r="V368" s="1"/>
    </row>
    <row r="369" spans="11:22">
      <c r="K369" s="1"/>
      <c r="L369" s="1"/>
      <c r="M369" s="1"/>
      <c r="N369" s="1"/>
      <c r="O369" s="1"/>
      <c r="P369" s="1"/>
      <c r="Q369" s="1"/>
      <c r="R369" s="1"/>
      <c r="S369" s="1"/>
      <c r="T369" s="1"/>
      <c r="U369" s="1"/>
      <c r="V369" s="1"/>
    </row>
    <row r="370" spans="11:22">
      <c r="K370" s="1"/>
      <c r="L370" s="1"/>
      <c r="M370" s="1"/>
      <c r="N370" s="1"/>
      <c r="O370" s="1"/>
      <c r="P370" s="1"/>
      <c r="Q370" s="1"/>
      <c r="R370" s="1"/>
      <c r="S370" s="1"/>
      <c r="T370" s="1"/>
      <c r="U370" s="1"/>
      <c r="V370" s="1"/>
    </row>
    <row r="371" spans="11:22">
      <c r="K371" s="1"/>
      <c r="L371" s="1"/>
      <c r="M371" s="1"/>
      <c r="N371" s="1"/>
      <c r="O371" s="1"/>
      <c r="P371" s="1"/>
      <c r="Q371" s="1"/>
      <c r="R371" s="1"/>
      <c r="S371" s="1"/>
      <c r="T371" s="1"/>
      <c r="U371" s="1"/>
      <c r="V371" s="1"/>
    </row>
    <row r="372" spans="11:22">
      <c r="K372" s="1"/>
      <c r="L372" s="1"/>
      <c r="M372" s="1"/>
      <c r="N372" s="1"/>
      <c r="O372" s="1"/>
      <c r="P372" s="1"/>
      <c r="Q372" s="1"/>
      <c r="R372" s="1"/>
      <c r="S372" s="1"/>
      <c r="T372" s="1"/>
      <c r="U372" s="1"/>
      <c r="V372" s="1"/>
    </row>
    <row r="373" spans="11:22">
      <c r="K373" s="1"/>
      <c r="L373" s="1"/>
      <c r="M373" s="1"/>
      <c r="N373" s="1"/>
      <c r="O373" s="1"/>
      <c r="P373" s="1"/>
      <c r="Q373" s="1"/>
      <c r="R373" s="1"/>
      <c r="S373" s="1"/>
      <c r="T373" s="1"/>
      <c r="U373" s="1"/>
      <c r="V373" s="1"/>
    </row>
    <row r="374" spans="11:22">
      <c r="K374" s="1"/>
      <c r="L374" s="1"/>
      <c r="M374" s="1"/>
      <c r="N374" s="1"/>
      <c r="O374" s="1"/>
      <c r="P374" s="1"/>
      <c r="Q374" s="1"/>
      <c r="R374" s="1"/>
      <c r="S374" s="1"/>
      <c r="T374" s="1"/>
      <c r="U374" s="1"/>
      <c r="V374" s="1"/>
    </row>
    <row r="375" spans="11:22">
      <c r="K375" s="1"/>
      <c r="L375" s="1"/>
      <c r="M375" s="1"/>
      <c r="N375" s="1"/>
      <c r="O375" s="1"/>
      <c r="P375" s="1"/>
      <c r="Q375" s="1"/>
      <c r="R375" s="1"/>
      <c r="S375" s="1"/>
      <c r="T375" s="1"/>
      <c r="U375" s="1"/>
      <c r="V375" s="1"/>
    </row>
    <row r="376" spans="11:22">
      <c r="K376" s="1"/>
      <c r="L376" s="1"/>
      <c r="M376" s="1"/>
      <c r="N376" s="1"/>
      <c r="O376" s="1"/>
      <c r="P376" s="1"/>
      <c r="Q376" s="1"/>
      <c r="R376" s="1"/>
      <c r="S376" s="1"/>
      <c r="T376" s="1"/>
      <c r="U376" s="1"/>
      <c r="V376" s="1"/>
    </row>
    <row r="377" spans="11:22">
      <c r="K377" s="1"/>
      <c r="L377" s="1"/>
      <c r="M377" s="1"/>
      <c r="N377" s="1"/>
      <c r="O377" s="1"/>
      <c r="P377" s="1"/>
      <c r="Q377" s="1"/>
      <c r="R377" s="1"/>
      <c r="S377" s="1"/>
      <c r="T377" s="1"/>
      <c r="U377" s="1"/>
      <c r="V377" s="1"/>
    </row>
    <row r="378" spans="11:22">
      <c r="K378" s="1"/>
      <c r="L378" s="1"/>
      <c r="M378" s="1"/>
      <c r="N378" s="1"/>
      <c r="O378" s="1"/>
      <c r="P378" s="1"/>
      <c r="Q378" s="1"/>
      <c r="R378" s="1"/>
      <c r="S378" s="1"/>
      <c r="T378" s="1"/>
      <c r="U378" s="1"/>
      <c r="V378" s="1"/>
    </row>
    <row r="379" spans="11:22">
      <c r="K379" s="1"/>
      <c r="L379" s="1"/>
      <c r="M379" s="1"/>
      <c r="N379" s="1"/>
      <c r="O379" s="1"/>
      <c r="P379" s="1"/>
      <c r="Q379" s="1"/>
      <c r="R379" s="1"/>
      <c r="S379" s="1"/>
      <c r="T379" s="1"/>
      <c r="U379" s="1"/>
      <c r="V379" s="1"/>
    </row>
    <row r="380" spans="11:22">
      <c r="K380" s="1"/>
      <c r="L380" s="1"/>
      <c r="M380" s="1"/>
      <c r="N380" s="1"/>
      <c r="O380" s="1"/>
      <c r="P380" s="1"/>
      <c r="Q380" s="1"/>
      <c r="R380" s="1"/>
      <c r="S380" s="1"/>
      <c r="T380" s="1"/>
      <c r="U380" s="1"/>
      <c r="V380" s="1"/>
    </row>
    <row r="381" spans="11:22">
      <c r="K381" s="1"/>
      <c r="L381" s="1"/>
      <c r="M381" s="1"/>
      <c r="N381" s="1"/>
      <c r="O381" s="1"/>
      <c r="P381" s="1"/>
      <c r="Q381" s="1"/>
      <c r="R381" s="1"/>
      <c r="S381" s="1"/>
      <c r="T381" s="1"/>
      <c r="U381" s="1"/>
      <c r="V381" s="1"/>
    </row>
    <row r="382" spans="11:22">
      <c r="K382" s="1"/>
      <c r="L382" s="1"/>
      <c r="M382" s="1"/>
      <c r="N382" s="1"/>
      <c r="O382" s="1"/>
      <c r="P382" s="1"/>
      <c r="Q382" s="1"/>
      <c r="R382" s="1"/>
      <c r="S382" s="1"/>
      <c r="T382" s="1"/>
      <c r="U382" s="1"/>
      <c r="V382" s="1"/>
    </row>
    <row r="383" spans="11:22">
      <c r="K383" s="1"/>
      <c r="L383" s="1"/>
      <c r="M383" s="1"/>
      <c r="N383" s="1"/>
      <c r="O383" s="1"/>
      <c r="P383" s="1"/>
      <c r="Q383" s="1"/>
      <c r="R383" s="1"/>
      <c r="S383" s="1"/>
      <c r="T383" s="1"/>
      <c r="U383" s="1"/>
      <c r="V383" s="1"/>
    </row>
    <row r="384" spans="11:22">
      <c r="K384" s="1"/>
      <c r="L384" s="1"/>
      <c r="M384" s="1"/>
      <c r="N384" s="1"/>
      <c r="O384" s="1"/>
      <c r="P384" s="1"/>
      <c r="Q384" s="1"/>
      <c r="R384" s="1"/>
      <c r="S384" s="1"/>
      <c r="T384" s="1"/>
      <c r="U384" s="1"/>
      <c r="V384" s="1"/>
    </row>
    <row r="385" spans="11:22">
      <c r="K385" s="1"/>
      <c r="L385" s="1"/>
      <c r="M385" s="1"/>
      <c r="N385" s="1"/>
      <c r="O385" s="1"/>
      <c r="P385" s="1"/>
      <c r="Q385" s="1"/>
      <c r="R385" s="1"/>
      <c r="S385" s="1"/>
      <c r="T385" s="1"/>
      <c r="U385" s="1"/>
      <c r="V385" s="1"/>
    </row>
    <row r="386" spans="11:22">
      <c r="K386" s="1"/>
      <c r="L386" s="1"/>
      <c r="M386" s="1"/>
      <c r="N386" s="1"/>
      <c r="O386" s="1"/>
      <c r="P386" s="1"/>
      <c r="Q386" s="1"/>
      <c r="R386" s="1"/>
      <c r="S386" s="1"/>
      <c r="T386" s="1"/>
      <c r="U386" s="1"/>
      <c r="V386" s="1"/>
    </row>
    <row r="387" spans="11:22">
      <c r="K387" s="1"/>
      <c r="L387" s="1"/>
      <c r="M387" s="1"/>
      <c r="N387" s="1"/>
      <c r="O387" s="1"/>
      <c r="P387" s="1"/>
      <c r="Q387" s="1"/>
      <c r="R387" s="1"/>
      <c r="S387" s="1"/>
      <c r="T387" s="1"/>
      <c r="U387" s="1"/>
      <c r="V387" s="1"/>
    </row>
    <row r="388" spans="11:22">
      <c r="K388" s="1"/>
      <c r="L388" s="1"/>
      <c r="M388" s="1"/>
      <c r="N388" s="1"/>
      <c r="O388" s="1"/>
      <c r="P388" s="1"/>
      <c r="Q388" s="1"/>
      <c r="R388" s="1"/>
      <c r="S388" s="1"/>
      <c r="T388" s="1"/>
      <c r="U388" s="1"/>
      <c r="V388" s="1"/>
    </row>
    <row r="389" spans="11:22">
      <c r="K389" s="1"/>
      <c r="L389" s="1"/>
      <c r="M389" s="1"/>
      <c r="N389" s="1"/>
      <c r="O389" s="1"/>
      <c r="P389" s="1"/>
      <c r="Q389" s="1"/>
      <c r="R389" s="1"/>
      <c r="S389" s="1"/>
      <c r="T389" s="1"/>
      <c r="U389" s="1"/>
      <c r="V389" s="1"/>
    </row>
    <row r="390" spans="11:22">
      <c r="K390" s="1"/>
      <c r="L390" s="1"/>
      <c r="M390" s="1"/>
      <c r="N390" s="1"/>
      <c r="O390" s="1"/>
      <c r="P390" s="1"/>
      <c r="Q390" s="1"/>
      <c r="R390" s="1"/>
      <c r="S390" s="1"/>
      <c r="T390" s="1"/>
      <c r="U390" s="1"/>
      <c r="V390" s="1"/>
    </row>
    <row r="391" spans="11:22">
      <c r="K391" s="1"/>
      <c r="L391" s="1"/>
      <c r="M391" s="1"/>
      <c r="N391" s="1"/>
      <c r="O391" s="1"/>
      <c r="P391" s="1"/>
      <c r="Q391" s="1"/>
      <c r="R391" s="1"/>
      <c r="S391" s="1"/>
      <c r="T391" s="1"/>
      <c r="U391" s="1"/>
      <c r="V391" s="1"/>
    </row>
    <row r="392" spans="11:22">
      <c r="K392" s="1"/>
      <c r="L392" s="1"/>
      <c r="M392" s="1"/>
      <c r="N392" s="1"/>
      <c r="O392" s="1"/>
      <c r="P392" s="1"/>
      <c r="Q392" s="1"/>
      <c r="R392" s="1"/>
      <c r="S392" s="1"/>
      <c r="T392" s="1"/>
      <c r="U392" s="1"/>
      <c r="V392" s="1"/>
    </row>
    <row r="393" spans="11:22">
      <c r="K393" s="1"/>
      <c r="L393" s="1"/>
      <c r="M393" s="1"/>
      <c r="N393" s="1"/>
      <c r="O393" s="1"/>
      <c r="P393" s="1"/>
      <c r="Q393" s="1"/>
      <c r="R393" s="1"/>
      <c r="S393" s="1"/>
      <c r="T393" s="1"/>
      <c r="U393" s="1"/>
      <c r="V393" s="1"/>
    </row>
    <row r="394" spans="11:22">
      <c r="K394" s="1"/>
      <c r="L394" s="1"/>
      <c r="M394" s="1"/>
      <c r="N394" s="1"/>
      <c r="O394" s="1"/>
      <c r="P394" s="1"/>
      <c r="Q394" s="1"/>
      <c r="R394" s="1"/>
      <c r="S394" s="1"/>
      <c r="T394" s="1"/>
      <c r="U394" s="1"/>
      <c r="V394" s="1"/>
    </row>
    <row r="395" spans="11:22">
      <c r="K395" s="1"/>
      <c r="L395" s="1"/>
      <c r="M395" s="1"/>
      <c r="N395" s="1"/>
      <c r="O395" s="1"/>
      <c r="P395" s="1"/>
      <c r="Q395" s="1"/>
      <c r="R395" s="1"/>
      <c r="S395" s="1"/>
      <c r="T395" s="1"/>
      <c r="U395" s="1"/>
      <c r="V395" s="1"/>
    </row>
    <row r="396" spans="11:22">
      <c r="K396" s="1"/>
      <c r="L396" s="1"/>
      <c r="M396" s="1"/>
      <c r="N396" s="1"/>
      <c r="O396" s="1"/>
      <c r="P396" s="1"/>
      <c r="Q396" s="1"/>
      <c r="R396" s="1"/>
      <c r="S396" s="1"/>
      <c r="T396" s="1"/>
      <c r="U396" s="1"/>
      <c r="V396" s="1"/>
    </row>
    <row r="397" spans="11:22">
      <c r="K397" s="1"/>
      <c r="L397" s="1"/>
      <c r="M397" s="1"/>
      <c r="N397" s="1"/>
      <c r="O397" s="1"/>
      <c r="P397" s="1"/>
      <c r="Q397" s="1"/>
      <c r="R397" s="1"/>
      <c r="S397" s="1"/>
      <c r="T397" s="1"/>
      <c r="U397" s="1"/>
      <c r="V397" s="1"/>
    </row>
    <row r="398" spans="11:22">
      <c r="K398" s="1"/>
      <c r="L398" s="1"/>
      <c r="M398" s="1"/>
      <c r="N398" s="1"/>
      <c r="O398" s="1"/>
      <c r="P398" s="1"/>
      <c r="Q398" s="1"/>
      <c r="R398" s="1"/>
      <c r="S398" s="1"/>
      <c r="T398" s="1"/>
      <c r="U398" s="1"/>
      <c r="V398" s="1"/>
    </row>
    <row r="399" spans="11:22">
      <c r="K399" s="1"/>
      <c r="L399" s="1"/>
      <c r="M399" s="1"/>
      <c r="N399" s="1"/>
      <c r="O399" s="1"/>
      <c r="P399" s="1"/>
      <c r="Q399" s="1"/>
      <c r="R399" s="1"/>
      <c r="S399" s="1"/>
      <c r="T399" s="1"/>
      <c r="U399" s="1"/>
      <c r="V399" s="1"/>
    </row>
    <row r="400" spans="11:22">
      <c r="K400" s="1"/>
      <c r="L400" s="1"/>
      <c r="M400" s="1"/>
      <c r="N400" s="1"/>
      <c r="O400" s="1"/>
      <c r="P400" s="1"/>
      <c r="Q400" s="1"/>
      <c r="R400" s="1"/>
      <c r="S400" s="1"/>
      <c r="T400" s="1"/>
      <c r="U400" s="1"/>
      <c r="V400" s="1"/>
    </row>
    <row r="401" spans="11:22">
      <c r="K401" s="1"/>
      <c r="L401" s="1"/>
      <c r="M401" s="1"/>
      <c r="N401" s="1"/>
      <c r="O401" s="1"/>
      <c r="P401" s="1"/>
      <c r="Q401" s="1"/>
      <c r="R401" s="1"/>
      <c r="S401" s="1"/>
      <c r="T401" s="1"/>
      <c r="U401" s="1"/>
      <c r="V401" s="1"/>
    </row>
    <row r="402" spans="11:22">
      <c r="K402" s="1"/>
      <c r="L402" s="1"/>
      <c r="M402" s="1"/>
      <c r="N402" s="1"/>
      <c r="O402" s="1"/>
      <c r="P402" s="1"/>
      <c r="Q402" s="1"/>
      <c r="R402" s="1"/>
      <c r="S402" s="1"/>
      <c r="T402" s="1"/>
      <c r="U402" s="1"/>
      <c r="V402" s="1"/>
    </row>
    <row r="403" spans="11:22">
      <c r="K403" s="1"/>
      <c r="L403" s="1"/>
      <c r="M403" s="1"/>
      <c r="N403" s="1"/>
      <c r="O403" s="1"/>
      <c r="P403" s="1"/>
      <c r="Q403" s="1"/>
      <c r="R403" s="1"/>
      <c r="S403" s="1"/>
      <c r="T403" s="1"/>
      <c r="U403" s="1"/>
      <c r="V403" s="1"/>
    </row>
    <row r="404" spans="11:22">
      <c r="K404" s="1"/>
      <c r="L404" s="1"/>
      <c r="M404" s="1"/>
      <c r="N404" s="1"/>
      <c r="O404" s="1"/>
      <c r="P404" s="1"/>
      <c r="Q404" s="1"/>
      <c r="R404" s="1"/>
      <c r="S404" s="1"/>
      <c r="T404" s="1"/>
      <c r="U404" s="1"/>
      <c r="V404" s="1"/>
    </row>
    <row r="405" spans="11:22">
      <c r="K405" s="1"/>
      <c r="L405" s="1"/>
      <c r="M405" s="1"/>
      <c r="N405" s="1"/>
      <c r="O405" s="1"/>
      <c r="P405" s="1"/>
      <c r="Q405" s="1"/>
      <c r="R405" s="1"/>
      <c r="S405" s="1"/>
      <c r="T405" s="1"/>
      <c r="U405" s="1"/>
      <c r="V405" s="1"/>
    </row>
    <row r="406" spans="11:22">
      <c r="K406" s="1"/>
      <c r="L406" s="1"/>
      <c r="M406" s="1"/>
      <c r="N406" s="1"/>
      <c r="O406" s="1"/>
      <c r="P406" s="1"/>
      <c r="Q406" s="1"/>
      <c r="R406" s="1"/>
      <c r="S406" s="1"/>
      <c r="T406" s="1"/>
      <c r="U406" s="1"/>
      <c r="V406" s="1"/>
    </row>
    <row r="407" spans="11:22">
      <c r="K407" s="1"/>
      <c r="L407" s="1"/>
      <c r="M407" s="1"/>
      <c r="N407" s="1"/>
      <c r="O407" s="1"/>
      <c r="P407" s="1"/>
      <c r="Q407" s="1"/>
      <c r="R407" s="1"/>
      <c r="S407" s="1"/>
      <c r="T407" s="1"/>
      <c r="U407" s="1"/>
      <c r="V407" s="1"/>
    </row>
    <row r="408" spans="11:22">
      <c r="K408" s="1"/>
      <c r="L408" s="1"/>
      <c r="M408" s="1"/>
      <c r="N408" s="1"/>
      <c r="O408" s="1"/>
      <c r="P408" s="1"/>
      <c r="Q408" s="1"/>
      <c r="R408" s="1"/>
      <c r="S408" s="1"/>
      <c r="T408" s="1"/>
      <c r="U408" s="1"/>
      <c r="V408" s="1"/>
    </row>
    <row r="409" spans="11:22">
      <c r="K409" s="1"/>
      <c r="L409" s="1"/>
      <c r="M409" s="1"/>
      <c r="N409" s="1"/>
      <c r="O409" s="1"/>
      <c r="P409" s="1"/>
      <c r="Q409" s="1"/>
      <c r="R409" s="1"/>
      <c r="S409" s="1"/>
      <c r="T409" s="1"/>
      <c r="U409" s="1"/>
      <c r="V409" s="1"/>
    </row>
    <row r="410" spans="11:22">
      <c r="K410" s="1"/>
      <c r="L410" s="1"/>
      <c r="M410" s="1"/>
      <c r="N410" s="1"/>
      <c r="O410" s="1"/>
      <c r="P410" s="1"/>
      <c r="Q410" s="1"/>
      <c r="R410" s="1"/>
      <c r="S410" s="1"/>
      <c r="T410" s="1"/>
      <c r="U410" s="1"/>
      <c r="V410" s="1"/>
    </row>
    <row r="411" spans="11:22">
      <c r="K411" s="1"/>
      <c r="L411" s="1"/>
      <c r="M411" s="1"/>
      <c r="N411" s="1"/>
      <c r="O411" s="1"/>
      <c r="P411" s="1"/>
      <c r="Q411" s="1"/>
      <c r="R411" s="1"/>
      <c r="S411" s="1"/>
      <c r="T411" s="1"/>
      <c r="U411" s="1"/>
      <c r="V411" s="1"/>
    </row>
    <row r="412" spans="11:22">
      <c r="K412" s="1"/>
      <c r="L412" s="1"/>
      <c r="M412" s="1"/>
      <c r="N412" s="1"/>
      <c r="O412" s="1"/>
      <c r="P412" s="1"/>
      <c r="Q412" s="1"/>
      <c r="R412" s="1"/>
      <c r="S412" s="1"/>
      <c r="T412" s="1"/>
      <c r="U412" s="1"/>
      <c r="V412" s="1"/>
    </row>
    <row r="413" spans="11:22">
      <c r="K413" s="1"/>
      <c r="L413" s="1"/>
      <c r="M413" s="1"/>
      <c r="N413" s="1"/>
      <c r="O413" s="1"/>
      <c r="P413" s="1"/>
      <c r="Q413" s="1"/>
      <c r="R413" s="1"/>
      <c r="S413" s="1"/>
      <c r="T413" s="1"/>
      <c r="U413" s="1"/>
      <c r="V413" s="1"/>
    </row>
    <row r="414" spans="11:22">
      <c r="K414" s="1"/>
      <c r="L414" s="1"/>
      <c r="M414" s="1"/>
      <c r="N414" s="1"/>
      <c r="O414" s="1"/>
      <c r="P414" s="1"/>
      <c r="Q414" s="1"/>
      <c r="R414" s="1"/>
      <c r="S414" s="1"/>
      <c r="T414" s="1"/>
      <c r="U414" s="1"/>
      <c r="V414" s="1"/>
    </row>
    <row r="415" spans="11:22">
      <c r="K415" s="1"/>
      <c r="L415" s="1"/>
      <c r="M415" s="1"/>
      <c r="N415" s="1"/>
      <c r="O415" s="1"/>
      <c r="P415" s="1"/>
      <c r="Q415" s="1"/>
      <c r="R415" s="1"/>
      <c r="S415" s="1"/>
      <c r="T415" s="1"/>
      <c r="U415" s="1"/>
      <c r="V415" s="1"/>
    </row>
    <row r="416" spans="11:22">
      <c r="K416" s="1"/>
      <c r="L416" s="1"/>
      <c r="M416" s="1"/>
      <c r="N416" s="1"/>
      <c r="O416" s="1"/>
      <c r="P416" s="1"/>
      <c r="Q416" s="1"/>
      <c r="R416" s="1"/>
      <c r="S416" s="1"/>
      <c r="T416" s="1"/>
      <c r="U416" s="1"/>
      <c r="V416" s="1"/>
    </row>
    <row r="417" spans="11:22">
      <c r="K417" s="1"/>
      <c r="L417" s="1"/>
      <c r="M417" s="1"/>
      <c r="N417" s="1"/>
      <c r="O417" s="1"/>
      <c r="P417" s="1"/>
      <c r="Q417" s="1"/>
      <c r="R417" s="1"/>
      <c r="S417" s="1"/>
      <c r="T417" s="1"/>
      <c r="U417" s="1"/>
      <c r="V417" s="1"/>
    </row>
    <row r="418" spans="11:22">
      <c r="K418" s="1"/>
      <c r="L418" s="1"/>
      <c r="M418" s="1"/>
      <c r="N418" s="1"/>
      <c r="O418" s="1"/>
      <c r="P418" s="1"/>
      <c r="Q418" s="1"/>
      <c r="R418" s="1"/>
      <c r="S418" s="1"/>
      <c r="T418" s="1"/>
      <c r="U418" s="1"/>
      <c r="V418" s="1"/>
    </row>
    <row r="419" spans="11:22">
      <c r="K419" s="1"/>
      <c r="L419" s="1"/>
      <c r="M419" s="1"/>
      <c r="N419" s="1"/>
      <c r="O419" s="1"/>
      <c r="P419" s="1"/>
      <c r="Q419" s="1"/>
      <c r="R419" s="1"/>
      <c r="S419" s="1"/>
      <c r="T419" s="1"/>
      <c r="U419" s="1"/>
      <c r="V419" s="1"/>
    </row>
    <row r="420" spans="11:22">
      <c r="K420" s="1"/>
      <c r="L420" s="1"/>
      <c r="M420" s="1"/>
      <c r="N420" s="1"/>
      <c r="O420" s="1"/>
      <c r="P420" s="1"/>
      <c r="Q420" s="1"/>
      <c r="R420" s="1"/>
      <c r="S420" s="1"/>
      <c r="T420" s="1"/>
      <c r="U420" s="1"/>
      <c r="V420" s="1"/>
    </row>
    <row r="421" spans="11:22">
      <c r="K421" s="1"/>
      <c r="L421" s="1"/>
      <c r="M421" s="1"/>
      <c r="N421" s="1"/>
      <c r="O421" s="1"/>
      <c r="P421" s="1"/>
      <c r="Q421" s="1"/>
      <c r="R421" s="1"/>
      <c r="S421" s="1"/>
      <c r="T421" s="1"/>
      <c r="U421" s="1"/>
      <c r="V421" s="1"/>
    </row>
    <row r="422" spans="11:22">
      <c r="K422" s="1"/>
      <c r="L422" s="1"/>
      <c r="M422" s="1"/>
      <c r="N422" s="1"/>
      <c r="O422" s="1"/>
      <c r="P422" s="1"/>
      <c r="Q422" s="1"/>
      <c r="R422" s="1"/>
      <c r="S422" s="1"/>
      <c r="T422" s="1"/>
      <c r="U422" s="1"/>
      <c r="V422" s="1"/>
    </row>
    <row r="423" spans="11:22">
      <c r="K423" s="1"/>
      <c r="L423" s="1"/>
      <c r="M423" s="1"/>
      <c r="N423" s="1"/>
      <c r="O423" s="1"/>
      <c r="P423" s="1"/>
      <c r="Q423" s="1"/>
      <c r="R423" s="1"/>
      <c r="S423" s="1"/>
      <c r="T423" s="1"/>
      <c r="U423" s="1"/>
      <c r="V423" s="1"/>
    </row>
    <row r="424" spans="11:22">
      <c r="K424" s="1"/>
      <c r="L424" s="1"/>
      <c r="M424" s="1"/>
      <c r="N424" s="1"/>
      <c r="O424" s="1"/>
      <c r="P424" s="1"/>
      <c r="Q424" s="1"/>
      <c r="R424" s="1"/>
      <c r="S424" s="1"/>
      <c r="T424" s="1"/>
      <c r="U424" s="1"/>
      <c r="V424" s="1"/>
    </row>
    <row r="425" spans="11:22">
      <c r="K425" s="1"/>
      <c r="L425" s="1"/>
      <c r="M425" s="1"/>
      <c r="N425" s="1"/>
      <c r="O425" s="1"/>
      <c r="P425" s="1"/>
      <c r="Q425" s="1"/>
      <c r="R425" s="1"/>
      <c r="S425" s="1"/>
      <c r="T425" s="1"/>
      <c r="U425" s="1"/>
      <c r="V425" s="1"/>
    </row>
    <row r="426" spans="11:22">
      <c r="K426" s="1"/>
      <c r="L426" s="1"/>
      <c r="M426" s="1"/>
      <c r="N426" s="1"/>
      <c r="O426" s="1"/>
      <c r="P426" s="1"/>
      <c r="Q426" s="1"/>
      <c r="R426" s="1"/>
      <c r="S426" s="1"/>
      <c r="T426" s="1"/>
      <c r="U426" s="1"/>
      <c r="V426" s="1"/>
    </row>
    <row r="427" spans="11:22">
      <c r="K427" s="1"/>
      <c r="L427" s="1"/>
      <c r="M427" s="1"/>
      <c r="N427" s="1"/>
      <c r="O427" s="1"/>
      <c r="P427" s="1"/>
      <c r="Q427" s="1"/>
      <c r="R427" s="1"/>
      <c r="S427" s="1"/>
      <c r="T427" s="1"/>
      <c r="U427" s="1"/>
      <c r="V427" s="1"/>
    </row>
    <row r="428" spans="11:22">
      <c r="K428" s="1"/>
      <c r="L428" s="1"/>
      <c r="M428" s="1"/>
      <c r="N428" s="1"/>
      <c r="O428" s="1"/>
      <c r="P428" s="1"/>
      <c r="Q428" s="1"/>
      <c r="R428" s="1"/>
      <c r="S428" s="1"/>
      <c r="T428" s="1"/>
      <c r="U428" s="1"/>
      <c r="V428" s="1"/>
    </row>
    <row r="429" spans="11:22">
      <c r="K429" s="1"/>
      <c r="L429" s="1"/>
      <c r="M429" s="1"/>
      <c r="N429" s="1"/>
      <c r="O429" s="1"/>
      <c r="P429" s="1"/>
      <c r="Q429" s="1"/>
      <c r="R429" s="1"/>
      <c r="S429" s="1"/>
      <c r="T429" s="1"/>
      <c r="U429" s="1"/>
      <c r="V429" s="1"/>
    </row>
    <row r="430" spans="11:22">
      <c r="K430" s="1"/>
      <c r="L430" s="1"/>
      <c r="M430" s="1"/>
      <c r="N430" s="1"/>
      <c r="O430" s="1"/>
      <c r="P430" s="1"/>
      <c r="Q430" s="1"/>
      <c r="R430" s="1"/>
      <c r="S430" s="1"/>
      <c r="T430" s="1"/>
      <c r="U430" s="1"/>
      <c r="V430" s="1"/>
    </row>
    <row r="431" spans="11:22">
      <c r="K431" s="1"/>
      <c r="L431" s="1"/>
      <c r="M431" s="1"/>
      <c r="N431" s="1"/>
      <c r="O431" s="1"/>
      <c r="P431" s="1"/>
      <c r="Q431" s="1"/>
      <c r="R431" s="1"/>
      <c r="S431" s="1"/>
      <c r="T431" s="1"/>
      <c r="U431" s="1"/>
      <c r="V431" s="1"/>
    </row>
    <row r="432" spans="11:22">
      <c r="K432" s="1"/>
      <c r="L432" s="1"/>
      <c r="M432" s="1"/>
      <c r="N432" s="1"/>
      <c r="O432" s="1"/>
      <c r="P432" s="1"/>
      <c r="Q432" s="1"/>
      <c r="R432" s="1"/>
      <c r="S432" s="1"/>
      <c r="T432" s="1"/>
      <c r="U432" s="1"/>
      <c r="V432" s="1"/>
    </row>
    <row r="433" spans="11:22">
      <c r="K433" s="1"/>
      <c r="L433" s="1"/>
      <c r="M433" s="1"/>
      <c r="N433" s="1"/>
      <c r="O433" s="1"/>
      <c r="P433" s="1"/>
      <c r="Q433" s="1"/>
      <c r="R433" s="1"/>
      <c r="S433" s="1"/>
      <c r="T433" s="1"/>
      <c r="U433" s="1"/>
      <c r="V433" s="1"/>
    </row>
    <row r="434" spans="11:22">
      <c r="K434" s="1"/>
      <c r="L434" s="1"/>
      <c r="M434" s="1"/>
      <c r="N434" s="1"/>
      <c r="O434" s="1"/>
      <c r="P434" s="1"/>
      <c r="Q434" s="1"/>
      <c r="R434" s="1"/>
      <c r="S434" s="1"/>
      <c r="T434" s="1"/>
      <c r="U434" s="1"/>
      <c r="V434" s="1"/>
    </row>
    <row r="435" spans="11:22">
      <c r="K435" s="1"/>
      <c r="L435" s="1"/>
      <c r="M435" s="1"/>
      <c r="N435" s="1"/>
      <c r="O435" s="1"/>
      <c r="P435" s="1"/>
      <c r="Q435" s="1"/>
      <c r="R435" s="1"/>
      <c r="S435" s="1"/>
      <c r="T435" s="1"/>
      <c r="U435" s="1"/>
      <c r="V435" s="1"/>
    </row>
    <row r="436" spans="11:22">
      <c r="K436" s="1"/>
      <c r="L436" s="1"/>
      <c r="M436" s="1"/>
      <c r="N436" s="1"/>
      <c r="O436" s="1"/>
      <c r="P436" s="1"/>
      <c r="Q436" s="1"/>
      <c r="R436" s="1"/>
      <c r="S436" s="1"/>
      <c r="T436" s="1"/>
      <c r="U436" s="1"/>
      <c r="V436" s="1"/>
    </row>
    <row r="437" spans="11:22">
      <c r="K437" s="1"/>
      <c r="L437" s="1"/>
      <c r="M437" s="1"/>
      <c r="N437" s="1"/>
      <c r="O437" s="1"/>
      <c r="P437" s="1"/>
      <c r="Q437" s="1"/>
      <c r="R437" s="1"/>
      <c r="S437" s="1"/>
      <c r="T437" s="1"/>
      <c r="U437" s="1"/>
      <c r="V437" s="1"/>
    </row>
    <row r="438" spans="11:22">
      <c r="K438" s="1"/>
      <c r="L438" s="1"/>
      <c r="M438" s="1"/>
      <c r="N438" s="1"/>
      <c r="O438" s="1"/>
      <c r="P438" s="1"/>
      <c r="Q438" s="1"/>
      <c r="R438" s="1"/>
      <c r="S438" s="1"/>
      <c r="T438" s="1"/>
      <c r="U438" s="1"/>
      <c r="V438" s="1"/>
    </row>
    <row r="439" spans="11:22">
      <c r="K439" s="1"/>
      <c r="L439" s="1"/>
      <c r="M439" s="1"/>
      <c r="N439" s="1"/>
      <c r="O439" s="1"/>
      <c r="P439" s="1"/>
      <c r="Q439" s="1"/>
      <c r="R439" s="1"/>
      <c r="S439" s="1"/>
      <c r="T439" s="1"/>
      <c r="U439" s="1"/>
      <c r="V439" s="1"/>
    </row>
    <row r="440" spans="11:22">
      <c r="K440" s="1"/>
      <c r="L440" s="1"/>
      <c r="M440" s="1"/>
      <c r="N440" s="1"/>
      <c r="O440" s="1"/>
      <c r="P440" s="1"/>
      <c r="Q440" s="1"/>
      <c r="R440" s="1"/>
      <c r="S440" s="1"/>
      <c r="T440" s="1"/>
      <c r="U440" s="1"/>
      <c r="V440" s="1"/>
    </row>
    <row r="441" spans="11:22">
      <c r="K441" s="1"/>
      <c r="L441" s="1"/>
      <c r="M441" s="1"/>
      <c r="N441" s="1"/>
      <c r="O441" s="1"/>
      <c r="P441" s="1"/>
      <c r="Q441" s="1"/>
      <c r="R441" s="1"/>
      <c r="S441" s="1"/>
      <c r="T441" s="1"/>
      <c r="U441" s="1"/>
      <c r="V441" s="1"/>
    </row>
    <row r="442" spans="11:22">
      <c r="K442" s="1"/>
      <c r="L442" s="1"/>
      <c r="M442" s="1"/>
      <c r="N442" s="1"/>
      <c r="O442" s="1"/>
      <c r="P442" s="1"/>
      <c r="Q442" s="1"/>
      <c r="R442" s="1"/>
      <c r="S442" s="1"/>
      <c r="T442" s="1"/>
      <c r="U442" s="1"/>
      <c r="V442" s="1"/>
    </row>
    <row r="443" spans="11:22">
      <c r="K443" s="1"/>
      <c r="L443" s="1"/>
      <c r="M443" s="1"/>
      <c r="N443" s="1"/>
      <c r="O443" s="1"/>
      <c r="P443" s="1"/>
      <c r="Q443" s="1"/>
      <c r="R443" s="1"/>
      <c r="S443" s="1"/>
      <c r="T443" s="1"/>
      <c r="U443" s="1"/>
      <c r="V443" s="1"/>
    </row>
    <row r="444" spans="11:22">
      <c r="K444" s="1"/>
      <c r="L444" s="1"/>
      <c r="M444" s="1"/>
      <c r="N444" s="1"/>
      <c r="O444" s="1"/>
      <c r="P444" s="1"/>
      <c r="Q444" s="1"/>
      <c r="R444" s="1"/>
      <c r="S444" s="1"/>
      <c r="T444" s="1"/>
      <c r="U444" s="1"/>
      <c r="V444" s="1"/>
    </row>
    <row r="445" spans="11:22">
      <c r="K445" s="1"/>
      <c r="L445" s="1"/>
      <c r="M445" s="1"/>
      <c r="N445" s="1"/>
      <c r="O445" s="1"/>
      <c r="P445" s="1"/>
      <c r="Q445" s="1"/>
      <c r="R445" s="1"/>
      <c r="S445" s="1"/>
      <c r="T445" s="1"/>
      <c r="U445" s="1"/>
      <c r="V445" s="1"/>
    </row>
    <row r="446" spans="11:22">
      <c r="K446" s="1"/>
      <c r="L446" s="1"/>
      <c r="M446" s="1"/>
      <c r="N446" s="1"/>
      <c r="O446" s="1"/>
      <c r="P446" s="1"/>
      <c r="Q446" s="1"/>
      <c r="R446" s="1"/>
      <c r="S446" s="1"/>
      <c r="T446" s="1"/>
      <c r="U446" s="1"/>
      <c r="V446" s="1"/>
    </row>
    <row r="447" spans="11:22">
      <c r="K447" s="1"/>
      <c r="L447" s="1"/>
      <c r="M447" s="1"/>
      <c r="N447" s="1"/>
      <c r="O447" s="1"/>
      <c r="P447" s="1"/>
      <c r="Q447" s="1"/>
      <c r="R447" s="1"/>
      <c r="S447" s="1"/>
      <c r="T447" s="1"/>
      <c r="U447" s="1"/>
      <c r="V447" s="1"/>
    </row>
    <row r="448" spans="11:22">
      <c r="K448" s="1"/>
      <c r="L448" s="1"/>
      <c r="M448" s="1"/>
      <c r="N448" s="1"/>
      <c r="O448" s="1"/>
      <c r="P448" s="1"/>
      <c r="Q448" s="1"/>
      <c r="R448" s="1"/>
      <c r="S448" s="1"/>
      <c r="T448" s="1"/>
      <c r="U448" s="1"/>
      <c r="V448" s="1"/>
    </row>
    <row r="449" spans="11:22">
      <c r="K449" s="1"/>
      <c r="L449" s="1"/>
      <c r="M449" s="1"/>
      <c r="N449" s="1"/>
      <c r="O449" s="1"/>
      <c r="P449" s="1"/>
      <c r="Q449" s="1"/>
      <c r="R449" s="1"/>
      <c r="S449" s="1"/>
      <c r="T449" s="1"/>
      <c r="U449" s="1"/>
      <c r="V449" s="1"/>
    </row>
    <row r="450" spans="11:22">
      <c r="K450" s="1"/>
      <c r="L450" s="1"/>
      <c r="M450" s="1"/>
      <c r="N450" s="1"/>
      <c r="O450" s="1"/>
      <c r="P450" s="1"/>
      <c r="Q450" s="1"/>
      <c r="R450" s="1"/>
      <c r="S450" s="1"/>
      <c r="T450" s="1"/>
      <c r="U450" s="1"/>
      <c r="V450" s="1"/>
    </row>
    <row r="451" spans="11:22">
      <c r="K451" s="1"/>
      <c r="L451" s="1"/>
      <c r="M451" s="1"/>
      <c r="N451" s="1"/>
      <c r="O451" s="1"/>
      <c r="P451" s="1"/>
      <c r="Q451" s="1"/>
      <c r="R451" s="1"/>
      <c r="S451" s="1"/>
      <c r="T451" s="1"/>
      <c r="U451" s="1"/>
      <c r="V451" s="1"/>
    </row>
    <row r="452" spans="11:22">
      <c r="K452" s="1"/>
      <c r="L452" s="1"/>
      <c r="M452" s="1"/>
      <c r="N452" s="1"/>
      <c r="O452" s="1"/>
      <c r="P452" s="1"/>
      <c r="Q452" s="1"/>
      <c r="R452" s="1"/>
      <c r="S452" s="1"/>
      <c r="T452" s="1"/>
      <c r="U452" s="1"/>
      <c r="V452" s="1"/>
    </row>
    <row r="453" spans="11:22">
      <c r="K453" s="1"/>
      <c r="L453" s="1"/>
      <c r="M453" s="1"/>
      <c r="N453" s="1"/>
      <c r="O453" s="1"/>
      <c r="P453" s="1"/>
      <c r="Q453" s="1"/>
      <c r="R453" s="1"/>
      <c r="S453" s="1"/>
      <c r="T453" s="1"/>
      <c r="U453" s="1"/>
      <c r="V453" s="1"/>
    </row>
    <row r="454" spans="11:22">
      <c r="K454" s="1"/>
      <c r="L454" s="1"/>
      <c r="M454" s="1"/>
      <c r="N454" s="1"/>
      <c r="O454" s="1"/>
      <c r="P454" s="1"/>
      <c r="Q454" s="1"/>
      <c r="R454" s="1"/>
      <c r="S454" s="1"/>
      <c r="T454" s="1"/>
      <c r="U454" s="1"/>
      <c r="V454" s="1"/>
    </row>
    <row r="455" spans="11:22">
      <c r="K455" s="1"/>
      <c r="L455" s="1"/>
      <c r="M455" s="1"/>
      <c r="N455" s="1"/>
      <c r="O455" s="1"/>
      <c r="P455" s="1"/>
      <c r="Q455" s="1"/>
      <c r="R455" s="1"/>
      <c r="S455" s="1"/>
      <c r="T455" s="1"/>
      <c r="U455" s="1"/>
      <c r="V455" s="1"/>
    </row>
    <row r="456" spans="11:22">
      <c r="K456" s="1"/>
      <c r="L456" s="1"/>
      <c r="M456" s="1"/>
      <c r="N456" s="1"/>
      <c r="O456" s="1"/>
      <c r="P456" s="1"/>
      <c r="Q456" s="1"/>
      <c r="R456" s="1"/>
      <c r="S456" s="1"/>
      <c r="T456" s="1"/>
      <c r="U456" s="1"/>
      <c r="V456" s="1"/>
    </row>
    <row r="457" spans="11:22">
      <c r="K457" s="1"/>
      <c r="L457" s="1"/>
      <c r="M457" s="1"/>
      <c r="N457" s="1"/>
      <c r="O457" s="1"/>
      <c r="P457" s="1"/>
      <c r="Q457" s="1"/>
      <c r="R457" s="1"/>
      <c r="S457" s="1"/>
      <c r="T457" s="1"/>
      <c r="U457" s="1"/>
      <c r="V457" s="1"/>
    </row>
    <row r="458" spans="11:22">
      <c r="K458" s="1"/>
      <c r="L458" s="1"/>
      <c r="M458" s="1"/>
      <c r="N458" s="1"/>
      <c r="O458" s="1"/>
      <c r="P458" s="1"/>
      <c r="Q458" s="1"/>
      <c r="R458" s="1"/>
      <c r="S458" s="1"/>
      <c r="T458" s="1"/>
      <c r="U458" s="1"/>
      <c r="V458" s="1"/>
    </row>
    <row r="459" spans="11:22">
      <c r="K459" s="1"/>
      <c r="L459" s="1"/>
      <c r="M459" s="1"/>
      <c r="N459" s="1"/>
      <c r="O459" s="1"/>
      <c r="P459" s="1"/>
      <c r="Q459" s="1"/>
      <c r="R459" s="1"/>
      <c r="S459" s="1"/>
      <c r="T459" s="1"/>
      <c r="U459" s="1"/>
      <c r="V459" s="1"/>
    </row>
    <row r="460" spans="11:22">
      <c r="K460" s="1"/>
      <c r="L460" s="1"/>
      <c r="M460" s="1"/>
      <c r="N460" s="1"/>
      <c r="O460" s="1"/>
      <c r="P460" s="1"/>
      <c r="Q460" s="1"/>
      <c r="R460" s="1"/>
      <c r="S460" s="1"/>
      <c r="T460" s="1"/>
      <c r="U460" s="1"/>
      <c r="V460" s="1"/>
    </row>
    <row r="461" spans="11:22">
      <c r="K461" s="1"/>
      <c r="L461" s="1"/>
      <c r="M461" s="1"/>
      <c r="N461" s="1"/>
      <c r="O461" s="1"/>
      <c r="P461" s="1"/>
      <c r="Q461" s="1"/>
      <c r="R461" s="1"/>
      <c r="S461" s="1"/>
      <c r="T461" s="1"/>
      <c r="U461" s="1"/>
      <c r="V461" s="1"/>
    </row>
    <row r="462" spans="11:22">
      <c r="K462" s="1"/>
      <c r="L462" s="1"/>
      <c r="M462" s="1"/>
      <c r="N462" s="1"/>
      <c r="O462" s="1"/>
      <c r="P462" s="1"/>
      <c r="Q462" s="1"/>
      <c r="R462" s="1"/>
      <c r="S462" s="1"/>
      <c r="T462" s="1"/>
      <c r="U462" s="1"/>
      <c r="V462" s="1"/>
    </row>
    <row r="463" spans="11:22">
      <c r="K463" s="1"/>
      <c r="L463" s="1"/>
      <c r="M463" s="1"/>
      <c r="N463" s="1"/>
      <c r="O463" s="1"/>
      <c r="P463" s="1"/>
      <c r="Q463" s="1"/>
      <c r="R463" s="1"/>
      <c r="S463" s="1"/>
      <c r="T463" s="1"/>
      <c r="U463" s="1"/>
      <c r="V463" s="1"/>
    </row>
    <row r="464" spans="11:22">
      <c r="K464" s="1"/>
      <c r="L464" s="1"/>
      <c r="M464" s="1"/>
      <c r="N464" s="1"/>
      <c r="O464" s="1"/>
      <c r="P464" s="1"/>
      <c r="Q464" s="1"/>
      <c r="R464" s="1"/>
      <c r="S464" s="1"/>
      <c r="T464" s="1"/>
      <c r="U464" s="1"/>
      <c r="V464" s="1"/>
    </row>
    <row r="465" spans="11:22">
      <c r="K465" s="1"/>
      <c r="L465" s="1"/>
      <c r="M465" s="1"/>
      <c r="N465" s="1"/>
      <c r="O465" s="1"/>
      <c r="P465" s="1"/>
      <c r="Q465" s="1"/>
      <c r="R465" s="1"/>
      <c r="S465" s="1"/>
      <c r="T465" s="1"/>
      <c r="U465" s="1"/>
      <c r="V465" s="1"/>
    </row>
    <row r="466" spans="11:22">
      <c r="K466" s="1"/>
      <c r="L466" s="1"/>
      <c r="M466" s="1"/>
      <c r="N466" s="1"/>
      <c r="O466" s="1"/>
      <c r="P466" s="1"/>
      <c r="Q466" s="1"/>
      <c r="R466" s="1"/>
      <c r="S466" s="1"/>
      <c r="T466" s="1"/>
      <c r="U466" s="1"/>
      <c r="V466" s="1"/>
    </row>
    <row r="467" spans="11:22">
      <c r="K467" s="1"/>
      <c r="L467" s="1"/>
      <c r="M467" s="1"/>
      <c r="N467" s="1"/>
      <c r="O467" s="1"/>
      <c r="P467" s="1"/>
      <c r="Q467" s="1"/>
      <c r="R467" s="1"/>
      <c r="S467" s="1"/>
      <c r="T467" s="1"/>
      <c r="U467" s="1"/>
      <c r="V467" s="1"/>
    </row>
    <row r="468" spans="11:22">
      <c r="K468" s="1"/>
      <c r="L468" s="1"/>
      <c r="M468" s="1"/>
      <c r="N468" s="1"/>
      <c r="O468" s="1"/>
      <c r="P468" s="1"/>
      <c r="Q468" s="1"/>
      <c r="R468" s="1"/>
      <c r="S468" s="1"/>
      <c r="T468" s="1"/>
      <c r="U468" s="1"/>
      <c r="V468" s="1"/>
    </row>
    <row r="469" spans="11:22">
      <c r="K469" s="1"/>
      <c r="L469" s="1"/>
      <c r="M469" s="1"/>
      <c r="N469" s="1"/>
      <c r="O469" s="1"/>
      <c r="P469" s="1"/>
      <c r="Q469" s="1"/>
      <c r="R469" s="1"/>
      <c r="S469" s="1"/>
      <c r="T469" s="1"/>
      <c r="U469" s="1"/>
      <c r="V469" s="1"/>
    </row>
    <row r="470" spans="11:22">
      <c r="K470" s="1"/>
      <c r="L470" s="1"/>
      <c r="M470" s="1"/>
      <c r="N470" s="1"/>
      <c r="O470" s="1"/>
      <c r="P470" s="1"/>
      <c r="Q470" s="1"/>
      <c r="R470" s="1"/>
      <c r="S470" s="1"/>
      <c r="T470" s="1"/>
      <c r="U470" s="1"/>
      <c r="V470" s="1"/>
    </row>
    <row r="471" spans="11:22">
      <c r="K471" s="1"/>
      <c r="L471" s="1"/>
      <c r="M471" s="1"/>
      <c r="N471" s="1"/>
      <c r="O471" s="1"/>
      <c r="P471" s="1"/>
      <c r="Q471" s="1"/>
      <c r="R471" s="1"/>
      <c r="S471" s="1"/>
      <c r="T471" s="1"/>
      <c r="U471" s="1"/>
      <c r="V471" s="1"/>
    </row>
    <row r="472" spans="11:22">
      <c r="K472" s="1"/>
      <c r="L472" s="1"/>
      <c r="M472" s="1"/>
      <c r="N472" s="1"/>
      <c r="O472" s="1"/>
      <c r="P472" s="1"/>
      <c r="Q472" s="1"/>
      <c r="R472" s="1"/>
      <c r="S472" s="1"/>
      <c r="T472" s="1"/>
      <c r="U472" s="1"/>
      <c r="V472" s="1"/>
    </row>
    <row r="473" spans="11:22">
      <c r="K473" s="1"/>
      <c r="L473" s="1"/>
      <c r="M473" s="1"/>
      <c r="N473" s="1"/>
      <c r="O473" s="1"/>
      <c r="P473" s="1"/>
      <c r="Q473" s="1"/>
      <c r="R473" s="1"/>
      <c r="S473" s="1"/>
      <c r="T473" s="1"/>
      <c r="U473" s="1"/>
      <c r="V473" s="1"/>
    </row>
    <row r="474" spans="11:22">
      <c r="K474" s="1"/>
      <c r="L474" s="1"/>
      <c r="M474" s="1"/>
      <c r="N474" s="1"/>
      <c r="O474" s="1"/>
      <c r="P474" s="1"/>
      <c r="Q474" s="1"/>
      <c r="R474" s="1"/>
      <c r="S474" s="1"/>
      <c r="T474" s="1"/>
      <c r="U474" s="1"/>
      <c r="V474" s="1"/>
    </row>
    <row r="475" spans="11:22">
      <c r="K475" s="1"/>
      <c r="L475" s="1"/>
      <c r="M475" s="1"/>
      <c r="N475" s="1"/>
      <c r="O475" s="1"/>
      <c r="P475" s="1"/>
      <c r="Q475" s="1"/>
      <c r="R475" s="1"/>
      <c r="S475" s="1"/>
      <c r="T475" s="1"/>
      <c r="U475" s="1"/>
      <c r="V475" s="1"/>
    </row>
    <row r="476" spans="11:22">
      <c r="K476" s="1"/>
      <c r="L476" s="1"/>
      <c r="M476" s="1"/>
      <c r="N476" s="1"/>
      <c r="O476" s="1"/>
      <c r="P476" s="1"/>
      <c r="Q476" s="1"/>
      <c r="R476" s="1"/>
      <c r="S476" s="1"/>
      <c r="T476" s="1"/>
      <c r="U476" s="1"/>
      <c r="V476" s="1"/>
    </row>
    <row r="477" spans="11:22">
      <c r="K477" s="1"/>
      <c r="L477" s="1"/>
      <c r="M477" s="1"/>
      <c r="N477" s="1"/>
      <c r="O477" s="1"/>
      <c r="P477" s="1"/>
      <c r="Q477" s="1"/>
      <c r="R477" s="1"/>
      <c r="S477" s="1"/>
      <c r="T477" s="1"/>
      <c r="U477" s="1"/>
      <c r="V477" s="1"/>
    </row>
    <row r="478" spans="11:22">
      <c r="K478" s="1"/>
      <c r="L478" s="1"/>
      <c r="M478" s="1"/>
      <c r="N478" s="1"/>
      <c r="O478" s="1"/>
      <c r="P478" s="1"/>
      <c r="Q478" s="1"/>
      <c r="R478" s="1"/>
      <c r="S478" s="1"/>
      <c r="T478" s="1"/>
      <c r="U478" s="1"/>
      <c r="V478" s="1"/>
    </row>
    <row r="479" spans="11:22">
      <c r="K479" s="1"/>
      <c r="L479" s="1"/>
      <c r="M479" s="1"/>
      <c r="N479" s="1"/>
      <c r="O479" s="1"/>
      <c r="P479" s="1"/>
      <c r="Q479" s="1"/>
      <c r="R479" s="1"/>
      <c r="S479" s="1"/>
      <c r="T479" s="1"/>
      <c r="U479" s="1"/>
      <c r="V479" s="1"/>
    </row>
    <row r="480" spans="11:22">
      <c r="K480" s="1"/>
      <c r="L480" s="1"/>
      <c r="M480" s="1"/>
      <c r="N480" s="1"/>
      <c r="O480" s="1"/>
      <c r="P480" s="1"/>
      <c r="Q480" s="1"/>
      <c r="R480" s="1"/>
      <c r="S480" s="1"/>
      <c r="T480" s="1"/>
      <c r="U480" s="1"/>
      <c r="V480" s="1"/>
    </row>
    <row r="481" spans="11:22">
      <c r="K481" s="1"/>
      <c r="L481" s="1"/>
      <c r="M481" s="1"/>
      <c r="N481" s="1"/>
      <c r="O481" s="1"/>
      <c r="P481" s="1"/>
      <c r="Q481" s="1"/>
      <c r="R481" s="1"/>
      <c r="S481" s="1"/>
      <c r="T481" s="1"/>
      <c r="U481" s="1"/>
      <c r="V481" s="1"/>
    </row>
    <row r="482" spans="11:22">
      <c r="K482" s="1"/>
      <c r="L482" s="1"/>
      <c r="M482" s="1"/>
      <c r="N482" s="1"/>
      <c r="O482" s="1"/>
      <c r="P482" s="1"/>
      <c r="Q482" s="1"/>
      <c r="R482" s="1"/>
      <c r="S482" s="1"/>
      <c r="T482" s="1"/>
      <c r="U482" s="1"/>
      <c r="V482" s="1"/>
    </row>
    <row r="483" spans="11:22">
      <c r="K483" s="1"/>
      <c r="L483" s="1"/>
      <c r="M483" s="1"/>
      <c r="N483" s="1"/>
      <c r="O483" s="1"/>
      <c r="P483" s="1"/>
      <c r="Q483" s="1"/>
      <c r="R483" s="1"/>
      <c r="S483" s="1"/>
      <c r="T483" s="1"/>
      <c r="U483" s="1"/>
      <c r="V483" s="1"/>
    </row>
    <row r="484" spans="11:22">
      <c r="K484" s="1"/>
      <c r="L484" s="1"/>
      <c r="M484" s="1"/>
      <c r="N484" s="1"/>
      <c r="O484" s="1"/>
      <c r="P484" s="1"/>
      <c r="Q484" s="1"/>
      <c r="R484" s="1"/>
      <c r="S484" s="1"/>
      <c r="T484" s="1"/>
      <c r="U484" s="1"/>
      <c r="V484" s="1"/>
    </row>
    <row r="485" spans="11:22">
      <c r="K485" s="1"/>
      <c r="L485" s="1"/>
      <c r="M485" s="1"/>
      <c r="N485" s="1"/>
      <c r="O485" s="1"/>
      <c r="P485" s="1"/>
      <c r="Q485" s="1"/>
      <c r="R485" s="1"/>
      <c r="S485" s="1"/>
      <c r="T485" s="1"/>
      <c r="U485" s="1"/>
      <c r="V485" s="1"/>
    </row>
    <row r="486" spans="11:22">
      <c r="K486" s="1"/>
      <c r="L486" s="1"/>
      <c r="M486" s="1"/>
      <c r="N486" s="1"/>
      <c r="O486" s="1"/>
      <c r="P486" s="1"/>
      <c r="Q486" s="1"/>
      <c r="R486" s="1"/>
      <c r="S486" s="1"/>
      <c r="T486" s="1"/>
      <c r="U486" s="1"/>
      <c r="V486" s="1"/>
    </row>
    <row r="487" spans="11:22">
      <c r="K487" s="1"/>
      <c r="L487" s="1"/>
      <c r="M487" s="1"/>
      <c r="N487" s="1"/>
      <c r="O487" s="1"/>
      <c r="P487" s="1"/>
      <c r="Q487" s="1"/>
      <c r="R487" s="1"/>
      <c r="S487" s="1"/>
      <c r="T487" s="1"/>
      <c r="U487" s="1"/>
      <c r="V487" s="1"/>
    </row>
    <row r="488" spans="11:22">
      <c r="K488" s="1"/>
      <c r="L488" s="1"/>
      <c r="M488" s="1"/>
      <c r="N488" s="1"/>
      <c r="O488" s="1"/>
      <c r="P488" s="1"/>
      <c r="Q488" s="1"/>
      <c r="R488" s="1"/>
      <c r="S488" s="1"/>
      <c r="T488" s="1"/>
      <c r="U488" s="1"/>
      <c r="V488" s="1"/>
    </row>
    <row r="489" spans="11:22">
      <c r="K489" s="1"/>
      <c r="L489" s="1"/>
      <c r="M489" s="1"/>
      <c r="N489" s="1"/>
      <c r="O489" s="1"/>
      <c r="P489" s="1"/>
      <c r="Q489" s="1"/>
      <c r="R489" s="1"/>
      <c r="S489" s="1"/>
      <c r="T489" s="1"/>
      <c r="U489" s="1"/>
      <c r="V489" s="1"/>
    </row>
    <row r="490" spans="11:22">
      <c r="K490" s="1"/>
      <c r="L490" s="1"/>
      <c r="M490" s="1"/>
      <c r="N490" s="1"/>
      <c r="O490" s="1"/>
      <c r="P490" s="1"/>
      <c r="Q490" s="1"/>
      <c r="R490" s="1"/>
      <c r="S490" s="1"/>
      <c r="T490" s="1"/>
      <c r="U490" s="1"/>
      <c r="V490" s="1"/>
    </row>
    <row r="491" spans="11:22">
      <c r="K491" s="1"/>
      <c r="L491" s="1"/>
      <c r="M491" s="1"/>
      <c r="N491" s="1"/>
      <c r="O491" s="1"/>
      <c r="P491" s="1"/>
      <c r="Q491" s="1"/>
      <c r="R491" s="1"/>
      <c r="S491" s="1"/>
      <c r="T491" s="1"/>
      <c r="U491" s="1"/>
      <c r="V491" s="1"/>
    </row>
    <row r="492" spans="11:22">
      <c r="K492" s="1"/>
      <c r="L492" s="1"/>
      <c r="M492" s="1"/>
      <c r="N492" s="1"/>
      <c r="O492" s="1"/>
      <c r="P492" s="1"/>
      <c r="Q492" s="1"/>
      <c r="R492" s="1"/>
      <c r="S492" s="1"/>
      <c r="T492" s="1"/>
      <c r="U492" s="1"/>
      <c r="V492" s="1"/>
    </row>
    <row r="493" spans="11:22">
      <c r="K493" s="1"/>
      <c r="L493" s="1"/>
      <c r="M493" s="1"/>
      <c r="N493" s="1"/>
      <c r="O493" s="1"/>
      <c r="P493" s="1"/>
      <c r="Q493" s="1"/>
      <c r="R493" s="1"/>
      <c r="S493" s="1"/>
      <c r="T493" s="1"/>
      <c r="U493" s="1"/>
      <c r="V493" s="1"/>
    </row>
    <row r="494" spans="11:22">
      <c r="K494" s="1"/>
      <c r="L494" s="1"/>
      <c r="M494" s="1"/>
      <c r="N494" s="1"/>
      <c r="O494" s="1"/>
      <c r="P494" s="1"/>
      <c r="Q494" s="1"/>
      <c r="R494" s="1"/>
      <c r="S494" s="1"/>
      <c r="T494" s="1"/>
      <c r="U494" s="1"/>
      <c r="V494" s="1"/>
    </row>
    <row r="495" spans="11:22">
      <c r="K495" s="1"/>
      <c r="L495" s="1"/>
      <c r="M495" s="1"/>
      <c r="N495" s="1"/>
      <c r="O495" s="1"/>
      <c r="P495" s="1"/>
      <c r="Q495" s="1"/>
      <c r="R495" s="1"/>
      <c r="S495" s="1"/>
      <c r="T495" s="1"/>
      <c r="U495" s="1"/>
      <c r="V495" s="1"/>
    </row>
    <row r="496" spans="11:22">
      <c r="K496" s="1"/>
      <c r="L496" s="1"/>
      <c r="M496" s="1"/>
      <c r="N496" s="1"/>
      <c r="O496" s="1"/>
      <c r="P496" s="1"/>
      <c r="Q496" s="1"/>
      <c r="R496" s="1"/>
      <c r="S496" s="1"/>
      <c r="T496" s="1"/>
      <c r="U496" s="1"/>
      <c r="V496" s="1"/>
    </row>
    <row r="497" spans="11:22">
      <c r="K497" s="1"/>
      <c r="L497" s="1"/>
      <c r="M497" s="1"/>
      <c r="N497" s="1"/>
      <c r="O497" s="1"/>
      <c r="P497" s="1"/>
      <c r="Q497" s="1"/>
      <c r="R497" s="1"/>
      <c r="S497" s="1"/>
      <c r="T497" s="1"/>
      <c r="U497" s="1"/>
      <c r="V497" s="1"/>
    </row>
    <row r="498" spans="11:22">
      <c r="K498" s="1"/>
      <c r="L498" s="1"/>
      <c r="M498" s="1"/>
      <c r="N498" s="1"/>
      <c r="O498" s="1"/>
      <c r="P498" s="1"/>
      <c r="Q498" s="1"/>
      <c r="R498" s="1"/>
      <c r="S498" s="1"/>
      <c r="T498" s="1"/>
      <c r="U498" s="1"/>
      <c r="V498" s="1"/>
    </row>
    <row r="499" spans="11:22">
      <c r="K499" s="1"/>
      <c r="L499" s="1"/>
      <c r="M499" s="1"/>
      <c r="N499" s="1"/>
      <c r="O499" s="1"/>
      <c r="P499" s="1"/>
      <c r="Q499" s="1"/>
      <c r="R499" s="1"/>
      <c r="S499" s="1"/>
      <c r="T499" s="1"/>
      <c r="U499" s="1"/>
      <c r="V499" s="1"/>
    </row>
    <row r="500" spans="11:22">
      <c r="K500" s="1"/>
      <c r="L500" s="1"/>
      <c r="M500" s="1"/>
      <c r="N500" s="1"/>
      <c r="O500" s="1"/>
      <c r="P500" s="1"/>
      <c r="Q500" s="1"/>
      <c r="R500" s="1"/>
      <c r="S500" s="1"/>
      <c r="T500" s="1"/>
      <c r="U500" s="1"/>
      <c r="V500" s="1"/>
    </row>
    <row r="501" spans="11:22">
      <c r="K501" s="1"/>
      <c r="L501" s="1"/>
      <c r="M501" s="1"/>
      <c r="N501" s="1"/>
      <c r="O501" s="1"/>
      <c r="P501" s="1"/>
      <c r="Q501" s="1"/>
      <c r="R501" s="1"/>
      <c r="S501" s="1"/>
      <c r="T501" s="1"/>
      <c r="U501" s="1"/>
      <c r="V501" s="1"/>
    </row>
    <row r="502" spans="11:22">
      <c r="K502" s="1"/>
      <c r="L502" s="1"/>
      <c r="M502" s="1"/>
      <c r="N502" s="1"/>
      <c r="O502" s="1"/>
      <c r="P502" s="1"/>
      <c r="Q502" s="1"/>
      <c r="R502" s="1"/>
      <c r="S502" s="1"/>
      <c r="T502" s="1"/>
      <c r="U502" s="1"/>
      <c r="V502" s="1"/>
    </row>
    <row r="503" spans="11:22">
      <c r="K503" s="1"/>
      <c r="L503" s="1"/>
      <c r="M503" s="1"/>
      <c r="N503" s="1"/>
      <c r="O503" s="1"/>
      <c r="P503" s="1"/>
      <c r="Q503" s="1"/>
      <c r="R503" s="1"/>
      <c r="S503" s="1"/>
      <c r="T503" s="1"/>
      <c r="U503" s="1"/>
      <c r="V503" s="1"/>
    </row>
    <row r="504" spans="11:22">
      <c r="K504" s="1"/>
      <c r="L504" s="1"/>
      <c r="M504" s="1"/>
      <c r="N504" s="1"/>
      <c r="O504" s="1"/>
      <c r="P504" s="1"/>
      <c r="Q504" s="1"/>
      <c r="R504" s="1"/>
      <c r="S504" s="1"/>
      <c r="T504" s="1"/>
      <c r="U504" s="1"/>
      <c r="V504" s="1"/>
    </row>
    <row r="505" spans="11:22">
      <c r="K505" s="1"/>
      <c r="L505" s="1"/>
      <c r="M505" s="1"/>
      <c r="N505" s="1"/>
      <c r="O505" s="1"/>
      <c r="P505" s="1"/>
      <c r="Q505" s="1"/>
      <c r="R505" s="1"/>
      <c r="S505" s="1"/>
      <c r="T505" s="1"/>
      <c r="U505" s="1"/>
      <c r="V505" s="1"/>
    </row>
    <row r="506" spans="11:22">
      <c r="K506" s="1"/>
      <c r="L506" s="1"/>
      <c r="M506" s="1"/>
      <c r="N506" s="1"/>
      <c r="O506" s="1"/>
      <c r="P506" s="1"/>
      <c r="Q506" s="1"/>
      <c r="R506" s="1"/>
      <c r="S506" s="1"/>
      <c r="T506" s="1"/>
      <c r="U506" s="1"/>
      <c r="V506" s="1"/>
    </row>
    <row r="507" spans="11:22">
      <c r="K507" s="1"/>
      <c r="L507" s="1"/>
      <c r="M507" s="1"/>
      <c r="N507" s="1"/>
      <c r="O507" s="1"/>
      <c r="P507" s="1"/>
      <c r="Q507" s="1"/>
      <c r="R507" s="1"/>
      <c r="S507" s="1"/>
      <c r="T507" s="1"/>
      <c r="U507" s="1"/>
      <c r="V507" s="1"/>
    </row>
    <row r="508" spans="11:22">
      <c r="K508" s="1"/>
      <c r="L508" s="1"/>
      <c r="M508" s="1"/>
      <c r="N508" s="1"/>
      <c r="O508" s="1"/>
      <c r="P508" s="1"/>
      <c r="Q508" s="1"/>
      <c r="R508" s="1"/>
      <c r="S508" s="1"/>
      <c r="T508" s="1"/>
      <c r="U508" s="1"/>
      <c r="V508" s="1"/>
    </row>
    <row r="509" spans="11:22">
      <c r="K509" s="1"/>
      <c r="L509" s="1"/>
      <c r="M509" s="1"/>
      <c r="N509" s="1"/>
      <c r="O509" s="1"/>
      <c r="P509" s="1"/>
      <c r="Q509" s="1"/>
      <c r="R509" s="1"/>
      <c r="S509" s="1"/>
      <c r="T509" s="1"/>
      <c r="U509" s="1"/>
      <c r="V509" s="1"/>
    </row>
    <row r="510" spans="11:22">
      <c r="K510" s="1"/>
      <c r="L510" s="1"/>
      <c r="M510" s="1"/>
      <c r="N510" s="1"/>
      <c r="O510" s="1"/>
      <c r="P510" s="1"/>
      <c r="Q510" s="1"/>
      <c r="R510" s="1"/>
      <c r="S510" s="1"/>
      <c r="T510" s="1"/>
      <c r="U510" s="1"/>
      <c r="V510" s="1"/>
    </row>
    <row r="511" spans="11:22">
      <c r="K511" s="1"/>
      <c r="L511" s="1"/>
      <c r="M511" s="1"/>
      <c r="N511" s="1"/>
      <c r="O511" s="1"/>
      <c r="P511" s="1"/>
      <c r="Q511" s="1"/>
      <c r="R511" s="1"/>
      <c r="S511" s="1"/>
      <c r="T511" s="1"/>
      <c r="U511" s="1"/>
      <c r="V511" s="1"/>
    </row>
    <row r="512" spans="11:22">
      <c r="K512" s="1"/>
      <c r="L512" s="1"/>
      <c r="M512" s="1"/>
      <c r="N512" s="1"/>
      <c r="O512" s="1"/>
      <c r="P512" s="1"/>
      <c r="Q512" s="1"/>
      <c r="R512" s="1"/>
      <c r="S512" s="1"/>
      <c r="T512" s="1"/>
      <c r="U512" s="1"/>
      <c r="V512" s="1"/>
    </row>
    <row r="513" spans="11:22">
      <c r="K513" s="1"/>
      <c r="L513" s="1"/>
      <c r="M513" s="1"/>
      <c r="N513" s="1"/>
      <c r="O513" s="1"/>
      <c r="P513" s="1"/>
      <c r="Q513" s="1"/>
      <c r="R513" s="1"/>
      <c r="S513" s="1"/>
      <c r="T513" s="1"/>
      <c r="U513" s="1"/>
      <c r="V513" s="1"/>
    </row>
    <row r="514" spans="11:22">
      <c r="K514" s="1"/>
      <c r="L514" s="1"/>
      <c r="M514" s="1"/>
      <c r="N514" s="1"/>
      <c r="O514" s="1"/>
      <c r="P514" s="1"/>
      <c r="Q514" s="1"/>
      <c r="R514" s="1"/>
      <c r="S514" s="1"/>
      <c r="T514" s="1"/>
      <c r="U514" s="1"/>
      <c r="V514" s="1"/>
    </row>
    <row r="515" spans="11:22">
      <c r="K515" s="1"/>
      <c r="L515" s="1"/>
      <c r="M515" s="1"/>
      <c r="N515" s="1"/>
      <c r="O515" s="1"/>
      <c r="P515" s="1"/>
      <c r="Q515" s="1"/>
      <c r="R515" s="1"/>
      <c r="S515" s="1"/>
      <c r="T515" s="1"/>
      <c r="U515" s="1"/>
      <c r="V515" s="1"/>
    </row>
    <row r="516" spans="11:22">
      <c r="K516" s="1"/>
      <c r="L516" s="1"/>
      <c r="M516" s="1"/>
      <c r="N516" s="1"/>
      <c r="O516" s="1"/>
      <c r="P516" s="1"/>
      <c r="Q516" s="1"/>
      <c r="R516" s="1"/>
      <c r="S516" s="1"/>
      <c r="T516" s="1"/>
      <c r="U516" s="1"/>
      <c r="V516" s="1"/>
    </row>
    <row r="517" spans="11:22">
      <c r="K517" s="1"/>
      <c r="L517" s="1"/>
      <c r="M517" s="1"/>
      <c r="N517" s="1"/>
      <c r="O517" s="1"/>
      <c r="P517" s="1"/>
      <c r="Q517" s="1"/>
      <c r="R517" s="1"/>
      <c r="S517" s="1"/>
      <c r="T517" s="1"/>
      <c r="U517" s="1"/>
      <c r="V517" s="1"/>
    </row>
    <row r="518" spans="11:22">
      <c r="K518" s="1"/>
      <c r="L518" s="1"/>
      <c r="M518" s="1"/>
      <c r="N518" s="1"/>
      <c r="O518" s="1"/>
      <c r="P518" s="1"/>
      <c r="Q518" s="1"/>
      <c r="R518" s="1"/>
      <c r="S518" s="1"/>
      <c r="T518" s="1"/>
      <c r="U518" s="1"/>
      <c r="V518" s="1"/>
    </row>
    <row r="519" spans="11:22">
      <c r="K519" s="1"/>
      <c r="L519" s="1"/>
      <c r="M519" s="1"/>
      <c r="N519" s="1"/>
      <c r="O519" s="1"/>
      <c r="P519" s="1"/>
      <c r="Q519" s="1"/>
      <c r="R519" s="1"/>
      <c r="S519" s="1"/>
      <c r="T519" s="1"/>
      <c r="U519" s="1"/>
      <c r="V519" s="1"/>
    </row>
    <row r="520" spans="11:22">
      <c r="K520" s="1"/>
      <c r="L520" s="1"/>
      <c r="M520" s="1"/>
      <c r="N520" s="1"/>
      <c r="O520" s="1"/>
      <c r="P520" s="1"/>
      <c r="Q520" s="1"/>
      <c r="R520" s="1"/>
      <c r="S520" s="1"/>
      <c r="T520" s="1"/>
      <c r="U520" s="1"/>
      <c r="V520" s="1"/>
    </row>
    <row r="521" spans="11:22">
      <c r="K521" s="1"/>
      <c r="L521" s="1"/>
      <c r="M521" s="1"/>
      <c r="N521" s="1"/>
      <c r="O521" s="1"/>
      <c r="P521" s="1"/>
      <c r="Q521" s="1"/>
      <c r="R521" s="1"/>
      <c r="S521" s="1"/>
      <c r="T521" s="1"/>
      <c r="U521" s="1"/>
      <c r="V521" s="1"/>
    </row>
    <row r="522" spans="11:22">
      <c r="K522" s="1"/>
      <c r="L522" s="1"/>
      <c r="M522" s="1"/>
      <c r="N522" s="1"/>
      <c r="O522" s="1"/>
      <c r="P522" s="1"/>
      <c r="Q522" s="1"/>
      <c r="R522" s="1"/>
      <c r="S522" s="1"/>
      <c r="T522" s="1"/>
      <c r="U522" s="1"/>
      <c r="V522" s="1"/>
    </row>
    <row r="523" spans="11:22">
      <c r="K523" s="1"/>
      <c r="L523" s="1"/>
      <c r="M523" s="1"/>
      <c r="N523" s="1"/>
      <c r="O523" s="1"/>
      <c r="P523" s="1"/>
      <c r="Q523" s="1"/>
      <c r="R523" s="1"/>
      <c r="S523" s="1"/>
      <c r="T523" s="1"/>
      <c r="U523" s="1"/>
      <c r="V523" s="1"/>
    </row>
    <row r="524" spans="11:22">
      <c r="K524" s="1"/>
      <c r="L524" s="1"/>
      <c r="M524" s="1"/>
      <c r="N524" s="1"/>
      <c r="O524" s="1"/>
      <c r="P524" s="1"/>
      <c r="Q524" s="1"/>
      <c r="R524" s="1"/>
      <c r="S524" s="1"/>
      <c r="T524" s="1"/>
      <c r="U524" s="1"/>
      <c r="V524" s="1"/>
    </row>
    <row r="525" spans="11:22">
      <c r="K525" s="1"/>
      <c r="L525" s="1"/>
      <c r="M525" s="1"/>
      <c r="N525" s="1"/>
      <c r="O525" s="1"/>
      <c r="P525" s="1"/>
      <c r="Q525" s="1"/>
      <c r="R525" s="1"/>
      <c r="S525" s="1"/>
      <c r="T525" s="1"/>
      <c r="U525" s="1"/>
      <c r="V525" s="1"/>
    </row>
    <row r="526" spans="11:22">
      <c r="K526" s="1"/>
      <c r="L526" s="1"/>
      <c r="M526" s="1"/>
      <c r="N526" s="1"/>
      <c r="O526" s="1"/>
      <c r="P526" s="1"/>
      <c r="Q526" s="1"/>
      <c r="R526" s="1"/>
      <c r="S526" s="1"/>
      <c r="T526" s="1"/>
      <c r="U526" s="1"/>
      <c r="V526" s="1"/>
    </row>
    <row r="527" spans="11:22">
      <c r="K527" s="1"/>
      <c r="L527" s="1"/>
      <c r="M527" s="1"/>
      <c r="N527" s="1"/>
      <c r="O527" s="1"/>
      <c r="P527" s="1"/>
      <c r="Q527" s="1"/>
      <c r="R527" s="1"/>
      <c r="S527" s="1"/>
      <c r="T527" s="1"/>
      <c r="U527" s="1"/>
      <c r="V527" s="1"/>
    </row>
    <row r="528" spans="11:22">
      <c r="K528" s="1"/>
      <c r="L528" s="1"/>
      <c r="M528" s="1"/>
      <c r="N528" s="1"/>
      <c r="O528" s="1"/>
      <c r="P528" s="1"/>
      <c r="Q528" s="1"/>
      <c r="R528" s="1"/>
      <c r="S528" s="1"/>
      <c r="T528" s="1"/>
      <c r="U528" s="1"/>
      <c r="V528" s="1"/>
    </row>
    <row r="529" spans="11:22">
      <c r="K529" s="1"/>
      <c r="L529" s="1"/>
      <c r="M529" s="1"/>
      <c r="N529" s="1"/>
      <c r="O529" s="1"/>
      <c r="P529" s="1"/>
      <c r="Q529" s="1"/>
      <c r="R529" s="1"/>
      <c r="S529" s="1"/>
      <c r="T529" s="1"/>
      <c r="U529" s="1"/>
      <c r="V529" s="1"/>
    </row>
    <row r="530" spans="11:22">
      <c r="K530" s="1"/>
      <c r="L530" s="1"/>
      <c r="M530" s="1"/>
      <c r="N530" s="1"/>
      <c r="O530" s="1"/>
      <c r="P530" s="1"/>
      <c r="Q530" s="1"/>
      <c r="R530" s="1"/>
      <c r="S530" s="1"/>
      <c r="T530" s="1"/>
      <c r="U530" s="1"/>
      <c r="V530" s="1"/>
    </row>
    <row r="531" spans="11:22">
      <c r="K531" s="1"/>
      <c r="L531" s="1"/>
      <c r="M531" s="1"/>
      <c r="N531" s="1"/>
      <c r="O531" s="1"/>
      <c r="P531" s="1"/>
      <c r="Q531" s="1"/>
      <c r="R531" s="1"/>
      <c r="S531" s="1"/>
      <c r="T531" s="1"/>
      <c r="U531" s="1"/>
      <c r="V531" s="1"/>
    </row>
    <row r="532" spans="11:22">
      <c r="K532" s="1"/>
      <c r="L532" s="1"/>
      <c r="M532" s="1"/>
      <c r="N532" s="1"/>
      <c r="O532" s="1"/>
      <c r="P532" s="1"/>
      <c r="Q532" s="1"/>
      <c r="R532" s="1"/>
      <c r="S532" s="1"/>
      <c r="T532" s="1"/>
      <c r="U532" s="1"/>
      <c r="V532" s="1"/>
    </row>
    <row r="533" spans="11:22">
      <c r="K533" s="1"/>
      <c r="L533" s="1"/>
      <c r="M533" s="1"/>
      <c r="N533" s="1"/>
      <c r="O533" s="1"/>
      <c r="P533" s="1"/>
      <c r="Q533" s="1"/>
      <c r="R533" s="1"/>
      <c r="S533" s="1"/>
      <c r="T533" s="1"/>
      <c r="U533" s="1"/>
      <c r="V533" s="1"/>
    </row>
    <row r="534" spans="11:22">
      <c r="K534" s="1"/>
      <c r="L534" s="1"/>
      <c r="M534" s="1"/>
      <c r="N534" s="1"/>
      <c r="O534" s="1"/>
      <c r="P534" s="1"/>
      <c r="Q534" s="1"/>
      <c r="R534" s="1"/>
      <c r="S534" s="1"/>
      <c r="T534" s="1"/>
      <c r="U534" s="1"/>
      <c r="V534" s="1"/>
    </row>
    <row r="535" spans="11:22">
      <c r="K535" s="1"/>
      <c r="L535" s="1"/>
      <c r="M535" s="1"/>
      <c r="N535" s="1"/>
      <c r="O535" s="1"/>
      <c r="P535" s="1"/>
      <c r="Q535" s="1"/>
      <c r="R535" s="1"/>
      <c r="S535" s="1"/>
      <c r="T535" s="1"/>
      <c r="U535" s="1"/>
      <c r="V535" s="1"/>
    </row>
    <row r="536" spans="11:22">
      <c r="K536" s="1"/>
      <c r="L536" s="1"/>
      <c r="M536" s="1"/>
      <c r="N536" s="1"/>
      <c r="O536" s="1"/>
      <c r="P536" s="1"/>
      <c r="Q536" s="1"/>
      <c r="R536" s="1"/>
      <c r="S536" s="1"/>
      <c r="T536" s="1"/>
      <c r="U536" s="1"/>
      <c r="V536" s="1"/>
    </row>
    <row r="537" spans="11:22">
      <c r="K537" s="1"/>
      <c r="L537" s="1"/>
      <c r="M537" s="1"/>
      <c r="N537" s="1"/>
      <c r="O537" s="1"/>
      <c r="P537" s="1"/>
      <c r="Q537" s="1"/>
      <c r="R537" s="1"/>
      <c r="S537" s="1"/>
      <c r="T537" s="1"/>
      <c r="U537" s="1"/>
      <c r="V537" s="1"/>
    </row>
    <row r="538" spans="11:22">
      <c r="K538" s="1"/>
      <c r="L538" s="1"/>
      <c r="M538" s="1"/>
      <c r="N538" s="1"/>
      <c r="O538" s="1"/>
      <c r="P538" s="1"/>
      <c r="Q538" s="1"/>
      <c r="R538" s="1"/>
      <c r="S538" s="1"/>
      <c r="T538" s="1"/>
      <c r="U538" s="1"/>
      <c r="V538" s="1"/>
    </row>
    <row r="539" spans="11:22">
      <c r="K539" s="1"/>
      <c r="L539" s="1"/>
      <c r="M539" s="1"/>
      <c r="N539" s="1"/>
      <c r="O539" s="1"/>
      <c r="P539" s="1"/>
      <c r="Q539" s="1"/>
      <c r="R539" s="1"/>
      <c r="S539" s="1"/>
      <c r="T539" s="1"/>
      <c r="U539" s="1"/>
      <c r="V539" s="1"/>
    </row>
    <row r="540" spans="11:22">
      <c r="K540" s="1"/>
      <c r="L540" s="1"/>
      <c r="M540" s="1"/>
      <c r="N540" s="1"/>
      <c r="O540" s="1"/>
      <c r="P540" s="1"/>
      <c r="Q540" s="1"/>
      <c r="R540" s="1"/>
      <c r="S540" s="1"/>
      <c r="T540" s="1"/>
      <c r="U540" s="1"/>
      <c r="V540" s="1"/>
    </row>
    <row r="541" spans="11:22">
      <c r="K541" s="1"/>
      <c r="L541" s="1"/>
      <c r="M541" s="1"/>
      <c r="N541" s="1"/>
      <c r="O541" s="1"/>
      <c r="P541" s="1"/>
      <c r="Q541" s="1"/>
      <c r="R541" s="1"/>
      <c r="S541" s="1"/>
      <c r="T541" s="1"/>
      <c r="U541" s="1"/>
      <c r="V541" s="1"/>
    </row>
    <row r="542" spans="11:22">
      <c r="K542" s="1"/>
      <c r="L542" s="1"/>
      <c r="M542" s="1"/>
      <c r="N542" s="1"/>
      <c r="O542" s="1"/>
      <c r="P542" s="1"/>
      <c r="Q542" s="1"/>
      <c r="R542" s="1"/>
      <c r="S542" s="1"/>
      <c r="T542" s="1"/>
      <c r="U542" s="1"/>
      <c r="V542" s="1"/>
    </row>
    <row r="543" spans="11:22">
      <c r="K543" s="1"/>
      <c r="L543" s="1"/>
      <c r="M543" s="1"/>
      <c r="N543" s="1"/>
      <c r="O543" s="1"/>
      <c r="P543" s="1"/>
      <c r="Q543" s="1"/>
      <c r="R543" s="1"/>
      <c r="S543" s="1"/>
      <c r="T543" s="1"/>
      <c r="U543" s="1"/>
      <c r="V543" s="1"/>
    </row>
    <row r="544" spans="11:22">
      <c r="K544" s="1"/>
      <c r="L544" s="1"/>
      <c r="M544" s="1"/>
      <c r="N544" s="1"/>
      <c r="O544" s="1"/>
      <c r="P544" s="1"/>
      <c r="Q544" s="1"/>
      <c r="R544" s="1"/>
      <c r="S544" s="1"/>
      <c r="T544" s="1"/>
      <c r="U544" s="1"/>
      <c r="V544" s="1"/>
    </row>
    <row r="545" spans="11:22">
      <c r="K545" s="1"/>
      <c r="L545" s="1"/>
      <c r="M545" s="1"/>
      <c r="N545" s="1"/>
      <c r="O545" s="1"/>
      <c r="P545" s="1"/>
      <c r="Q545" s="1"/>
      <c r="R545" s="1"/>
      <c r="S545" s="1"/>
      <c r="T545" s="1"/>
      <c r="U545" s="1"/>
      <c r="V545" s="1"/>
    </row>
    <row r="546" spans="11:22">
      <c r="K546" s="1"/>
      <c r="L546" s="1"/>
      <c r="M546" s="1"/>
      <c r="N546" s="1"/>
      <c r="O546" s="1"/>
      <c r="P546" s="1"/>
      <c r="Q546" s="1"/>
      <c r="R546" s="1"/>
      <c r="S546" s="1"/>
      <c r="T546" s="1"/>
      <c r="U546" s="1"/>
      <c r="V546" s="1"/>
    </row>
    <row r="547" spans="11:22">
      <c r="K547" s="1"/>
      <c r="L547" s="1"/>
      <c r="M547" s="1"/>
      <c r="N547" s="1"/>
      <c r="O547" s="1"/>
      <c r="P547" s="1"/>
      <c r="Q547" s="1"/>
      <c r="R547" s="1"/>
      <c r="S547" s="1"/>
      <c r="T547" s="1"/>
      <c r="U547" s="1"/>
      <c r="V547" s="1"/>
    </row>
    <row r="548" spans="11:22">
      <c r="K548" s="1"/>
      <c r="L548" s="1"/>
      <c r="M548" s="1"/>
      <c r="N548" s="1"/>
      <c r="O548" s="1"/>
      <c r="P548" s="1"/>
      <c r="Q548" s="1"/>
      <c r="R548" s="1"/>
      <c r="S548" s="1"/>
      <c r="T548" s="1"/>
      <c r="U548" s="1"/>
      <c r="V548" s="1"/>
    </row>
    <row r="549" spans="11:22">
      <c r="K549" s="1"/>
      <c r="L549" s="1"/>
      <c r="M549" s="1"/>
      <c r="N549" s="1"/>
      <c r="O549" s="1"/>
      <c r="P549" s="1"/>
      <c r="Q549" s="1"/>
      <c r="R549" s="1"/>
      <c r="S549" s="1"/>
      <c r="T549" s="1"/>
      <c r="U549" s="1"/>
      <c r="V549" s="1"/>
    </row>
    <row r="550" spans="11:22">
      <c r="K550" s="1"/>
      <c r="L550" s="1"/>
      <c r="M550" s="1"/>
      <c r="N550" s="1"/>
      <c r="O550" s="1"/>
      <c r="P550" s="1"/>
      <c r="Q550" s="1"/>
      <c r="R550" s="1"/>
      <c r="S550" s="1"/>
      <c r="T550" s="1"/>
      <c r="U550" s="1"/>
      <c r="V550" s="1"/>
    </row>
    <row r="551" spans="11:22">
      <c r="K551" s="1"/>
      <c r="L551" s="1"/>
      <c r="M551" s="1"/>
      <c r="N551" s="1"/>
      <c r="O551" s="1"/>
      <c r="P551" s="1"/>
      <c r="Q551" s="1"/>
      <c r="R551" s="1"/>
      <c r="S551" s="1"/>
      <c r="T551" s="1"/>
      <c r="U551" s="1"/>
      <c r="V551" s="1"/>
    </row>
    <row r="552" spans="11:22">
      <c r="K552" s="1"/>
      <c r="L552" s="1"/>
      <c r="M552" s="1"/>
      <c r="N552" s="1"/>
      <c r="O552" s="1"/>
      <c r="P552" s="1"/>
      <c r="Q552" s="1"/>
      <c r="R552" s="1"/>
      <c r="S552" s="1"/>
      <c r="T552" s="1"/>
      <c r="U552" s="1"/>
      <c r="V552" s="1"/>
    </row>
    <row r="553" spans="11:22">
      <c r="K553" s="1"/>
      <c r="L553" s="1"/>
      <c r="M553" s="1"/>
      <c r="N553" s="1"/>
      <c r="O553" s="1"/>
      <c r="P553" s="1"/>
      <c r="Q553" s="1"/>
      <c r="R553" s="1"/>
      <c r="S553" s="1"/>
      <c r="T553" s="1"/>
      <c r="U553" s="1"/>
      <c r="V553" s="1"/>
    </row>
    <row r="554" spans="11:22">
      <c r="K554" s="1"/>
      <c r="L554" s="1"/>
      <c r="M554" s="1"/>
      <c r="N554" s="1"/>
      <c r="O554" s="1"/>
      <c r="P554" s="1"/>
      <c r="Q554" s="1"/>
      <c r="R554" s="1"/>
      <c r="S554" s="1"/>
      <c r="T554" s="1"/>
      <c r="U554" s="1"/>
      <c r="V554" s="1"/>
    </row>
    <row r="555" spans="11:22">
      <c r="K555" s="1"/>
      <c r="L555" s="1"/>
      <c r="M555" s="1"/>
      <c r="N555" s="1"/>
      <c r="O555" s="1"/>
      <c r="P555" s="1"/>
      <c r="Q555" s="1"/>
      <c r="R555" s="1"/>
      <c r="S555" s="1"/>
      <c r="T555" s="1"/>
      <c r="U555" s="1"/>
      <c r="V555" s="1"/>
    </row>
    <row r="556" spans="11:22">
      <c r="K556" s="1"/>
      <c r="L556" s="1"/>
      <c r="M556" s="1"/>
      <c r="N556" s="1"/>
      <c r="O556" s="1"/>
      <c r="P556" s="1"/>
      <c r="Q556" s="1"/>
      <c r="R556" s="1"/>
      <c r="S556" s="1"/>
      <c r="T556" s="1"/>
      <c r="U556" s="1"/>
      <c r="V556" s="1"/>
    </row>
    <row r="557" spans="11:22">
      <c r="K557" s="1"/>
      <c r="L557" s="1"/>
      <c r="M557" s="1"/>
      <c r="N557" s="1"/>
      <c r="O557" s="1"/>
      <c r="P557" s="1"/>
      <c r="Q557" s="1"/>
      <c r="R557" s="1"/>
      <c r="S557" s="1"/>
      <c r="T557" s="1"/>
      <c r="U557" s="1"/>
      <c r="V557" s="1"/>
    </row>
    <row r="558" spans="11:22">
      <c r="K558" s="1"/>
      <c r="L558" s="1"/>
      <c r="M558" s="1"/>
      <c r="N558" s="1"/>
      <c r="O558" s="1"/>
      <c r="P558" s="1"/>
      <c r="Q558" s="1"/>
      <c r="R558" s="1"/>
      <c r="S558" s="1"/>
      <c r="T558" s="1"/>
      <c r="U558" s="1"/>
      <c r="V558" s="1"/>
    </row>
    <row r="559" spans="11:22">
      <c r="K559" s="1"/>
      <c r="L559" s="1"/>
      <c r="M559" s="1"/>
      <c r="N559" s="1"/>
      <c r="O559" s="1"/>
      <c r="P559" s="1"/>
      <c r="Q559" s="1"/>
      <c r="R559" s="1"/>
      <c r="S559" s="1"/>
      <c r="T559" s="1"/>
      <c r="U559" s="1"/>
      <c r="V559" s="1"/>
    </row>
    <row r="560" spans="11:22">
      <c r="K560" s="1"/>
      <c r="L560" s="1"/>
      <c r="M560" s="1"/>
      <c r="N560" s="1"/>
      <c r="O560" s="1"/>
      <c r="P560" s="1"/>
      <c r="Q560" s="1"/>
      <c r="R560" s="1"/>
      <c r="S560" s="1"/>
      <c r="T560" s="1"/>
      <c r="U560" s="1"/>
      <c r="V560" s="1"/>
    </row>
    <row r="561" spans="11:22">
      <c r="K561" s="1"/>
      <c r="L561" s="1"/>
      <c r="M561" s="1"/>
      <c r="N561" s="1"/>
      <c r="O561" s="1"/>
      <c r="P561" s="1"/>
      <c r="Q561" s="1"/>
      <c r="R561" s="1"/>
      <c r="S561" s="1"/>
      <c r="T561" s="1"/>
      <c r="U561" s="1"/>
      <c r="V561" s="1"/>
    </row>
    <row r="562" spans="11:22">
      <c r="K562" s="1"/>
      <c r="L562" s="1"/>
      <c r="M562" s="1"/>
      <c r="N562" s="1"/>
      <c r="O562" s="1"/>
      <c r="P562" s="1"/>
      <c r="Q562" s="1"/>
      <c r="R562" s="1"/>
      <c r="S562" s="1"/>
      <c r="T562" s="1"/>
      <c r="U562" s="1"/>
      <c r="V562" s="1"/>
    </row>
    <row r="563" spans="11:22">
      <c r="K563" s="1"/>
      <c r="L563" s="1"/>
      <c r="M563" s="1"/>
      <c r="N563" s="1"/>
      <c r="O563" s="1"/>
      <c r="P563" s="1"/>
      <c r="Q563" s="1"/>
      <c r="R563" s="1"/>
      <c r="S563" s="1"/>
      <c r="T563" s="1"/>
      <c r="U563" s="1"/>
      <c r="V563" s="1"/>
    </row>
    <row r="564" spans="11:22">
      <c r="K564" s="1"/>
      <c r="L564" s="1"/>
      <c r="M564" s="1"/>
      <c r="N564" s="1"/>
      <c r="O564" s="1"/>
      <c r="P564" s="1"/>
      <c r="Q564" s="1"/>
      <c r="R564" s="1"/>
      <c r="S564" s="1"/>
      <c r="T564" s="1"/>
      <c r="U564" s="1"/>
      <c r="V564" s="1"/>
    </row>
    <row r="565" spans="11:22">
      <c r="K565" s="1"/>
      <c r="L565" s="1"/>
      <c r="M565" s="1"/>
      <c r="N565" s="1"/>
      <c r="O565" s="1"/>
      <c r="P565" s="1"/>
      <c r="Q565" s="1"/>
      <c r="R565" s="1"/>
      <c r="S565" s="1"/>
      <c r="T565" s="1"/>
      <c r="U565" s="1"/>
      <c r="V565" s="1"/>
    </row>
    <row r="566" spans="11:22">
      <c r="K566" s="1"/>
      <c r="L566" s="1"/>
      <c r="M566" s="1"/>
      <c r="N566" s="1"/>
      <c r="O566" s="1"/>
      <c r="P566" s="1"/>
      <c r="Q566" s="1"/>
      <c r="R566" s="1"/>
      <c r="S566" s="1"/>
      <c r="T566" s="1"/>
      <c r="U566" s="1"/>
      <c r="V566" s="1"/>
    </row>
    <row r="567" spans="11:22">
      <c r="K567" s="1"/>
      <c r="L567" s="1"/>
      <c r="M567" s="1"/>
      <c r="N567" s="1"/>
      <c r="O567" s="1"/>
      <c r="P567" s="1"/>
      <c r="Q567" s="1"/>
      <c r="R567" s="1"/>
      <c r="S567" s="1"/>
      <c r="T567" s="1"/>
      <c r="U567" s="1"/>
      <c r="V567" s="1"/>
    </row>
    <row r="568" spans="11:22">
      <c r="K568" s="1"/>
      <c r="L568" s="1"/>
      <c r="M568" s="1"/>
      <c r="N568" s="1"/>
      <c r="O568" s="1"/>
      <c r="P568" s="1"/>
      <c r="Q568" s="1"/>
      <c r="R568" s="1"/>
      <c r="S568" s="1"/>
      <c r="T568" s="1"/>
      <c r="U568" s="1"/>
      <c r="V568" s="1"/>
    </row>
    <row r="569" spans="11:22">
      <c r="K569" s="1"/>
      <c r="L569" s="1"/>
      <c r="M569" s="1"/>
      <c r="N569" s="1"/>
      <c r="O569" s="1"/>
      <c r="P569" s="1"/>
      <c r="Q569" s="1"/>
      <c r="R569" s="1"/>
      <c r="S569" s="1"/>
      <c r="T569" s="1"/>
      <c r="U569" s="1"/>
      <c r="V569" s="1"/>
    </row>
    <row r="570" spans="11:22">
      <c r="K570" s="1"/>
      <c r="L570" s="1"/>
      <c r="M570" s="1"/>
      <c r="N570" s="1"/>
      <c r="O570" s="1"/>
      <c r="P570" s="1"/>
      <c r="Q570" s="1"/>
      <c r="R570" s="1"/>
      <c r="S570" s="1"/>
      <c r="T570" s="1"/>
      <c r="U570" s="1"/>
      <c r="V570" s="1"/>
    </row>
    <row r="571" spans="11:22">
      <c r="K571" s="1"/>
      <c r="L571" s="1"/>
      <c r="M571" s="1"/>
      <c r="N571" s="1"/>
      <c r="O571" s="1"/>
      <c r="P571" s="1"/>
      <c r="Q571" s="1"/>
      <c r="R571" s="1"/>
      <c r="S571" s="1"/>
      <c r="T571" s="1"/>
      <c r="U571" s="1"/>
      <c r="V571" s="1"/>
    </row>
    <row r="572" spans="11:22">
      <c r="K572" s="1"/>
      <c r="L572" s="1"/>
      <c r="M572" s="1"/>
      <c r="N572" s="1"/>
      <c r="O572" s="1"/>
      <c r="P572" s="1"/>
      <c r="Q572" s="1"/>
      <c r="R572" s="1"/>
      <c r="S572" s="1"/>
      <c r="T572" s="1"/>
      <c r="U572" s="1"/>
      <c r="V572" s="1"/>
    </row>
    <row r="573" spans="11:22">
      <c r="K573" s="1"/>
      <c r="L573" s="1"/>
      <c r="M573" s="1"/>
      <c r="N573" s="1"/>
      <c r="O573" s="1"/>
      <c r="P573" s="1"/>
      <c r="Q573" s="1"/>
      <c r="R573" s="1"/>
      <c r="S573" s="1"/>
      <c r="T573" s="1"/>
      <c r="U573" s="1"/>
      <c r="V573" s="1"/>
    </row>
    <row r="574" spans="11:22">
      <c r="K574" s="1"/>
      <c r="L574" s="1"/>
      <c r="M574" s="1"/>
      <c r="N574" s="1"/>
      <c r="O574" s="1"/>
      <c r="P574" s="1"/>
      <c r="Q574" s="1"/>
      <c r="R574" s="1"/>
      <c r="S574" s="1"/>
      <c r="T574" s="1"/>
      <c r="U574" s="1"/>
      <c r="V574" s="1"/>
    </row>
    <row r="575" spans="11:22">
      <c r="K575" s="1"/>
      <c r="L575" s="1"/>
      <c r="M575" s="1"/>
      <c r="N575" s="1"/>
      <c r="O575" s="1"/>
      <c r="P575" s="1"/>
      <c r="Q575" s="1"/>
      <c r="R575" s="1"/>
      <c r="S575" s="1"/>
      <c r="T575" s="1"/>
      <c r="U575" s="1"/>
      <c r="V575" s="1"/>
    </row>
    <row r="576" spans="11:22">
      <c r="K576" s="1"/>
      <c r="L576" s="1"/>
      <c r="M576" s="1"/>
      <c r="N576" s="1"/>
      <c r="O576" s="1"/>
      <c r="P576" s="1"/>
      <c r="Q576" s="1"/>
      <c r="R576" s="1"/>
      <c r="S576" s="1"/>
      <c r="T576" s="1"/>
      <c r="U576" s="1"/>
      <c r="V576" s="1"/>
    </row>
    <row r="577" spans="11:22">
      <c r="K577" s="1"/>
      <c r="L577" s="1"/>
      <c r="M577" s="1"/>
      <c r="N577" s="1"/>
      <c r="O577" s="1"/>
      <c r="P577" s="1"/>
      <c r="Q577" s="1"/>
      <c r="R577" s="1"/>
      <c r="S577" s="1"/>
      <c r="T577" s="1"/>
      <c r="U577" s="1"/>
      <c r="V577" s="1"/>
    </row>
    <row r="578" spans="11:22">
      <c r="K578" s="1"/>
      <c r="L578" s="1"/>
      <c r="M578" s="1"/>
      <c r="N578" s="1"/>
      <c r="O578" s="1"/>
      <c r="P578" s="1"/>
      <c r="Q578" s="1"/>
      <c r="R578" s="1"/>
      <c r="S578" s="1"/>
      <c r="T578" s="1"/>
      <c r="U578" s="1"/>
      <c r="V578" s="1"/>
    </row>
    <row r="579" spans="11:22">
      <c r="K579" s="1"/>
      <c r="L579" s="1"/>
      <c r="M579" s="1"/>
      <c r="N579" s="1"/>
      <c r="O579" s="1"/>
      <c r="P579" s="1"/>
      <c r="Q579" s="1"/>
      <c r="R579" s="1"/>
      <c r="S579" s="1"/>
      <c r="T579" s="1"/>
      <c r="U579" s="1"/>
      <c r="V579" s="1"/>
    </row>
    <row r="580" spans="11:22">
      <c r="K580" s="1"/>
      <c r="L580" s="1"/>
      <c r="M580" s="1"/>
      <c r="N580" s="1"/>
      <c r="O580" s="1"/>
      <c r="P580" s="1"/>
      <c r="Q580" s="1"/>
      <c r="R580" s="1"/>
      <c r="S580" s="1"/>
      <c r="T580" s="1"/>
      <c r="U580" s="1"/>
      <c r="V580" s="1"/>
    </row>
    <row r="581" spans="11:22">
      <c r="K581" s="1"/>
      <c r="L581" s="1"/>
      <c r="M581" s="1"/>
      <c r="N581" s="1"/>
      <c r="O581" s="1"/>
      <c r="P581" s="1"/>
      <c r="Q581" s="1"/>
      <c r="R581" s="1"/>
      <c r="S581" s="1"/>
      <c r="T581" s="1"/>
      <c r="U581" s="1"/>
      <c r="V581" s="1"/>
    </row>
    <row r="582" spans="11:22">
      <c r="K582" s="1"/>
      <c r="L582" s="1"/>
      <c r="M582" s="1"/>
      <c r="N582" s="1"/>
      <c r="O582" s="1"/>
      <c r="P582" s="1"/>
      <c r="Q582" s="1"/>
      <c r="R582" s="1"/>
      <c r="S582" s="1"/>
      <c r="T582" s="1"/>
      <c r="U582" s="1"/>
      <c r="V582" s="1"/>
    </row>
    <row r="583" spans="11:22">
      <c r="K583" s="1"/>
      <c r="L583" s="1"/>
      <c r="M583" s="1"/>
      <c r="N583" s="1"/>
      <c r="O583" s="1"/>
      <c r="P583" s="1"/>
      <c r="Q583" s="1"/>
      <c r="R583" s="1"/>
      <c r="S583" s="1"/>
      <c r="T583" s="1"/>
      <c r="U583" s="1"/>
      <c r="V583" s="1"/>
    </row>
    <row r="584" spans="11:22">
      <c r="K584" s="1"/>
      <c r="L584" s="1"/>
      <c r="M584" s="1"/>
      <c r="N584" s="1"/>
      <c r="O584" s="1"/>
      <c r="P584" s="1"/>
      <c r="Q584" s="1"/>
      <c r="R584" s="1"/>
      <c r="S584" s="1"/>
      <c r="T584" s="1"/>
      <c r="U584" s="1"/>
      <c r="V584" s="1"/>
    </row>
    <row r="585" spans="11:22">
      <c r="K585" s="1"/>
      <c r="L585" s="1"/>
      <c r="M585" s="1"/>
      <c r="N585" s="1"/>
      <c r="O585" s="1"/>
      <c r="P585" s="1"/>
      <c r="Q585" s="1"/>
      <c r="R585" s="1"/>
      <c r="S585" s="1"/>
      <c r="T585" s="1"/>
      <c r="U585" s="1"/>
      <c r="V585" s="1"/>
    </row>
    <row r="586" spans="11:22">
      <c r="K586" s="1"/>
      <c r="L586" s="1"/>
      <c r="M586" s="1"/>
      <c r="N586" s="1"/>
      <c r="O586" s="1"/>
      <c r="P586" s="1"/>
      <c r="Q586" s="1"/>
      <c r="R586" s="1"/>
      <c r="S586" s="1"/>
      <c r="T586" s="1"/>
      <c r="U586" s="1"/>
      <c r="V586" s="1"/>
    </row>
    <row r="587" spans="11:22">
      <c r="K587" s="1"/>
      <c r="L587" s="1"/>
      <c r="M587" s="1"/>
      <c r="N587" s="1"/>
      <c r="O587" s="1"/>
      <c r="P587" s="1"/>
      <c r="Q587" s="1"/>
      <c r="R587" s="1"/>
      <c r="S587" s="1"/>
      <c r="T587" s="1"/>
      <c r="U587" s="1"/>
      <c r="V587" s="1"/>
    </row>
    <row r="588" spans="11:22">
      <c r="K588" s="1"/>
      <c r="L588" s="1"/>
      <c r="M588" s="1"/>
      <c r="N588" s="1"/>
      <c r="O588" s="1"/>
      <c r="P588" s="1"/>
      <c r="Q588" s="1"/>
      <c r="R588" s="1"/>
      <c r="S588" s="1"/>
      <c r="T588" s="1"/>
      <c r="U588" s="1"/>
      <c r="V588" s="1"/>
    </row>
    <row r="589" spans="11:22">
      <c r="K589" s="1"/>
      <c r="L589" s="1"/>
      <c r="M589" s="1"/>
      <c r="N589" s="1"/>
      <c r="O589" s="1"/>
      <c r="P589" s="1"/>
      <c r="Q589" s="1"/>
      <c r="R589" s="1"/>
      <c r="S589" s="1"/>
      <c r="T589" s="1"/>
      <c r="U589" s="1"/>
      <c r="V589" s="1"/>
    </row>
    <row r="590" spans="11:22">
      <c r="K590" s="1"/>
      <c r="L590" s="1"/>
      <c r="M590" s="1"/>
      <c r="N590" s="1"/>
      <c r="O590" s="1"/>
      <c r="P590" s="1"/>
      <c r="Q590" s="1"/>
      <c r="R590" s="1"/>
      <c r="S590" s="1"/>
      <c r="T590" s="1"/>
      <c r="U590" s="1"/>
      <c r="V590" s="1"/>
    </row>
    <row r="591" spans="11:22">
      <c r="K591" s="1"/>
      <c r="L591" s="1"/>
      <c r="M591" s="1"/>
      <c r="N591" s="1"/>
      <c r="O591" s="1"/>
      <c r="P591" s="1"/>
      <c r="Q591" s="1"/>
      <c r="R591" s="1"/>
      <c r="S591" s="1"/>
      <c r="T591" s="1"/>
      <c r="U591" s="1"/>
      <c r="V591" s="1"/>
    </row>
    <row r="592" spans="11:22">
      <c r="K592" s="1"/>
      <c r="L592" s="1"/>
      <c r="M592" s="1"/>
      <c r="N592" s="1"/>
      <c r="O592" s="1"/>
      <c r="P592" s="1"/>
      <c r="Q592" s="1"/>
      <c r="R592" s="1"/>
      <c r="S592" s="1"/>
      <c r="T592" s="1"/>
      <c r="U592" s="1"/>
      <c r="V592" s="1"/>
    </row>
    <row r="593" spans="11:22">
      <c r="K593" s="1"/>
      <c r="L593" s="1"/>
      <c r="M593" s="1"/>
      <c r="N593" s="1"/>
      <c r="O593" s="1"/>
      <c r="P593" s="1"/>
      <c r="Q593" s="1"/>
      <c r="R593" s="1"/>
      <c r="S593" s="1"/>
      <c r="T593" s="1"/>
      <c r="U593" s="1"/>
      <c r="V593" s="1"/>
    </row>
    <row r="594" spans="11:22">
      <c r="K594" s="1"/>
      <c r="L594" s="1"/>
      <c r="M594" s="1"/>
      <c r="N594" s="1"/>
      <c r="O594" s="1"/>
      <c r="P594" s="1"/>
      <c r="Q594" s="1"/>
      <c r="R594" s="1"/>
      <c r="S594" s="1"/>
      <c r="T594" s="1"/>
      <c r="U594" s="1"/>
      <c r="V594" s="1"/>
    </row>
    <row r="595" spans="11:22">
      <c r="K595" s="1"/>
      <c r="L595" s="1"/>
      <c r="M595" s="1"/>
      <c r="N595" s="1"/>
      <c r="O595" s="1"/>
      <c r="P595" s="1"/>
      <c r="Q595" s="1"/>
      <c r="R595" s="1"/>
      <c r="S595" s="1"/>
      <c r="T595" s="1"/>
      <c r="U595" s="1"/>
      <c r="V595" s="1"/>
    </row>
    <row r="596" spans="11:22">
      <c r="K596" s="1"/>
      <c r="L596" s="1"/>
      <c r="M596" s="1"/>
      <c r="N596" s="1"/>
      <c r="O596" s="1"/>
      <c r="P596" s="1"/>
      <c r="Q596" s="1"/>
      <c r="R596" s="1"/>
      <c r="S596" s="1"/>
      <c r="T596" s="1"/>
      <c r="U596" s="1"/>
      <c r="V596" s="1"/>
    </row>
    <row r="597" spans="11:22">
      <c r="K597" s="1"/>
      <c r="L597" s="1"/>
      <c r="M597" s="1"/>
      <c r="N597" s="1"/>
      <c r="O597" s="1"/>
      <c r="P597" s="1"/>
      <c r="Q597" s="1"/>
      <c r="R597" s="1"/>
      <c r="S597" s="1"/>
      <c r="T597" s="1"/>
      <c r="U597" s="1"/>
      <c r="V597" s="1"/>
    </row>
    <row r="598" spans="11:22">
      <c r="K598" s="1"/>
      <c r="L598" s="1"/>
      <c r="M598" s="1"/>
      <c r="N598" s="1"/>
      <c r="O598" s="1"/>
      <c r="P598" s="1"/>
      <c r="Q598" s="1"/>
      <c r="R598" s="1"/>
      <c r="S598" s="1"/>
      <c r="T598" s="1"/>
      <c r="U598" s="1"/>
      <c r="V598" s="1"/>
    </row>
    <row r="599" spans="11:22">
      <c r="K599" s="1"/>
      <c r="L599" s="1"/>
      <c r="M599" s="1"/>
      <c r="N599" s="1"/>
      <c r="O599" s="1"/>
      <c r="P599" s="1"/>
      <c r="Q599" s="1"/>
      <c r="R599" s="1"/>
      <c r="S599" s="1"/>
      <c r="T599" s="1"/>
      <c r="U599" s="1"/>
      <c r="V599" s="1"/>
    </row>
    <row r="600" spans="11:22">
      <c r="K600" s="1"/>
      <c r="L600" s="1"/>
      <c r="M600" s="1"/>
      <c r="N600" s="1"/>
      <c r="O600" s="1"/>
      <c r="P600" s="1"/>
      <c r="Q600" s="1"/>
      <c r="R600" s="1"/>
      <c r="S600" s="1"/>
      <c r="T600" s="1"/>
      <c r="U600" s="1"/>
      <c r="V600" s="1"/>
    </row>
    <row r="601" spans="11:22">
      <c r="K601" s="1"/>
      <c r="L601" s="1"/>
      <c r="M601" s="1"/>
      <c r="N601" s="1"/>
      <c r="O601" s="1"/>
      <c r="P601" s="1"/>
      <c r="Q601" s="1"/>
      <c r="R601" s="1"/>
      <c r="S601" s="1"/>
      <c r="T601" s="1"/>
      <c r="U601" s="1"/>
      <c r="V601" s="1"/>
    </row>
    <row r="602" spans="11:22">
      <c r="K602" s="1"/>
      <c r="L602" s="1"/>
      <c r="M602" s="1"/>
      <c r="N602" s="1"/>
      <c r="O602" s="1"/>
      <c r="P602" s="1"/>
      <c r="Q602" s="1"/>
      <c r="R602" s="1"/>
      <c r="S602" s="1"/>
      <c r="T602" s="1"/>
      <c r="U602" s="1"/>
      <c r="V602" s="1"/>
    </row>
    <row r="603" spans="11:22">
      <c r="K603" s="1"/>
      <c r="L603" s="1"/>
      <c r="M603" s="1"/>
      <c r="N603" s="1"/>
      <c r="O603" s="1"/>
      <c r="P603" s="1"/>
      <c r="Q603" s="1"/>
      <c r="R603" s="1"/>
      <c r="S603" s="1"/>
      <c r="T603" s="1"/>
      <c r="U603" s="1"/>
      <c r="V603" s="1"/>
    </row>
    <row r="604" spans="11:22">
      <c r="K604" s="1"/>
      <c r="L604" s="1"/>
      <c r="M604" s="1"/>
      <c r="N604" s="1"/>
      <c r="O604" s="1"/>
      <c r="P604" s="1"/>
      <c r="Q604" s="1"/>
      <c r="R604" s="1"/>
      <c r="S604" s="1"/>
      <c r="T604" s="1"/>
      <c r="U604" s="1"/>
      <c r="V604" s="1"/>
    </row>
    <row r="605" spans="11:22">
      <c r="K605" s="1"/>
      <c r="L605" s="1"/>
      <c r="M605" s="1"/>
      <c r="N605" s="1"/>
      <c r="O605" s="1"/>
      <c r="P605" s="1"/>
      <c r="Q605" s="1"/>
      <c r="R605" s="1"/>
      <c r="S605" s="1"/>
      <c r="T605" s="1"/>
      <c r="U605" s="1"/>
      <c r="V605" s="1"/>
    </row>
    <row r="606" spans="11:22">
      <c r="K606" s="1"/>
      <c r="L606" s="1"/>
      <c r="M606" s="1"/>
      <c r="N606" s="1"/>
      <c r="O606" s="1"/>
      <c r="P606" s="1"/>
      <c r="Q606" s="1"/>
      <c r="R606" s="1"/>
      <c r="S606" s="1"/>
      <c r="T606" s="1"/>
      <c r="U606" s="1"/>
      <c r="V606" s="1"/>
    </row>
    <row r="607" spans="11:22">
      <c r="K607" s="1"/>
      <c r="L607" s="1"/>
      <c r="M607" s="1"/>
      <c r="N607" s="1"/>
      <c r="O607" s="1"/>
      <c r="P607" s="1"/>
      <c r="Q607" s="1"/>
      <c r="R607" s="1"/>
      <c r="S607" s="1"/>
      <c r="T607" s="1"/>
      <c r="U607" s="1"/>
      <c r="V607" s="1"/>
    </row>
    <row r="608" spans="11:22">
      <c r="K608" s="1"/>
      <c r="L608" s="1"/>
      <c r="M608" s="1"/>
      <c r="N608" s="1"/>
      <c r="O608" s="1"/>
      <c r="P608" s="1"/>
      <c r="Q608" s="1"/>
      <c r="R608" s="1"/>
      <c r="S608" s="1"/>
      <c r="T608" s="1"/>
      <c r="U608" s="1"/>
      <c r="V608" s="1"/>
    </row>
    <row r="609" spans="11:22">
      <c r="K609" s="1"/>
      <c r="L609" s="1"/>
      <c r="M609" s="1"/>
      <c r="N609" s="1"/>
      <c r="O609" s="1"/>
      <c r="P609" s="1"/>
      <c r="Q609" s="1"/>
      <c r="R609" s="1"/>
      <c r="S609" s="1"/>
      <c r="T609" s="1"/>
      <c r="U609" s="1"/>
      <c r="V609" s="1"/>
    </row>
    <row r="610" spans="11:22">
      <c r="K610" s="1"/>
      <c r="L610" s="1"/>
      <c r="M610" s="1"/>
      <c r="N610" s="1"/>
      <c r="O610" s="1"/>
      <c r="P610" s="1"/>
      <c r="Q610" s="1"/>
      <c r="R610" s="1"/>
      <c r="S610" s="1"/>
      <c r="T610" s="1"/>
      <c r="U610" s="1"/>
      <c r="V610" s="1"/>
    </row>
    <row r="611" spans="11:22">
      <c r="K611" s="1"/>
      <c r="L611" s="1"/>
      <c r="M611" s="1"/>
      <c r="N611" s="1"/>
      <c r="O611" s="1"/>
      <c r="P611" s="1"/>
      <c r="Q611" s="1"/>
      <c r="R611" s="1"/>
      <c r="S611" s="1"/>
      <c r="T611" s="1"/>
      <c r="U611" s="1"/>
      <c r="V611" s="1"/>
    </row>
    <row r="612" spans="11:22">
      <c r="K612" s="1"/>
      <c r="L612" s="1"/>
      <c r="M612" s="1"/>
      <c r="N612" s="1"/>
      <c r="O612" s="1"/>
      <c r="P612" s="1"/>
      <c r="Q612" s="1"/>
      <c r="R612" s="1"/>
      <c r="S612" s="1"/>
      <c r="T612" s="1"/>
      <c r="U612" s="1"/>
      <c r="V612" s="1"/>
    </row>
    <row r="613" spans="11:22">
      <c r="K613" s="1"/>
      <c r="L613" s="1"/>
      <c r="M613" s="1"/>
      <c r="N613" s="1"/>
      <c r="O613" s="1"/>
      <c r="P613" s="1"/>
      <c r="Q613" s="1"/>
      <c r="R613" s="1"/>
      <c r="S613" s="1"/>
      <c r="T613" s="1"/>
      <c r="U613" s="1"/>
      <c r="V613" s="1"/>
    </row>
    <row r="614" spans="11:22">
      <c r="K614" s="1"/>
      <c r="L614" s="1"/>
      <c r="M614" s="1"/>
      <c r="N614" s="1"/>
      <c r="O614" s="1"/>
      <c r="P614" s="1"/>
      <c r="Q614" s="1"/>
      <c r="R614" s="1"/>
      <c r="S614" s="1"/>
      <c r="T614" s="1"/>
      <c r="U614" s="1"/>
      <c r="V614" s="1"/>
    </row>
    <row r="615" spans="11:22">
      <c r="K615" s="1"/>
      <c r="L615" s="1"/>
      <c r="M615" s="1"/>
      <c r="N615" s="1"/>
      <c r="O615" s="1"/>
      <c r="P615" s="1"/>
      <c r="Q615" s="1"/>
      <c r="R615" s="1"/>
      <c r="S615" s="1"/>
      <c r="T615" s="1"/>
      <c r="U615" s="1"/>
      <c r="V615" s="1"/>
    </row>
    <row r="616" spans="11:22">
      <c r="K616" s="1"/>
      <c r="L616" s="1"/>
      <c r="M616" s="1"/>
      <c r="N616" s="1"/>
      <c r="O616" s="1"/>
      <c r="P616" s="1"/>
      <c r="Q616" s="1"/>
      <c r="R616" s="1"/>
      <c r="S616" s="1"/>
      <c r="T616" s="1"/>
      <c r="U616" s="1"/>
      <c r="V616" s="1"/>
    </row>
    <row r="617" spans="11:22">
      <c r="K617" s="1"/>
      <c r="L617" s="1"/>
      <c r="M617" s="1"/>
      <c r="N617" s="1"/>
      <c r="O617" s="1"/>
      <c r="P617" s="1"/>
      <c r="Q617" s="1"/>
      <c r="R617" s="1"/>
      <c r="S617" s="1"/>
      <c r="T617" s="1"/>
      <c r="U617" s="1"/>
      <c r="V617" s="1"/>
    </row>
    <row r="618" spans="11:22">
      <c r="K618" s="1"/>
      <c r="L618" s="1"/>
      <c r="M618" s="1"/>
      <c r="N618" s="1"/>
      <c r="O618" s="1"/>
      <c r="P618" s="1"/>
      <c r="Q618" s="1"/>
      <c r="R618" s="1"/>
      <c r="S618" s="1"/>
      <c r="T618" s="1"/>
      <c r="U618" s="1"/>
      <c r="V618" s="1"/>
    </row>
    <row r="619" spans="11:22">
      <c r="K619" s="1"/>
      <c r="L619" s="1"/>
      <c r="M619" s="1"/>
      <c r="N619" s="1"/>
      <c r="O619" s="1"/>
      <c r="P619" s="1"/>
      <c r="Q619" s="1"/>
      <c r="R619" s="1"/>
      <c r="S619" s="1"/>
      <c r="T619" s="1"/>
      <c r="U619" s="1"/>
      <c r="V619" s="1"/>
    </row>
    <row r="620" spans="11:22">
      <c r="K620" s="1"/>
      <c r="L620" s="1"/>
      <c r="M620" s="1"/>
      <c r="N620" s="1"/>
      <c r="O620" s="1"/>
      <c r="P620" s="1"/>
      <c r="Q620" s="1"/>
      <c r="R620" s="1"/>
      <c r="S620" s="1"/>
      <c r="T620" s="1"/>
      <c r="U620" s="1"/>
      <c r="V620" s="1"/>
    </row>
    <row r="621" spans="11:22">
      <c r="K621" s="1"/>
      <c r="L621" s="1"/>
      <c r="M621" s="1"/>
      <c r="N621" s="1"/>
      <c r="O621" s="1"/>
      <c r="P621" s="1"/>
      <c r="Q621" s="1"/>
      <c r="R621" s="1"/>
      <c r="S621" s="1"/>
      <c r="T621" s="1"/>
      <c r="U621" s="1"/>
      <c r="V621" s="1"/>
    </row>
    <row r="622" spans="11:22">
      <c r="K622" s="1"/>
      <c r="L622" s="1"/>
      <c r="M622" s="1"/>
      <c r="N622" s="1"/>
      <c r="O622" s="1"/>
      <c r="P622" s="1"/>
      <c r="Q622" s="1"/>
      <c r="R622" s="1"/>
      <c r="S622" s="1"/>
      <c r="T622" s="1"/>
      <c r="U622" s="1"/>
      <c r="V622" s="1"/>
    </row>
    <row r="623" spans="11:22">
      <c r="K623" s="1"/>
      <c r="L623" s="1"/>
      <c r="M623" s="1"/>
      <c r="N623" s="1"/>
      <c r="O623" s="1"/>
      <c r="P623" s="1"/>
      <c r="Q623" s="1"/>
      <c r="R623" s="1"/>
      <c r="S623" s="1"/>
      <c r="T623" s="1"/>
      <c r="U623" s="1"/>
      <c r="V623" s="1"/>
    </row>
    <row r="624" spans="11:22">
      <c r="K624" s="1"/>
      <c r="L624" s="1"/>
      <c r="M624" s="1"/>
      <c r="N624" s="1"/>
      <c r="O624" s="1"/>
      <c r="P624" s="1"/>
      <c r="Q624" s="1"/>
      <c r="R624" s="1"/>
      <c r="S624" s="1"/>
      <c r="T624" s="1"/>
      <c r="U624" s="1"/>
      <c r="V624" s="1"/>
    </row>
    <row r="625" spans="11:22">
      <c r="K625" s="1"/>
      <c r="L625" s="1"/>
      <c r="M625" s="1"/>
      <c r="N625" s="1"/>
      <c r="O625" s="1"/>
      <c r="P625" s="1"/>
      <c r="Q625" s="1"/>
      <c r="R625" s="1"/>
      <c r="S625" s="1"/>
      <c r="T625" s="1"/>
      <c r="U625" s="1"/>
      <c r="V625" s="1"/>
    </row>
    <row r="626" spans="11:22">
      <c r="K626" s="1"/>
      <c r="L626" s="1"/>
      <c r="M626" s="1"/>
      <c r="N626" s="1"/>
      <c r="O626" s="1"/>
      <c r="P626" s="1"/>
      <c r="Q626" s="1"/>
      <c r="R626" s="1"/>
      <c r="S626" s="1"/>
      <c r="T626" s="1"/>
      <c r="U626" s="1"/>
      <c r="V626" s="1"/>
    </row>
    <row r="627" spans="11:22">
      <c r="K627" s="1"/>
      <c r="L627" s="1"/>
      <c r="M627" s="1"/>
      <c r="N627" s="1"/>
      <c r="O627" s="1"/>
      <c r="P627" s="1"/>
      <c r="Q627" s="1"/>
      <c r="R627" s="1"/>
      <c r="S627" s="1"/>
      <c r="T627" s="1"/>
      <c r="U627" s="1"/>
      <c r="V627" s="1"/>
    </row>
    <row r="628" spans="11:22">
      <c r="K628" s="1"/>
      <c r="L628" s="1"/>
      <c r="M628" s="1"/>
      <c r="N628" s="1"/>
      <c r="O628" s="1"/>
      <c r="P628" s="1"/>
      <c r="Q628" s="1"/>
      <c r="R628" s="1"/>
      <c r="S628" s="1"/>
      <c r="T628" s="1"/>
      <c r="U628" s="1"/>
      <c r="V628" s="1"/>
    </row>
    <row r="629" spans="11:22">
      <c r="K629" s="1"/>
      <c r="L629" s="1"/>
      <c r="M629" s="1"/>
      <c r="N629" s="1"/>
      <c r="O629" s="1"/>
      <c r="P629" s="1"/>
      <c r="Q629" s="1"/>
      <c r="R629" s="1"/>
      <c r="S629" s="1"/>
      <c r="T629" s="1"/>
      <c r="U629" s="1"/>
      <c r="V629" s="1"/>
    </row>
    <row r="630" spans="11:22">
      <c r="K630" s="1"/>
      <c r="L630" s="1"/>
      <c r="M630" s="1"/>
      <c r="N630" s="1"/>
      <c r="O630" s="1"/>
      <c r="P630" s="1"/>
      <c r="Q630" s="1"/>
      <c r="R630" s="1"/>
      <c r="S630" s="1"/>
      <c r="T630" s="1"/>
      <c r="U630" s="1"/>
      <c r="V630" s="1"/>
    </row>
    <row r="631" spans="11:22">
      <c r="K631" s="1"/>
      <c r="L631" s="1"/>
      <c r="M631" s="1"/>
      <c r="N631" s="1"/>
      <c r="O631" s="1"/>
      <c r="P631" s="1"/>
      <c r="Q631" s="1"/>
      <c r="R631" s="1"/>
      <c r="S631" s="1"/>
      <c r="T631" s="1"/>
      <c r="U631" s="1"/>
      <c r="V631" s="1"/>
    </row>
    <row r="632" spans="11:22">
      <c r="K632" s="1"/>
      <c r="L632" s="1"/>
      <c r="M632" s="1"/>
      <c r="N632" s="1"/>
      <c r="O632" s="1"/>
      <c r="P632" s="1"/>
      <c r="Q632" s="1"/>
      <c r="R632" s="1"/>
      <c r="S632" s="1"/>
      <c r="T632" s="1"/>
      <c r="U632" s="1"/>
      <c r="V632" s="1"/>
    </row>
    <row r="633" spans="11:22">
      <c r="K633" s="1"/>
      <c r="L633" s="1"/>
      <c r="M633" s="1"/>
      <c r="N633" s="1"/>
      <c r="O633" s="1"/>
      <c r="P633" s="1"/>
      <c r="Q633" s="1"/>
      <c r="R633" s="1"/>
      <c r="S633" s="1"/>
      <c r="T633" s="1"/>
      <c r="U633" s="1"/>
      <c r="V633" s="1"/>
    </row>
    <row r="634" spans="11:22">
      <c r="K634" s="1"/>
      <c r="L634" s="1"/>
      <c r="M634" s="1"/>
      <c r="N634" s="1"/>
      <c r="O634" s="1"/>
      <c r="P634" s="1"/>
      <c r="Q634" s="1"/>
      <c r="R634" s="1"/>
      <c r="S634" s="1"/>
      <c r="T634" s="1"/>
      <c r="U634" s="1"/>
      <c r="V634" s="1"/>
    </row>
    <row r="635" spans="11:22">
      <c r="K635" s="1"/>
      <c r="L635" s="1"/>
      <c r="M635" s="1"/>
      <c r="N635" s="1"/>
      <c r="O635" s="1"/>
      <c r="P635" s="1"/>
      <c r="Q635" s="1"/>
      <c r="R635" s="1"/>
      <c r="S635" s="1"/>
      <c r="T635" s="1"/>
      <c r="U635" s="1"/>
      <c r="V635" s="1"/>
    </row>
    <row r="636" spans="11:22">
      <c r="K636" s="1"/>
      <c r="L636" s="1"/>
      <c r="M636" s="1"/>
      <c r="N636" s="1"/>
      <c r="O636" s="1"/>
      <c r="P636" s="1"/>
      <c r="Q636" s="1"/>
      <c r="R636" s="1"/>
      <c r="S636" s="1"/>
      <c r="T636" s="1"/>
      <c r="U636" s="1"/>
      <c r="V636" s="1"/>
    </row>
    <row r="637" spans="11:22">
      <c r="K637" s="1"/>
      <c r="L637" s="1"/>
      <c r="M637" s="1"/>
      <c r="N637" s="1"/>
      <c r="O637" s="1"/>
      <c r="P637" s="1"/>
      <c r="Q637" s="1"/>
      <c r="R637" s="1"/>
      <c r="S637" s="1"/>
      <c r="T637" s="1"/>
      <c r="U637" s="1"/>
      <c r="V637" s="1"/>
    </row>
    <row r="638" spans="11:22">
      <c r="K638" s="1"/>
      <c r="L638" s="1"/>
      <c r="M638" s="1"/>
      <c r="N638" s="1"/>
      <c r="O638" s="1"/>
      <c r="P638" s="1"/>
      <c r="Q638" s="1"/>
      <c r="R638" s="1"/>
      <c r="S638" s="1"/>
      <c r="T638" s="1"/>
      <c r="U638" s="1"/>
      <c r="V638" s="1"/>
    </row>
    <row r="639" spans="11:22">
      <c r="K639" s="1"/>
      <c r="L639" s="1"/>
      <c r="M639" s="1"/>
      <c r="N639" s="1"/>
      <c r="O639" s="1"/>
      <c r="P639" s="1"/>
      <c r="Q639" s="1"/>
      <c r="R639" s="1"/>
      <c r="S639" s="1"/>
      <c r="T639" s="1"/>
      <c r="U639" s="1"/>
      <c r="V639" s="1"/>
    </row>
    <row r="640" spans="11:22">
      <c r="K640" s="1"/>
      <c r="L640" s="1"/>
      <c r="M640" s="1"/>
      <c r="N640" s="1"/>
      <c r="O640" s="1"/>
      <c r="P640" s="1"/>
      <c r="Q640" s="1"/>
      <c r="R640" s="1"/>
      <c r="S640" s="1"/>
      <c r="T640" s="1"/>
      <c r="U640" s="1"/>
      <c r="V640" s="1"/>
    </row>
    <row r="641" spans="11:22">
      <c r="K641" s="1"/>
      <c r="L641" s="1"/>
      <c r="M641" s="1"/>
      <c r="N641" s="1"/>
      <c r="O641" s="1"/>
      <c r="P641" s="1"/>
      <c r="Q641" s="1"/>
      <c r="R641" s="1"/>
      <c r="S641" s="1"/>
      <c r="T641" s="1"/>
      <c r="U641" s="1"/>
      <c r="V641" s="1"/>
    </row>
    <row r="642" spans="11:22">
      <c r="K642" s="1"/>
      <c r="L642" s="1"/>
      <c r="M642" s="1"/>
      <c r="N642" s="1"/>
      <c r="O642" s="1"/>
      <c r="P642" s="1"/>
      <c r="Q642" s="1"/>
      <c r="R642" s="1"/>
      <c r="S642" s="1"/>
      <c r="T642" s="1"/>
      <c r="U642" s="1"/>
      <c r="V642" s="1"/>
    </row>
    <row r="643" spans="11:22">
      <c r="K643" s="1"/>
      <c r="L643" s="1"/>
      <c r="M643" s="1"/>
      <c r="N643" s="1"/>
      <c r="O643" s="1"/>
      <c r="P643" s="1"/>
      <c r="Q643" s="1"/>
      <c r="R643" s="1"/>
      <c r="S643" s="1"/>
      <c r="T643" s="1"/>
      <c r="U643" s="1"/>
      <c r="V643" s="1"/>
    </row>
    <row r="644" spans="11:22">
      <c r="K644" s="1"/>
      <c r="L644" s="1"/>
      <c r="M644" s="1"/>
      <c r="N644" s="1"/>
      <c r="O644" s="1"/>
      <c r="P644" s="1"/>
      <c r="Q644" s="1"/>
      <c r="R644" s="1"/>
      <c r="S644" s="1"/>
      <c r="T644" s="1"/>
      <c r="U644" s="1"/>
      <c r="V644" s="1"/>
    </row>
    <row r="645" spans="11:22">
      <c r="K645" s="1"/>
      <c r="L645" s="1"/>
      <c r="M645" s="1"/>
      <c r="N645" s="1"/>
      <c r="O645" s="1"/>
      <c r="P645" s="1"/>
      <c r="Q645" s="1"/>
      <c r="R645" s="1"/>
      <c r="S645" s="1"/>
      <c r="T645" s="1"/>
      <c r="U645" s="1"/>
      <c r="V645" s="1"/>
    </row>
    <row r="646" spans="11:22">
      <c r="K646" s="1"/>
      <c r="L646" s="1"/>
      <c r="M646" s="1"/>
      <c r="N646" s="1"/>
      <c r="O646" s="1"/>
      <c r="P646" s="1"/>
      <c r="Q646" s="1"/>
      <c r="R646" s="1"/>
      <c r="S646" s="1"/>
      <c r="T646" s="1"/>
      <c r="U646" s="1"/>
      <c r="V646" s="1"/>
    </row>
    <row r="647" spans="11:22">
      <c r="K647" s="1"/>
      <c r="L647" s="1"/>
      <c r="M647" s="1"/>
      <c r="N647" s="1"/>
      <c r="O647" s="1"/>
      <c r="P647" s="1"/>
      <c r="Q647" s="1"/>
      <c r="R647" s="1"/>
      <c r="S647" s="1"/>
      <c r="T647" s="1"/>
      <c r="U647" s="1"/>
      <c r="V647" s="1"/>
    </row>
    <row r="648" spans="11:22">
      <c r="K648" s="1"/>
      <c r="L648" s="1"/>
      <c r="M648" s="1"/>
      <c r="N648" s="1"/>
      <c r="O648" s="1"/>
      <c r="P648" s="1"/>
      <c r="Q648" s="1"/>
      <c r="R648" s="1"/>
      <c r="S648" s="1"/>
      <c r="T648" s="1"/>
      <c r="U648" s="1"/>
      <c r="V648" s="1"/>
    </row>
    <row r="649" spans="11:22">
      <c r="K649" s="1"/>
      <c r="L649" s="1"/>
      <c r="M649" s="1"/>
      <c r="N649" s="1"/>
      <c r="O649" s="1"/>
      <c r="P649" s="1"/>
      <c r="Q649" s="1"/>
      <c r="R649" s="1"/>
      <c r="S649" s="1"/>
      <c r="T649" s="1"/>
      <c r="U649" s="1"/>
      <c r="V649" s="1"/>
    </row>
    <row r="650" spans="11:22">
      <c r="K650" s="1"/>
      <c r="L650" s="1"/>
      <c r="M650" s="1"/>
      <c r="N650" s="1"/>
      <c r="O650" s="1"/>
      <c r="P650" s="1"/>
      <c r="Q650" s="1"/>
      <c r="R650" s="1"/>
      <c r="S650" s="1"/>
      <c r="T650" s="1"/>
      <c r="U650" s="1"/>
      <c r="V650" s="1"/>
    </row>
    <row r="651" spans="11:22">
      <c r="K651" s="1"/>
      <c r="L651" s="1"/>
      <c r="M651" s="1"/>
      <c r="N651" s="1"/>
      <c r="O651" s="1"/>
      <c r="P651" s="1"/>
      <c r="Q651" s="1"/>
      <c r="R651" s="1"/>
      <c r="S651" s="1"/>
      <c r="T651" s="1"/>
      <c r="U651" s="1"/>
      <c r="V651" s="1"/>
    </row>
    <row r="652" spans="11:22">
      <c r="K652" s="1"/>
      <c r="L652" s="1"/>
      <c r="M652" s="1"/>
      <c r="N652" s="1"/>
      <c r="O652" s="1"/>
      <c r="P652" s="1"/>
      <c r="Q652" s="1"/>
      <c r="R652" s="1"/>
      <c r="S652" s="1"/>
      <c r="T652" s="1"/>
      <c r="U652" s="1"/>
      <c r="V652" s="1"/>
    </row>
    <row r="653" spans="11:22">
      <c r="K653" s="1"/>
      <c r="L653" s="1"/>
      <c r="M653" s="1"/>
      <c r="N653" s="1"/>
      <c r="O653" s="1"/>
      <c r="P653" s="1"/>
      <c r="Q653" s="1"/>
      <c r="R653" s="1"/>
      <c r="S653" s="1"/>
      <c r="T653" s="1"/>
      <c r="U653" s="1"/>
      <c r="V653" s="1"/>
    </row>
    <row r="654" spans="11:22">
      <c r="K654" s="1"/>
      <c r="L654" s="1"/>
      <c r="M654" s="1"/>
      <c r="N654" s="1"/>
      <c r="O654" s="1"/>
      <c r="P654" s="1"/>
      <c r="Q654" s="1"/>
      <c r="R654" s="1"/>
      <c r="S654" s="1"/>
      <c r="T654" s="1"/>
      <c r="U654" s="1"/>
      <c r="V654" s="1"/>
    </row>
    <row r="655" spans="11:22">
      <c r="K655" s="1"/>
      <c r="L655" s="1"/>
      <c r="M655" s="1"/>
      <c r="N655" s="1"/>
      <c r="O655" s="1"/>
      <c r="P655" s="1"/>
      <c r="Q655" s="1"/>
      <c r="R655" s="1"/>
      <c r="S655" s="1"/>
      <c r="T655" s="1"/>
      <c r="U655" s="1"/>
      <c r="V655" s="1"/>
    </row>
    <row r="656" spans="11:22">
      <c r="K656" s="1"/>
      <c r="L656" s="1"/>
      <c r="M656" s="1"/>
      <c r="N656" s="1"/>
      <c r="O656" s="1"/>
      <c r="P656" s="1"/>
      <c r="Q656" s="1"/>
      <c r="R656" s="1"/>
      <c r="S656" s="1"/>
      <c r="T656" s="1"/>
      <c r="U656" s="1"/>
      <c r="V656" s="1"/>
    </row>
    <row r="657" spans="11:22">
      <c r="K657" s="1"/>
      <c r="L657" s="1"/>
      <c r="M657" s="1"/>
      <c r="N657" s="1"/>
      <c r="O657" s="1"/>
      <c r="P657" s="1"/>
      <c r="Q657" s="1"/>
      <c r="R657" s="1"/>
      <c r="S657" s="1"/>
      <c r="T657" s="1"/>
      <c r="U657" s="1"/>
      <c r="V657" s="1"/>
    </row>
    <row r="658" spans="11:22">
      <c r="K658" s="1"/>
      <c r="L658" s="1"/>
      <c r="M658" s="1"/>
      <c r="N658" s="1"/>
      <c r="O658" s="1"/>
      <c r="P658" s="1"/>
      <c r="Q658" s="1"/>
      <c r="R658" s="1"/>
      <c r="S658" s="1"/>
      <c r="T658" s="1"/>
      <c r="U658" s="1"/>
      <c r="V658" s="1"/>
    </row>
    <row r="659" spans="11:22">
      <c r="K659" s="1"/>
      <c r="L659" s="1"/>
      <c r="M659" s="1"/>
      <c r="N659" s="1"/>
      <c r="O659" s="1"/>
      <c r="P659" s="1"/>
      <c r="Q659" s="1"/>
      <c r="R659" s="1"/>
      <c r="S659" s="1"/>
      <c r="T659" s="1"/>
      <c r="U659" s="1"/>
      <c r="V659" s="1"/>
    </row>
    <row r="660" spans="11:22">
      <c r="K660" s="1"/>
      <c r="L660" s="1"/>
      <c r="M660" s="1"/>
      <c r="N660" s="1"/>
      <c r="O660" s="1"/>
      <c r="P660" s="1"/>
      <c r="Q660" s="1"/>
      <c r="R660" s="1"/>
      <c r="S660" s="1"/>
      <c r="T660" s="1"/>
      <c r="U660" s="1"/>
      <c r="V660" s="1"/>
    </row>
    <row r="661" spans="11:22">
      <c r="K661" s="1"/>
      <c r="L661" s="1"/>
      <c r="M661" s="1"/>
      <c r="N661" s="1"/>
      <c r="O661" s="1"/>
      <c r="P661" s="1"/>
      <c r="Q661" s="1"/>
      <c r="R661" s="1"/>
      <c r="S661" s="1"/>
      <c r="T661" s="1"/>
      <c r="U661" s="1"/>
      <c r="V661" s="1"/>
    </row>
    <row r="662" spans="11:22">
      <c r="K662" s="1"/>
      <c r="L662" s="1"/>
      <c r="M662" s="1"/>
      <c r="N662" s="1"/>
      <c r="O662" s="1"/>
      <c r="P662" s="1"/>
      <c r="Q662" s="1"/>
      <c r="R662" s="1"/>
      <c r="S662" s="1"/>
      <c r="T662" s="1"/>
      <c r="U662" s="1"/>
      <c r="V662" s="1"/>
    </row>
    <row r="663" spans="11:22">
      <c r="K663" s="1"/>
      <c r="L663" s="1"/>
      <c r="M663" s="1"/>
      <c r="N663" s="1"/>
      <c r="O663" s="1"/>
      <c r="P663" s="1"/>
      <c r="Q663" s="1"/>
      <c r="R663" s="1"/>
      <c r="S663" s="1"/>
      <c r="T663" s="1"/>
      <c r="U663" s="1"/>
      <c r="V663" s="1"/>
    </row>
    <row r="664" spans="11:22">
      <c r="K664" s="1"/>
      <c r="L664" s="1"/>
      <c r="M664" s="1"/>
      <c r="N664" s="1"/>
      <c r="O664" s="1"/>
      <c r="P664" s="1"/>
      <c r="Q664" s="1"/>
      <c r="R664" s="1"/>
      <c r="S664" s="1"/>
      <c r="T664" s="1"/>
      <c r="U664" s="1"/>
      <c r="V664" s="1"/>
    </row>
    <row r="665" spans="11:22">
      <c r="K665" s="1"/>
      <c r="L665" s="1"/>
      <c r="M665" s="1"/>
      <c r="N665" s="1"/>
      <c r="O665" s="1"/>
      <c r="P665" s="1"/>
      <c r="Q665" s="1"/>
      <c r="R665" s="1"/>
      <c r="S665" s="1"/>
      <c r="T665" s="1"/>
      <c r="U665" s="1"/>
      <c r="V665" s="1"/>
    </row>
    <row r="666" spans="11:22">
      <c r="K666" s="1"/>
      <c r="L666" s="1"/>
      <c r="M666" s="1"/>
      <c r="N666" s="1"/>
      <c r="O666" s="1"/>
      <c r="P666" s="1"/>
      <c r="Q666" s="1"/>
      <c r="R666" s="1"/>
      <c r="S666" s="1"/>
      <c r="T666" s="1"/>
      <c r="U666" s="1"/>
      <c r="V666" s="1"/>
    </row>
    <row r="667" spans="11:22">
      <c r="K667" s="1"/>
      <c r="L667" s="1"/>
      <c r="M667" s="1"/>
      <c r="N667" s="1"/>
      <c r="O667" s="1"/>
      <c r="P667" s="1"/>
      <c r="Q667" s="1"/>
      <c r="R667" s="1"/>
      <c r="S667" s="1"/>
      <c r="T667" s="1"/>
      <c r="U667" s="1"/>
      <c r="V667" s="1"/>
    </row>
    <row r="668" spans="11:22">
      <c r="K668" s="1"/>
      <c r="L668" s="1"/>
      <c r="M668" s="1"/>
      <c r="N668" s="1"/>
      <c r="O668" s="1"/>
      <c r="P668" s="1"/>
      <c r="Q668" s="1"/>
      <c r="R668" s="1"/>
      <c r="S668" s="1"/>
      <c r="T668" s="1"/>
      <c r="U668" s="1"/>
      <c r="V668" s="1"/>
    </row>
    <row r="669" spans="11:22">
      <c r="K669" s="1"/>
      <c r="L669" s="1"/>
      <c r="M669" s="1"/>
      <c r="N669" s="1"/>
      <c r="O669" s="1"/>
      <c r="P669" s="1"/>
      <c r="Q669" s="1"/>
      <c r="R669" s="1"/>
      <c r="S669" s="1"/>
      <c r="T669" s="1"/>
      <c r="U669" s="1"/>
      <c r="V669" s="1"/>
    </row>
    <row r="670" spans="11:22">
      <c r="K670" s="1"/>
      <c r="L670" s="1"/>
      <c r="M670" s="1"/>
      <c r="N670" s="1"/>
      <c r="O670" s="1"/>
      <c r="P670" s="1"/>
      <c r="Q670" s="1"/>
      <c r="R670" s="1"/>
      <c r="S670" s="1"/>
      <c r="T670" s="1"/>
      <c r="U670" s="1"/>
      <c r="V670" s="1"/>
    </row>
    <row r="671" spans="11:22">
      <c r="K671" s="1"/>
      <c r="L671" s="1"/>
      <c r="M671" s="1"/>
      <c r="N671" s="1"/>
      <c r="O671" s="1"/>
      <c r="P671" s="1"/>
      <c r="Q671" s="1"/>
      <c r="R671" s="1"/>
      <c r="S671" s="1"/>
      <c r="T671" s="1"/>
      <c r="U671" s="1"/>
      <c r="V671" s="1"/>
    </row>
    <row r="672" spans="11:22">
      <c r="K672" s="1"/>
      <c r="L672" s="1"/>
      <c r="M672" s="1"/>
      <c r="N672" s="1"/>
      <c r="O672" s="1"/>
      <c r="P672" s="1"/>
      <c r="Q672" s="1"/>
      <c r="R672" s="1"/>
      <c r="S672" s="1"/>
      <c r="T672" s="1"/>
      <c r="U672" s="1"/>
      <c r="V672" s="1"/>
    </row>
    <row r="673" spans="11:22">
      <c r="K673" s="1"/>
      <c r="L673" s="1"/>
      <c r="M673" s="1"/>
      <c r="N673" s="1"/>
      <c r="O673" s="1"/>
      <c r="P673" s="1"/>
      <c r="Q673" s="1"/>
      <c r="R673" s="1"/>
      <c r="S673" s="1"/>
      <c r="T673" s="1"/>
      <c r="U673" s="1"/>
      <c r="V673" s="1"/>
    </row>
    <row r="674" spans="11:22">
      <c r="K674" s="1"/>
      <c r="L674" s="1"/>
      <c r="M674" s="1"/>
      <c r="N674" s="1"/>
      <c r="O674" s="1"/>
      <c r="P674" s="1"/>
      <c r="Q674" s="1"/>
      <c r="R674" s="1"/>
      <c r="S674" s="1"/>
      <c r="T674" s="1"/>
      <c r="U674" s="1"/>
      <c r="V674" s="1"/>
    </row>
    <row r="675" spans="11:22">
      <c r="K675" s="1"/>
      <c r="L675" s="1"/>
      <c r="M675" s="1"/>
      <c r="N675" s="1"/>
      <c r="O675" s="1"/>
      <c r="P675" s="1"/>
      <c r="Q675" s="1"/>
      <c r="R675" s="1"/>
      <c r="S675" s="1"/>
      <c r="T675" s="1"/>
      <c r="U675" s="1"/>
      <c r="V675" s="1"/>
    </row>
    <row r="676" spans="11:22">
      <c r="K676" s="1"/>
      <c r="L676" s="1"/>
      <c r="M676" s="1"/>
      <c r="N676" s="1"/>
      <c r="O676" s="1"/>
      <c r="P676" s="1"/>
      <c r="Q676" s="1"/>
      <c r="R676" s="1"/>
      <c r="S676" s="1"/>
      <c r="T676" s="1"/>
      <c r="U676" s="1"/>
      <c r="V676" s="1"/>
    </row>
    <row r="677" spans="11:22">
      <c r="K677" s="1"/>
      <c r="L677" s="1"/>
      <c r="M677" s="1"/>
      <c r="N677" s="1"/>
      <c r="O677" s="1"/>
      <c r="P677" s="1"/>
      <c r="Q677" s="1"/>
      <c r="R677" s="1"/>
      <c r="S677" s="1"/>
      <c r="T677" s="1"/>
      <c r="U677" s="1"/>
      <c r="V677" s="1"/>
    </row>
    <row r="678" spans="11:22">
      <c r="K678" s="1"/>
      <c r="L678" s="1"/>
      <c r="M678" s="1"/>
      <c r="N678" s="1"/>
      <c r="O678" s="1"/>
      <c r="P678" s="1"/>
      <c r="Q678" s="1"/>
      <c r="R678" s="1"/>
      <c r="S678" s="1"/>
      <c r="T678" s="1"/>
      <c r="U678" s="1"/>
      <c r="V678" s="1"/>
    </row>
    <row r="679" spans="11:22">
      <c r="K679" s="1"/>
      <c r="L679" s="1"/>
      <c r="M679" s="1"/>
      <c r="N679" s="1"/>
      <c r="O679" s="1"/>
      <c r="P679" s="1"/>
      <c r="Q679" s="1"/>
      <c r="R679" s="1"/>
      <c r="S679" s="1"/>
      <c r="T679" s="1"/>
      <c r="U679" s="1"/>
      <c r="V679" s="1"/>
    </row>
    <row r="680" spans="11:22">
      <c r="K680" s="1"/>
      <c r="L680" s="1"/>
      <c r="M680" s="1"/>
      <c r="N680" s="1"/>
      <c r="O680" s="1"/>
      <c r="P680" s="1"/>
      <c r="Q680" s="1"/>
      <c r="R680" s="1"/>
      <c r="S680" s="1"/>
      <c r="T680" s="1"/>
      <c r="U680" s="1"/>
      <c r="V680" s="1"/>
    </row>
    <row r="681" spans="11:22">
      <c r="K681" s="1"/>
      <c r="L681" s="1"/>
      <c r="M681" s="1"/>
      <c r="N681" s="1"/>
      <c r="O681" s="1"/>
      <c r="P681" s="1"/>
      <c r="Q681" s="1"/>
      <c r="R681" s="1"/>
      <c r="S681" s="1"/>
      <c r="T681" s="1"/>
      <c r="U681" s="1"/>
      <c r="V681" s="1"/>
    </row>
    <row r="682" spans="11:22">
      <c r="K682" s="1"/>
      <c r="L682" s="1"/>
      <c r="M682" s="1"/>
      <c r="N682" s="1"/>
      <c r="O682" s="1"/>
      <c r="P682" s="1"/>
      <c r="Q682" s="1"/>
      <c r="R682" s="1"/>
      <c r="S682" s="1"/>
      <c r="T682" s="1"/>
      <c r="U682" s="1"/>
      <c r="V682" s="1"/>
    </row>
    <row r="683" spans="11:22">
      <c r="K683" s="1"/>
      <c r="L683" s="1"/>
      <c r="M683" s="1"/>
      <c r="N683" s="1"/>
      <c r="O683" s="1"/>
      <c r="P683" s="1"/>
      <c r="Q683" s="1"/>
      <c r="R683" s="1"/>
      <c r="S683" s="1"/>
      <c r="T683" s="1"/>
      <c r="U683" s="1"/>
      <c r="V683" s="1"/>
    </row>
    <row r="684" spans="11:22">
      <c r="K684" s="1"/>
      <c r="L684" s="1"/>
      <c r="M684" s="1"/>
      <c r="N684" s="1"/>
      <c r="O684" s="1"/>
      <c r="P684" s="1"/>
      <c r="Q684" s="1"/>
      <c r="R684" s="1"/>
      <c r="S684" s="1"/>
      <c r="T684" s="1"/>
      <c r="U684" s="1"/>
      <c r="V684" s="1"/>
    </row>
    <row r="685" spans="11:22">
      <c r="K685" s="1"/>
      <c r="L685" s="1"/>
      <c r="M685" s="1"/>
      <c r="N685" s="1"/>
      <c r="O685" s="1"/>
      <c r="P685" s="1"/>
      <c r="Q685" s="1"/>
      <c r="R685" s="1"/>
      <c r="S685" s="1"/>
      <c r="T685" s="1"/>
      <c r="U685" s="1"/>
      <c r="V685" s="1"/>
    </row>
    <row r="686" spans="11:22">
      <c r="K686" s="1"/>
      <c r="L686" s="1"/>
      <c r="M686" s="1"/>
      <c r="N686" s="1"/>
      <c r="O686" s="1"/>
      <c r="P686" s="1"/>
      <c r="Q686" s="1"/>
      <c r="R686" s="1"/>
      <c r="S686" s="1"/>
      <c r="T686" s="1"/>
      <c r="U686" s="1"/>
      <c r="V686" s="1"/>
    </row>
    <row r="687" spans="11:22">
      <c r="K687" s="1"/>
      <c r="L687" s="1"/>
      <c r="M687" s="1"/>
      <c r="N687" s="1"/>
      <c r="O687" s="1"/>
      <c r="P687" s="1"/>
      <c r="Q687" s="1"/>
      <c r="R687" s="1"/>
      <c r="S687" s="1"/>
      <c r="T687" s="1"/>
      <c r="U687" s="1"/>
      <c r="V687" s="1"/>
    </row>
    <row r="688" spans="11:22">
      <c r="K688" s="1"/>
      <c r="L688" s="1"/>
      <c r="M688" s="1"/>
      <c r="N688" s="1"/>
      <c r="O688" s="1"/>
      <c r="P688" s="1"/>
      <c r="Q688" s="1"/>
      <c r="R688" s="1"/>
      <c r="S688" s="1"/>
      <c r="T688" s="1"/>
      <c r="U688" s="1"/>
      <c r="V688" s="1"/>
    </row>
    <row r="689" spans="11:22">
      <c r="K689" s="1"/>
      <c r="L689" s="1"/>
      <c r="M689" s="1"/>
      <c r="N689" s="1"/>
      <c r="O689" s="1"/>
      <c r="P689" s="1"/>
      <c r="Q689" s="1"/>
      <c r="R689" s="1"/>
      <c r="S689" s="1"/>
      <c r="T689" s="1"/>
      <c r="U689" s="1"/>
      <c r="V689" s="1"/>
    </row>
    <row r="690" spans="11:22">
      <c r="K690" s="1"/>
      <c r="L690" s="1"/>
      <c r="M690" s="1"/>
      <c r="N690" s="1"/>
      <c r="O690" s="1"/>
      <c r="P690" s="1"/>
      <c r="Q690" s="1"/>
      <c r="R690" s="1"/>
      <c r="S690" s="1"/>
      <c r="T690" s="1"/>
      <c r="U690" s="1"/>
      <c r="V690" s="1"/>
    </row>
    <row r="691" spans="11:22">
      <c r="K691" s="1"/>
      <c r="L691" s="1"/>
      <c r="M691" s="1"/>
      <c r="N691" s="1"/>
      <c r="O691" s="1"/>
      <c r="P691" s="1"/>
      <c r="Q691" s="1"/>
      <c r="R691" s="1"/>
      <c r="S691" s="1"/>
      <c r="T691" s="1"/>
      <c r="U691" s="1"/>
      <c r="V691" s="1"/>
    </row>
    <row r="692" spans="11:22">
      <c r="K692" s="1"/>
      <c r="L692" s="1"/>
      <c r="M692" s="1"/>
      <c r="N692" s="1"/>
      <c r="O692" s="1"/>
      <c r="P692" s="1"/>
      <c r="Q692" s="1"/>
      <c r="R692" s="1"/>
      <c r="S692" s="1"/>
      <c r="T692" s="1"/>
      <c r="U692" s="1"/>
      <c r="V692" s="1"/>
    </row>
    <row r="693" spans="11:22">
      <c r="K693" s="1"/>
      <c r="L693" s="1"/>
      <c r="M693" s="1"/>
      <c r="N693" s="1"/>
      <c r="O693" s="1"/>
      <c r="P693" s="1"/>
      <c r="Q693" s="1"/>
      <c r="R693" s="1"/>
      <c r="S693" s="1"/>
      <c r="T693" s="1"/>
      <c r="U693" s="1"/>
      <c r="V693" s="1"/>
    </row>
    <row r="694" spans="11:22">
      <c r="K694" s="1"/>
      <c r="L694" s="1"/>
      <c r="M694" s="1"/>
      <c r="N694" s="1"/>
      <c r="O694" s="1"/>
      <c r="P694" s="1"/>
      <c r="Q694" s="1"/>
      <c r="R694" s="1"/>
      <c r="S694" s="1"/>
      <c r="T694" s="1"/>
      <c r="U694" s="1"/>
      <c r="V694" s="1"/>
    </row>
    <row r="695" spans="11:22">
      <c r="K695" s="1"/>
      <c r="L695" s="1"/>
      <c r="M695" s="1"/>
      <c r="N695" s="1"/>
      <c r="O695" s="1"/>
      <c r="P695" s="1"/>
      <c r="Q695" s="1"/>
      <c r="R695" s="1"/>
      <c r="S695" s="1"/>
      <c r="T695" s="1"/>
      <c r="U695" s="1"/>
      <c r="V695" s="1"/>
    </row>
    <row r="696" spans="11:22">
      <c r="K696" s="1"/>
      <c r="L696" s="1"/>
      <c r="M696" s="1"/>
      <c r="N696" s="1"/>
      <c r="O696" s="1"/>
      <c r="P696" s="1"/>
      <c r="Q696" s="1"/>
      <c r="R696" s="1"/>
      <c r="S696" s="1"/>
      <c r="T696" s="1"/>
      <c r="U696" s="1"/>
      <c r="V696" s="1"/>
    </row>
    <row r="697" spans="11:22">
      <c r="K697" s="1"/>
      <c r="L697" s="1"/>
      <c r="M697" s="1"/>
      <c r="N697" s="1"/>
      <c r="O697" s="1"/>
      <c r="P697" s="1"/>
      <c r="Q697" s="1"/>
      <c r="R697" s="1"/>
      <c r="S697" s="1"/>
      <c r="T697" s="1"/>
      <c r="U697" s="1"/>
      <c r="V697" s="1"/>
    </row>
    <row r="698" spans="11:22">
      <c r="K698" s="1"/>
      <c r="L698" s="1"/>
      <c r="M698" s="1"/>
      <c r="N698" s="1"/>
      <c r="O698" s="1"/>
      <c r="P698" s="1"/>
      <c r="Q698" s="1"/>
      <c r="R698" s="1"/>
      <c r="S698" s="1"/>
      <c r="T698" s="1"/>
      <c r="U698" s="1"/>
      <c r="V698" s="1"/>
    </row>
    <row r="699" spans="11:22">
      <c r="K699" s="1"/>
      <c r="L699" s="1"/>
      <c r="M699" s="1"/>
      <c r="N699" s="1"/>
      <c r="O699" s="1"/>
      <c r="P699" s="1"/>
      <c r="Q699" s="1"/>
      <c r="R699" s="1"/>
      <c r="S699" s="1"/>
      <c r="T699" s="1"/>
      <c r="U699" s="1"/>
      <c r="V699" s="1"/>
    </row>
    <row r="700" spans="11:22">
      <c r="K700" s="1"/>
      <c r="L700" s="1"/>
      <c r="M700" s="1"/>
      <c r="N700" s="1"/>
      <c r="O700" s="1"/>
      <c r="P700" s="1"/>
      <c r="Q700" s="1"/>
      <c r="R700" s="1"/>
      <c r="S700" s="1"/>
      <c r="T700" s="1"/>
      <c r="U700" s="1"/>
      <c r="V700" s="1"/>
    </row>
    <row r="701" spans="11:22">
      <c r="K701" s="1"/>
      <c r="L701" s="1"/>
      <c r="M701" s="1"/>
      <c r="N701" s="1"/>
      <c r="O701" s="1"/>
      <c r="P701" s="1"/>
      <c r="Q701" s="1"/>
      <c r="R701" s="1"/>
      <c r="S701" s="1"/>
      <c r="T701" s="1"/>
      <c r="U701" s="1"/>
      <c r="V701" s="1"/>
    </row>
    <row r="702" spans="11:22">
      <c r="K702" s="1"/>
      <c r="L702" s="1"/>
      <c r="M702" s="1"/>
      <c r="N702" s="1"/>
      <c r="O702" s="1"/>
      <c r="P702" s="1"/>
      <c r="Q702" s="1"/>
      <c r="R702" s="1"/>
      <c r="S702" s="1"/>
      <c r="T702" s="1"/>
      <c r="U702" s="1"/>
      <c r="V702" s="1"/>
    </row>
    <row r="703" spans="11:22">
      <c r="K703" s="1"/>
      <c r="L703" s="1"/>
      <c r="M703" s="1"/>
      <c r="N703" s="1"/>
      <c r="O703" s="1"/>
      <c r="P703" s="1"/>
      <c r="Q703" s="1"/>
      <c r="R703" s="1"/>
      <c r="S703" s="1"/>
      <c r="T703" s="1"/>
      <c r="U703" s="1"/>
      <c r="V703" s="1"/>
    </row>
    <row r="704" spans="11:22">
      <c r="K704" s="1"/>
      <c r="L704" s="1"/>
      <c r="M704" s="1"/>
      <c r="N704" s="1"/>
      <c r="O704" s="1"/>
      <c r="P704" s="1"/>
      <c r="Q704" s="1"/>
      <c r="R704" s="1"/>
      <c r="S704" s="1"/>
      <c r="T704" s="1"/>
      <c r="U704" s="1"/>
      <c r="V704" s="1"/>
    </row>
    <row r="705" spans="11:22">
      <c r="K705" s="1"/>
      <c r="L705" s="1"/>
      <c r="M705" s="1"/>
      <c r="N705" s="1"/>
      <c r="O705" s="1"/>
      <c r="P705" s="1"/>
      <c r="Q705" s="1"/>
      <c r="R705" s="1"/>
      <c r="S705" s="1"/>
      <c r="T705" s="1"/>
      <c r="U705" s="1"/>
      <c r="V705" s="1"/>
    </row>
    <row r="706" spans="11:22">
      <c r="K706" s="1"/>
      <c r="L706" s="1"/>
      <c r="M706" s="1"/>
      <c r="N706" s="1"/>
      <c r="O706" s="1"/>
      <c r="P706" s="1"/>
      <c r="Q706" s="1"/>
      <c r="R706" s="1"/>
      <c r="S706" s="1"/>
      <c r="T706" s="1"/>
      <c r="U706" s="1"/>
      <c r="V706" s="1"/>
    </row>
    <row r="707" spans="11:22">
      <c r="K707" s="1"/>
      <c r="L707" s="1"/>
      <c r="M707" s="1"/>
      <c r="N707" s="1"/>
      <c r="O707" s="1"/>
      <c r="P707" s="1"/>
      <c r="Q707" s="1"/>
      <c r="R707" s="1"/>
      <c r="S707" s="1"/>
      <c r="T707" s="1"/>
      <c r="U707" s="1"/>
      <c r="V707" s="1"/>
    </row>
    <row r="708" spans="11:22">
      <c r="K708" s="1"/>
      <c r="L708" s="1"/>
      <c r="M708" s="1"/>
      <c r="N708" s="1"/>
      <c r="O708" s="1"/>
      <c r="P708" s="1"/>
      <c r="Q708" s="1"/>
      <c r="R708" s="1"/>
      <c r="S708" s="1"/>
      <c r="T708" s="1"/>
      <c r="U708" s="1"/>
      <c r="V708" s="1"/>
    </row>
    <row r="709" spans="11:22">
      <c r="K709" s="1"/>
      <c r="L709" s="1"/>
      <c r="M709" s="1"/>
      <c r="N709" s="1"/>
      <c r="O709" s="1"/>
      <c r="P709" s="1"/>
      <c r="Q709" s="1"/>
      <c r="R709" s="1"/>
      <c r="S709" s="1"/>
      <c r="T709" s="1"/>
      <c r="U709" s="1"/>
      <c r="V709" s="1"/>
    </row>
    <row r="710" spans="11:22">
      <c r="K710" s="1"/>
      <c r="L710" s="1"/>
      <c r="M710" s="1"/>
      <c r="N710" s="1"/>
      <c r="O710" s="1"/>
      <c r="P710" s="1"/>
      <c r="Q710" s="1"/>
      <c r="R710" s="1"/>
      <c r="S710" s="1"/>
      <c r="T710" s="1"/>
      <c r="U710" s="1"/>
      <c r="V710" s="1"/>
    </row>
    <row r="711" spans="11:22">
      <c r="K711" s="1"/>
      <c r="L711" s="1"/>
      <c r="M711" s="1"/>
      <c r="N711" s="1"/>
      <c r="O711" s="1"/>
      <c r="P711" s="1"/>
      <c r="Q711" s="1"/>
      <c r="R711" s="1"/>
      <c r="S711" s="1"/>
      <c r="T711" s="1"/>
      <c r="U711" s="1"/>
      <c r="V711" s="1"/>
    </row>
    <row r="712" spans="11:22">
      <c r="K712" s="1"/>
      <c r="L712" s="1"/>
      <c r="M712" s="1"/>
      <c r="N712" s="1"/>
      <c r="O712" s="1"/>
      <c r="P712" s="1"/>
      <c r="Q712" s="1"/>
      <c r="R712" s="1"/>
      <c r="S712" s="1"/>
      <c r="T712" s="1"/>
      <c r="U712" s="1"/>
      <c r="V712" s="1"/>
    </row>
    <row r="713" spans="11:22">
      <c r="K713" s="1"/>
      <c r="L713" s="1"/>
      <c r="M713" s="1"/>
      <c r="N713" s="1"/>
      <c r="O713" s="1"/>
      <c r="P713" s="1"/>
      <c r="Q713" s="1"/>
      <c r="R713" s="1"/>
      <c r="S713" s="1"/>
      <c r="T713" s="1"/>
      <c r="U713" s="1"/>
      <c r="V713" s="1"/>
    </row>
    <row r="714" spans="11:22">
      <c r="K714" s="1"/>
      <c r="L714" s="1"/>
      <c r="M714" s="1"/>
      <c r="N714" s="1"/>
      <c r="O714" s="1"/>
      <c r="P714" s="1"/>
      <c r="Q714" s="1"/>
      <c r="R714" s="1"/>
      <c r="S714" s="1"/>
      <c r="T714" s="1"/>
      <c r="U714" s="1"/>
      <c r="V714" s="1"/>
    </row>
    <row r="715" spans="11:22">
      <c r="K715" s="1"/>
      <c r="L715" s="1"/>
      <c r="M715" s="1"/>
      <c r="N715" s="1"/>
      <c r="O715" s="1"/>
      <c r="P715" s="1"/>
      <c r="Q715" s="1"/>
      <c r="R715" s="1"/>
      <c r="S715" s="1"/>
      <c r="T715" s="1"/>
      <c r="U715" s="1"/>
      <c r="V715" s="1"/>
    </row>
    <row r="716" spans="11:22">
      <c r="K716" s="1"/>
      <c r="L716" s="1"/>
      <c r="M716" s="1"/>
      <c r="N716" s="1"/>
      <c r="O716" s="1"/>
      <c r="P716" s="1"/>
      <c r="Q716" s="1"/>
      <c r="R716" s="1"/>
      <c r="S716" s="1"/>
      <c r="T716" s="1"/>
      <c r="U716" s="1"/>
      <c r="V716" s="1"/>
    </row>
    <row r="717" spans="11:22">
      <c r="K717" s="1"/>
      <c r="L717" s="1"/>
      <c r="M717" s="1"/>
      <c r="N717" s="1"/>
      <c r="O717" s="1"/>
      <c r="P717" s="1"/>
      <c r="Q717" s="1"/>
      <c r="R717" s="1"/>
      <c r="S717" s="1"/>
      <c r="T717" s="1"/>
      <c r="U717" s="1"/>
      <c r="V717" s="1"/>
    </row>
    <row r="718" spans="11:22">
      <c r="K718" s="1"/>
      <c r="L718" s="1"/>
      <c r="M718" s="1"/>
      <c r="N718" s="1"/>
      <c r="O718" s="1"/>
      <c r="P718" s="1"/>
      <c r="Q718" s="1"/>
      <c r="R718" s="1"/>
      <c r="S718" s="1"/>
      <c r="T718" s="1"/>
      <c r="U718" s="1"/>
      <c r="V718" s="1"/>
    </row>
    <row r="719" spans="11:22">
      <c r="K719" s="1"/>
      <c r="L719" s="1"/>
      <c r="M719" s="1"/>
      <c r="N719" s="1"/>
      <c r="O719" s="1"/>
      <c r="P719" s="1"/>
      <c r="Q719" s="1"/>
      <c r="R719" s="1"/>
      <c r="S719" s="1"/>
      <c r="T719" s="1"/>
      <c r="U719" s="1"/>
      <c r="V719" s="1"/>
    </row>
    <row r="720" spans="11:22">
      <c r="K720" s="1"/>
      <c r="L720" s="1"/>
      <c r="M720" s="1"/>
      <c r="N720" s="1"/>
      <c r="O720" s="1"/>
      <c r="P720" s="1"/>
      <c r="Q720" s="1"/>
      <c r="R720" s="1"/>
      <c r="S720" s="1"/>
      <c r="T720" s="1"/>
      <c r="U720" s="1"/>
      <c r="V720" s="1"/>
    </row>
    <row r="721" spans="11:22">
      <c r="K721" s="1"/>
      <c r="L721" s="1"/>
      <c r="M721" s="1"/>
      <c r="N721" s="1"/>
      <c r="O721" s="1"/>
      <c r="P721" s="1"/>
      <c r="Q721" s="1"/>
      <c r="R721" s="1"/>
      <c r="S721" s="1"/>
      <c r="T721" s="1"/>
      <c r="U721" s="1"/>
      <c r="V721" s="1"/>
    </row>
    <row r="722" spans="11:22">
      <c r="K722" s="1"/>
      <c r="L722" s="1"/>
      <c r="M722" s="1"/>
      <c r="N722" s="1"/>
      <c r="O722" s="1"/>
      <c r="P722" s="1"/>
      <c r="Q722" s="1"/>
      <c r="R722" s="1"/>
      <c r="S722" s="1"/>
      <c r="T722" s="1"/>
      <c r="U722" s="1"/>
      <c r="V722" s="1"/>
    </row>
    <row r="723" spans="11:22">
      <c r="K723" s="1"/>
      <c r="L723" s="1"/>
      <c r="M723" s="1"/>
      <c r="N723" s="1"/>
      <c r="O723" s="1"/>
      <c r="P723" s="1"/>
      <c r="Q723" s="1"/>
      <c r="R723" s="1"/>
      <c r="S723" s="1"/>
      <c r="T723" s="1"/>
      <c r="U723" s="1"/>
      <c r="V723" s="1"/>
    </row>
    <row r="724" spans="11:22">
      <c r="K724" s="1"/>
      <c r="L724" s="1"/>
      <c r="M724" s="1"/>
      <c r="N724" s="1"/>
      <c r="O724" s="1"/>
      <c r="P724" s="1"/>
      <c r="Q724" s="1"/>
      <c r="R724" s="1"/>
      <c r="S724" s="1"/>
      <c r="T724" s="1"/>
      <c r="U724" s="1"/>
      <c r="V724" s="1"/>
    </row>
    <row r="725" spans="11:22">
      <c r="K725" s="1"/>
      <c r="L725" s="1"/>
      <c r="M725" s="1"/>
      <c r="N725" s="1"/>
      <c r="O725" s="1"/>
      <c r="P725" s="1"/>
      <c r="Q725" s="1"/>
      <c r="R725" s="1"/>
      <c r="S725" s="1"/>
      <c r="T725" s="1"/>
      <c r="U725" s="1"/>
      <c r="V725" s="1"/>
    </row>
    <row r="726" spans="11:22">
      <c r="K726" s="1"/>
      <c r="L726" s="1"/>
      <c r="M726" s="1"/>
      <c r="N726" s="1"/>
      <c r="O726" s="1"/>
      <c r="P726" s="1"/>
      <c r="Q726" s="1"/>
      <c r="R726" s="1"/>
      <c r="S726" s="1"/>
      <c r="T726" s="1"/>
      <c r="U726" s="1"/>
      <c r="V726" s="1"/>
    </row>
    <row r="727" spans="11:22">
      <c r="K727" s="1"/>
      <c r="L727" s="1"/>
      <c r="M727" s="1"/>
      <c r="N727" s="1"/>
      <c r="O727" s="1"/>
      <c r="P727" s="1"/>
      <c r="Q727" s="1"/>
      <c r="R727" s="1"/>
      <c r="S727" s="1"/>
      <c r="T727" s="1"/>
      <c r="U727" s="1"/>
      <c r="V727" s="1"/>
    </row>
    <row r="728" spans="11:22">
      <c r="K728" s="1"/>
      <c r="L728" s="1"/>
      <c r="M728" s="1"/>
      <c r="N728" s="1"/>
      <c r="O728" s="1"/>
      <c r="P728" s="1"/>
      <c r="Q728" s="1"/>
      <c r="R728" s="1"/>
      <c r="S728" s="1"/>
      <c r="T728" s="1"/>
      <c r="U728" s="1"/>
      <c r="V728" s="1"/>
    </row>
    <row r="729" spans="11:22">
      <c r="K729" s="1"/>
      <c r="L729" s="1"/>
      <c r="M729" s="1"/>
      <c r="N729" s="1"/>
      <c r="O729" s="1"/>
      <c r="P729" s="1"/>
      <c r="Q729" s="1"/>
      <c r="R729" s="1"/>
      <c r="S729" s="1"/>
      <c r="T729" s="1"/>
      <c r="U729" s="1"/>
      <c r="V729" s="1"/>
    </row>
    <row r="730" spans="11:22">
      <c r="K730" s="1"/>
      <c r="L730" s="1"/>
      <c r="M730" s="1"/>
      <c r="N730" s="1"/>
      <c r="O730" s="1"/>
      <c r="P730" s="1"/>
      <c r="Q730" s="1"/>
      <c r="R730" s="1"/>
      <c r="S730" s="1"/>
      <c r="T730" s="1"/>
      <c r="U730" s="1"/>
      <c r="V730" s="1"/>
    </row>
    <row r="731" spans="11:22">
      <c r="K731" s="1"/>
      <c r="L731" s="1"/>
      <c r="M731" s="1"/>
      <c r="N731" s="1"/>
      <c r="O731" s="1"/>
      <c r="P731" s="1"/>
      <c r="Q731" s="1"/>
      <c r="R731" s="1"/>
      <c r="S731" s="1"/>
      <c r="T731" s="1"/>
      <c r="U731" s="1"/>
      <c r="V731" s="1"/>
    </row>
    <row r="732" spans="11:22">
      <c r="K732" s="1"/>
      <c r="L732" s="1"/>
      <c r="M732" s="1"/>
      <c r="N732" s="1"/>
      <c r="O732" s="1"/>
      <c r="P732" s="1"/>
      <c r="Q732" s="1"/>
      <c r="R732" s="1"/>
      <c r="S732" s="1"/>
      <c r="T732" s="1"/>
      <c r="U732" s="1"/>
      <c r="V732" s="1"/>
    </row>
    <row r="733" spans="11:22">
      <c r="K733" s="1"/>
      <c r="L733" s="1"/>
      <c r="M733" s="1"/>
      <c r="N733" s="1"/>
      <c r="O733" s="1"/>
      <c r="P733" s="1"/>
      <c r="Q733" s="1"/>
      <c r="R733" s="1"/>
      <c r="S733" s="1"/>
      <c r="T733" s="1"/>
      <c r="U733" s="1"/>
      <c r="V733" s="1"/>
    </row>
    <row r="734" spans="11:22">
      <c r="K734" s="1"/>
      <c r="L734" s="1"/>
      <c r="M734" s="1"/>
      <c r="N734" s="1"/>
      <c r="O734" s="1"/>
      <c r="P734" s="1"/>
      <c r="Q734" s="1"/>
      <c r="R734" s="1"/>
      <c r="S734" s="1"/>
      <c r="T734" s="1"/>
      <c r="U734" s="1"/>
      <c r="V734" s="1"/>
    </row>
    <row r="735" spans="11:22">
      <c r="K735" s="1"/>
      <c r="L735" s="1"/>
      <c r="M735" s="1"/>
      <c r="N735" s="1"/>
      <c r="O735" s="1"/>
      <c r="P735" s="1"/>
      <c r="Q735" s="1"/>
      <c r="R735" s="1"/>
      <c r="S735" s="1"/>
      <c r="T735" s="1"/>
      <c r="U735" s="1"/>
      <c r="V735" s="1"/>
    </row>
    <row r="736" spans="11:22">
      <c r="K736" s="1"/>
      <c r="L736" s="1"/>
      <c r="M736" s="1"/>
      <c r="N736" s="1"/>
      <c r="O736" s="1"/>
      <c r="P736" s="1"/>
      <c r="Q736" s="1"/>
      <c r="R736" s="1"/>
      <c r="S736" s="1"/>
      <c r="T736" s="1"/>
      <c r="U736" s="1"/>
      <c r="V736" s="1"/>
    </row>
    <row r="737" spans="11:22">
      <c r="K737" s="1"/>
      <c r="L737" s="1"/>
      <c r="M737" s="1"/>
      <c r="N737" s="1"/>
      <c r="O737" s="1"/>
      <c r="P737" s="1"/>
      <c r="Q737" s="1"/>
      <c r="R737" s="1"/>
      <c r="S737" s="1"/>
      <c r="T737" s="1"/>
      <c r="U737" s="1"/>
      <c r="V737" s="1"/>
    </row>
    <row r="738" spans="11:22">
      <c r="K738" s="1"/>
      <c r="L738" s="1"/>
      <c r="M738" s="1"/>
      <c r="N738" s="1"/>
      <c r="O738" s="1"/>
      <c r="P738" s="1"/>
      <c r="Q738" s="1"/>
      <c r="R738" s="1"/>
      <c r="S738" s="1"/>
      <c r="T738" s="1"/>
      <c r="U738" s="1"/>
      <c r="V738" s="1"/>
    </row>
    <row r="739" spans="11:22">
      <c r="K739" s="1"/>
      <c r="L739" s="1"/>
      <c r="M739" s="1"/>
      <c r="N739" s="1"/>
      <c r="O739" s="1"/>
      <c r="P739" s="1"/>
      <c r="Q739" s="1"/>
      <c r="R739" s="1"/>
      <c r="S739" s="1"/>
      <c r="T739" s="1"/>
      <c r="U739" s="1"/>
      <c r="V739" s="1"/>
    </row>
    <row r="740" spans="11:22">
      <c r="K740" s="1"/>
      <c r="L740" s="1"/>
      <c r="M740" s="1"/>
      <c r="N740" s="1"/>
      <c r="O740" s="1"/>
      <c r="P740" s="1"/>
      <c r="Q740" s="1"/>
      <c r="R740" s="1"/>
      <c r="S740" s="1"/>
      <c r="T740" s="1"/>
      <c r="U740" s="1"/>
      <c r="V740" s="1"/>
    </row>
    <row r="741" spans="11:22">
      <c r="K741" s="1"/>
      <c r="L741" s="1"/>
      <c r="M741" s="1"/>
      <c r="N741" s="1"/>
      <c r="O741" s="1"/>
      <c r="P741" s="1"/>
      <c r="Q741" s="1"/>
      <c r="R741" s="1"/>
      <c r="S741" s="1"/>
      <c r="T741" s="1"/>
      <c r="U741" s="1"/>
      <c r="V741" s="1"/>
    </row>
    <row r="742" spans="11:22">
      <c r="K742" s="1"/>
      <c r="L742" s="1"/>
      <c r="M742" s="1"/>
      <c r="N742" s="1"/>
      <c r="O742" s="1"/>
      <c r="P742" s="1"/>
      <c r="Q742" s="1"/>
      <c r="R742" s="1"/>
      <c r="S742" s="1"/>
      <c r="T742" s="1"/>
      <c r="U742" s="1"/>
      <c r="V742" s="1"/>
    </row>
    <row r="743" spans="11:22">
      <c r="K743" s="1"/>
      <c r="L743" s="1"/>
      <c r="M743" s="1"/>
      <c r="N743" s="1"/>
      <c r="O743" s="1"/>
      <c r="P743" s="1"/>
      <c r="Q743" s="1"/>
      <c r="R743" s="1"/>
      <c r="S743" s="1"/>
      <c r="T743" s="1"/>
      <c r="U743" s="1"/>
      <c r="V743" s="1"/>
    </row>
    <row r="744" spans="11:22">
      <c r="K744" s="1"/>
      <c r="L744" s="1"/>
      <c r="M744" s="1"/>
      <c r="N744" s="1"/>
      <c r="O744" s="1"/>
      <c r="P744" s="1"/>
      <c r="Q744" s="1"/>
      <c r="R744" s="1"/>
      <c r="S744" s="1"/>
      <c r="T744" s="1"/>
      <c r="U744" s="1"/>
      <c r="V744" s="1"/>
    </row>
    <row r="745" spans="11:22">
      <c r="K745" s="1"/>
      <c r="L745" s="1"/>
      <c r="M745" s="1"/>
      <c r="N745" s="1"/>
      <c r="O745" s="1"/>
      <c r="P745" s="1"/>
      <c r="Q745" s="1"/>
      <c r="R745" s="1"/>
      <c r="S745" s="1"/>
      <c r="T745" s="1"/>
      <c r="U745" s="1"/>
      <c r="V745" s="1"/>
    </row>
    <row r="746" spans="11:22">
      <c r="K746" s="1"/>
      <c r="L746" s="1"/>
      <c r="M746" s="1"/>
      <c r="N746" s="1"/>
      <c r="O746" s="1"/>
      <c r="P746" s="1"/>
      <c r="Q746" s="1"/>
      <c r="R746" s="1"/>
      <c r="S746" s="1"/>
      <c r="T746" s="1"/>
      <c r="U746" s="1"/>
      <c r="V746" s="1"/>
    </row>
    <row r="747" spans="11:22">
      <c r="K747" s="1"/>
      <c r="L747" s="1"/>
      <c r="M747" s="1"/>
      <c r="N747" s="1"/>
      <c r="O747" s="1"/>
      <c r="P747" s="1"/>
      <c r="Q747" s="1"/>
      <c r="R747" s="1"/>
      <c r="S747" s="1"/>
      <c r="T747" s="1"/>
      <c r="U747" s="1"/>
      <c r="V747" s="1"/>
    </row>
    <row r="748" spans="11:22">
      <c r="K748" s="1"/>
      <c r="L748" s="1"/>
      <c r="M748" s="1"/>
      <c r="N748" s="1"/>
      <c r="O748" s="1"/>
      <c r="P748" s="1"/>
      <c r="Q748" s="1"/>
      <c r="R748" s="1"/>
      <c r="S748" s="1"/>
      <c r="T748" s="1"/>
      <c r="U748" s="1"/>
      <c r="V748" s="1"/>
    </row>
    <row r="749" spans="11:22">
      <c r="K749" s="1"/>
      <c r="L749" s="1"/>
      <c r="M749" s="1"/>
      <c r="N749" s="1"/>
      <c r="O749" s="1"/>
      <c r="P749" s="1"/>
      <c r="Q749" s="1"/>
      <c r="R749" s="1"/>
      <c r="S749" s="1"/>
      <c r="T749" s="1"/>
      <c r="U749" s="1"/>
      <c r="V749" s="1"/>
    </row>
    <row r="750" spans="11:22">
      <c r="K750" s="1"/>
      <c r="L750" s="1"/>
      <c r="M750" s="1"/>
      <c r="N750" s="1"/>
      <c r="O750" s="1"/>
      <c r="P750" s="1"/>
      <c r="Q750" s="1"/>
      <c r="R750" s="1"/>
      <c r="S750" s="1"/>
      <c r="T750" s="1"/>
      <c r="U750" s="1"/>
      <c r="V750" s="1"/>
    </row>
    <row r="751" spans="11:22">
      <c r="K751" s="1"/>
      <c r="L751" s="1"/>
      <c r="M751" s="1"/>
      <c r="N751" s="1"/>
      <c r="O751" s="1"/>
      <c r="P751" s="1"/>
      <c r="Q751" s="1"/>
      <c r="R751" s="1"/>
      <c r="S751" s="1"/>
      <c r="T751" s="1"/>
      <c r="U751" s="1"/>
      <c r="V751" s="1"/>
    </row>
    <row r="752" spans="11:22">
      <c r="K752" s="1"/>
      <c r="L752" s="1"/>
      <c r="M752" s="1"/>
      <c r="N752" s="1"/>
      <c r="O752" s="1"/>
      <c r="P752" s="1"/>
      <c r="Q752" s="1"/>
      <c r="R752" s="1"/>
      <c r="S752" s="1"/>
      <c r="T752" s="1"/>
      <c r="U752" s="1"/>
      <c r="V752" s="1"/>
    </row>
    <row r="753" spans="11:22">
      <c r="K753" s="1"/>
      <c r="L753" s="1"/>
      <c r="M753" s="1"/>
      <c r="N753" s="1"/>
      <c r="O753" s="1"/>
      <c r="P753" s="1"/>
      <c r="Q753" s="1"/>
      <c r="R753" s="1"/>
      <c r="S753" s="1"/>
      <c r="T753" s="1"/>
      <c r="U753" s="1"/>
      <c r="V753" s="1"/>
    </row>
    <row r="754" spans="11:22">
      <c r="K754" s="1"/>
      <c r="L754" s="1"/>
      <c r="M754" s="1"/>
      <c r="N754" s="1"/>
      <c r="O754" s="1"/>
      <c r="P754" s="1"/>
      <c r="Q754" s="1"/>
      <c r="R754" s="1"/>
      <c r="S754" s="1"/>
      <c r="T754" s="1"/>
      <c r="U754" s="1"/>
      <c r="V754" s="1"/>
    </row>
    <row r="755" spans="11:22">
      <c r="K755" s="1"/>
      <c r="L755" s="1"/>
      <c r="M755" s="1"/>
      <c r="N755" s="1"/>
      <c r="O755" s="1"/>
      <c r="P755" s="1"/>
      <c r="Q755" s="1"/>
      <c r="R755" s="1"/>
      <c r="S755" s="1"/>
      <c r="T755" s="1"/>
      <c r="U755" s="1"/>
      <c r="V755" s="1"/>
    </row>
    <row r="756" spans="11:22">
      <c r="K756" s="1"/>
      <c r="L756" s="1"/>
      <c r="M756" s="1"/>
      <c r="N756" s="1"/>
      <c r="O756" s="1"/>
      <c r="P756" s="1"/>
      <c r="Q756" s="1"/>
      <c r="R756" s="1"/>
      <c r="S756" s="1"/>
      <c r="T756" s="1"/>
      <c r="U756" s="1"/>
      <c r="V756" s="1"/>
    </row>
    <row r="757" spans="11:22">
      <c r="K757" s="1"/>
      <c r="L757" s="1"/>
      <c r="M757" s="1"/>
      <c r="N757" s="1"/>
      <c r="O757" s="1"/>
      <c r="P757" s="1"/>
      <c r="Q757" s="1"/>
      <c r="R757" s="1"/>
      <c r="S757" s="1"/>
      <c r="T757" s="1"/>
      <c r="U757" s="1"/>
      <c r="V757" s="1"/>
    </row>
    <row r="758" spans="11:22">
      <c r="K758" s="1"/>
      <c r="L758" s="1"/>
      <c r="M758" s="1"/>
      <c r="N758" s="1"/>
      <c r="O758" s="1"/>
      <c r="P758" s="1"/>
      <c r="Q758" s="1"/>
      <c r="R758" s="1"/>
      <c r="S758" s="1"/>
      <c r="T758" s="1"/>
      <c r="U758" s="1"/>
      <c r="V758" s="1"/>
    </row>
    <row r="759" spans="11:22">
      <c r="K759" s="1"/>
      <c r="L759" s="1"/>
      <c r="M759" s="1"/>
      <c r="N759" s="1"/>
      <c r="O759" s="1"/>
      <c r="P759" s="1"/>
      <c r="Q759" s="1"/>
      <c r="R759" s="1"/>
      <c r="S759" s="1"/>
      <c r="T759" s="1"/>
      <c r="U759" s="1"/>
      <c r="V759" s="1"/>
    </row>
    <row r="760" spans="11:22">
      <c r="K760" s="1"/>
      <c r="L760" s="1"/>
      <c r="M760" s="1"/>
      <c r="N760" s="1"/>
      <c r="O760" s="1"/>
      <c r="P760" s="1"/>
      <c r="Q760" s="1"/>
      <c r="R760" s="1"/>
      <c r="S760" s="1"/>
      <c r="T760" s="1"/>
      <c r="U760" s="1"/>
      <c r="V760" s="1"/>
    </row>
    <row r="761" spans="11:22">
      <c r="K761" s="1"/>
      <c r="L761" s="1"/>
      <c r="M761" s="1"/>
      <c r="N761" s="1"/>
      <c r="O761" s="1"/>
      <c r="P761" s="1"/>
      <c r="Q761" s="1"/>
      <c r="R761" s="1"/>
      <c r="S761" s="1"/>
      <c r="T761" s="1"/>
      <c r="U761" s="1"/>
      <c r="V761" s="1"/>
    </row>
    <row r="762" spans="11:22">
      <c r="K762" s="1"/>
      <c r="L762" s="1"/>
      <c r="M762" s="1"/>
      <c r="N762" s="1"/>
      <c r="O762" s="1"/>
      <c r="P762" s="1"/>
      <c r="Q762" s="1"/>
      <c r="R762" s="1"/>
      <c r="S762" s="1"/>
      <c r="T762" s="1"/>
      <c r="U762" s="1"/>
      <c r="V762" s="1"/>
    </row>
    <row r="763" spans="11:22">
      <c r="K763" s="1"/>
      <c r="L763" s="1"/>
      <c r="M763" s="1"/>
      <c r="N763" s="1"/>
      <c r="O763" s="1"/>
      <c r="P763" s="1"/>
      <c r="Q763" s="1"/>
      <c r="R763" s="1"/>
      <c r="S763" s="1"/>
      <c r="T763" s="1"/>
      <c r="U763" s="1"/>
      <c r="V763" s="1"/>
    </row>
    <row r="764" spans="11:22">
      <c r="K764" s="1"/>
      <c r="L764" s="1"/>
      <c r="M764" s="1"/>
      <c r="N764" s="1"/>
      <c r="O764" s="1"/>
      <c r="P764" s="1"/>
      <c r="Q764" s="1"/>
      <c r="R764" s="1"/>
      <c r="S764" s="1"/>
      <c r="T764" s="1"/>
      <c r="U764" s="1"/>
      <c r="V764" s="1"/>
    </row>
    <row r="765" spans="11:22">
      <c r="K765" s="1"/>
      <c r="L765" s="1"/>
      <c r="M765" s="1"/>
      <c r="N765" s="1"/>
      <c r="O765" s="1"/>
      <c r="P765" s="1"/>
      <c r="Q765" s="1"/>
      <c r="R765" s="1"/>
      <c r="S765" s="1"/>
      <c r="T765" s="1"/>
      <c r="U765" s="1"/>
      <c r="V765" s="1"/>
    </row>
    <row r="766" spans="11:22">
      <c r="K766" s="1"/>
      <c r="L766" s="1"/>
      <c r="M766" s="1"/>
      <c r="N766" s="1"/>
      <c r="O766" s="1"/>
      <c r="P766" s="1"/>
      <c r="Q766" s="1"/>
      <c r="R766" s="1"/>
      <c r="S766" s="1"/>
      <c r="T766" s="1"/>
      <c r="U766" s="1"/>
      <c r="V766" s="1"/>
    </row>
    <row r="767" spans="11:22">
      <c r="K767" s="1"/>
      <c r="L767" s="1"/>
      <c r="M767" s="1"/>
      <c r="N767" s="1"/>
      <c r="O767" s="1"/>
      <c r="P767" s="1"/>
      <c r="Q767" s="1"/>
      <c r="R767" s="1"/>
      <c r="S767" s="1"/>
      <c r="T767" s="1"/>
      <c r="U767" s="1"/>
      <c r="V767" s="1"/>
    </row>
    <row r="768" spans="11:22">
      <c r="K768" s="1"/>
      <c r="L768" s="1"/>
      <c r="M768" s="1"/>
      <c r="N768" s="1"/>
      <c r="O768" s="1"/>
      <c r="P768" s="1"/>
      <c r="Q768" s="1"/>
      <c r="R768" s="1"/>
      <c r="S768" s="1"/>
      <c r="T768" s="1"/>
      <c r="U768" s="1"/>
      <c r="V768" s="1"/>
    </row>
    <row r="769" spans="11:22">
      <c r="K769" s="1"/>
      <c r="L769" s="1"/>
      <c r="M769" s="1"/>
      <c r="N769" s="1"/>
      <c r="O769" s="1"/>
      <c r="P769" s="1"/>
      <c r="Q769" s="1"/>
      <c r="R769" s="1"/>
      <c r="S769" s="1"/>
      <c r="T769" s="1"/>
      <c r="U769" s="1"/>
      <c r="V769" s="1"/>
    </row>
    <row r="770" spans="11:22">
      <c r="K770" s="1"/>
      <c r="L770" s="1"/>
      <c r="M770" s="1"/>
      <c r="N770" s="1"/>
      <c r="O770" s="1"/>
      <c r="P770" s="1"/>
      <c r="Q770" s="1"/>
      <c r="R770" s="1"/>
      <c r="S770" s="1"/>
      <c r="T770" s="1"/>
      <c r="U770" s="1"/>
      <c r="V770" s="1"/>
    </row>
    <row r="771" spans="11:22">
      <c r="K771" s="1"/>
      <c r="L771" s="1"/>
      <c r="M771" s="1"/>
      <c r="N771" s="1"/>
      <c r="O771" s="1"/>
      <c r="P771" s="1"/>
      <c r="Q771" s="1"/>
      <c r="R771" s="1"/>
      <c r="S771" s="1"/>
      <c r="T771" s="1"/>
      <c r="U771" s="1"/>
      <c r="V771" s="1"/>
    </row>
    <row r="772" spans="11:22">
      <c r="K772" s="1"/>
      <c r="L772" s="1"/>
      <c r="M772" s="1"/>
      <c r="N772" s="1"/>
      <c r="O772" s="1"/>
      <c r="P772" s="1"/>
      <c r="Q772" s="1"/>
      <c r="R772" s="1"/>
      <c r="S772" s="1"/>
      <c r="T772" s="1"/>
      <c r="U772" s="1"/>
      <c r="V772" s="1"/>
    </row>
    <row r="773" spans="11:22">
      <c r="K773" s="1"/>
      <c r="L773" s="1"/>
      <c r="M773" s="1"/>
      <c r="N773" s="1"/>
      <c r="O773" s="1"/>
      <c r="P773" s="1"/>
      <c r="Q773" s="1"/>
      <c r="R773" s="1"/>
      <c r="S773" s="1"/>
      <c r="T773" s="1"/>
      <c r="U773" s="1"/>
      <c r="V773" s="1"/>
    </row>
    <row r="774" spans="11:22">
      <c r="K774" s="1"/>
      <c r="L774" s="1"/>
      <c r="M774" s="1"/>
      <c r="N774" s="1"/>
      <c r="O774" s="1"/>
      <c r="P774" s="1"/>
      <c r="Q774" s="1"/>
      <c r="R774" s="1"/>
      <c r="S774" s="1"/>
      <c r="T774" s="1"/>
      <c r="U774" s="1"/>
      <c r="V774" s="1"/>
    </row>
    <row r="775" spans="11:22">
      <c r="K775" s="1"/>
      <c r="L775" s="1"/>
      <c r="M775" s="1"/>
      <c r="N775" s="1"/>
      <c r="O775" s="1"/>
      <c r="P775" s="1"/>
      <c r="Q775" s="1"/>
      <c r="R775" s="1"/>
      <c r="S775" s="1"/>
      <c r="T775" s="1"/>
      <c r="U775" s="1"/>
      <c r="V775" s="1"/>
    </row>
    <row r="776" spans="11:22">
      <c r="K776" s="1"/>
      <c r="L776" s="1"/>
      <c r="M776" s="1"/>
      <c r="N776" s="1"/>
      <c r="O776" s="1"/>
      <c r="P776" s="1"/>
      <c r="Q776" s="1"/>
      <c r="R776" s="1"/>
      <c r="S776" s="1"/>
      <c r="T776" s="1"/>
      <c r="U776" s="1"/>
      <c r="V776" s="1"/>
    </row>
    <row r="777" spans="11:22">
      <c r="K777" s="1"/>
      <c r="L777" s="1"/>
      <c r="M777" s="1"/>
      <c r="N777" s="1"/>
      <c r="O777" s="1"/>
      <c r="P777" s="1"/>
      <c r="Q777" s="1"/>
      <c r="R777" s="1"/>
      <c r="S777" s="1"/>
      <c r="T777" s="1"/>
      <c r="U777" s="1"/>
      <c r="V777" s="1"/>
    </row>
    <row r="778" spans="11:22">
      <c r="K778" s="1"/>
      <c r="L778" s="1"/>
      <c r="M778" s="1"/>
      <c r="N778" s="1"/>
      <c r="O778" s="1"/>
      <c r="P778" s="1"/>
      <c r="Q778" s="1"/>
      <c r="R778" s="1"/>
      <c r="S778" s="1"/>
      <c r="T778" s="1"/>
      <c r="U778" s="1"/>
      <c r="V778" s="1"/>
    </row>
    <row r="779" spans="11:22">
      <c r="K779" s="1"/>
      <c r="L779" s="1"/>
      <c r="M779" s="1"/>
      <c r="N779" s="1"/>
      <c r="O779" s="1"/>
      <c r="P779" s="1"/>
      <c r="Q779" s="1"/>
      <c r="R779" s="1"/>
      <c r="S779" s="1"/>
      <c r="T779" s="1"/>
      <c r="U779" s="1"/>
      <c r="V779" s="1"/>
    </row>
    <row r="780" spans="11:22">
      <c r="K780" s="1"/>
      <c r="L780" s="1"/>
      <c r="M780" s="1"/>
      <c r="N780" s="1"/>
      <c r="O780" s="1"/>
      <c r="P780" s="1"/>
      <c r="Q780" s="1"/>
      <c r="R780" s="1"/>
      <c r="S780" s="1"/>
      <c r="T780" s="1"/>
      <c r="U780" s="1"/>
      <c r="V780" s="1"/>
    </row>
    <row r="781" spans="11:22">
      <c r="K781" s="1"/>
      <c r="L781" s="1"/>
      <c r="M781" s="1"/>
      <c r="N781" s="1"/>
      <c r="O781" s="1"/>
      <c r="P781" s="1"/>
      <c r="Q781" s="1"/>
      <c r="R781" s="1"/>
      <c r="S781" s="1"/>
      <c r="T781" s="1"/>
      <c r="U781" s="1"/>
      <c r="V781" s="1"/>
    </row>
    <row r="782" spans="11:22">
      <c r="K782" s="1"/>
      <c r="L782" s="1"/>
      <c r="M782" s="1"/>
      <c r="N782" s="1"/>
      <c r="O782" s="1"/>
      <c r="P782" s="1"/>
      <c r="Q782" s="1"/>
      <c r="R782" s="1"/>
      <c r="S782" s="1"/>
      <c r="T782" s="1"/>
      <c r="U782" s="1"/>
      <c r="V782" s="1"/>
    </row>
    <row r="783" spans="11:22">
      <c r="K783" s="1"/>
      <c r="L783" s="1"/>
      <c r="M783" s="1"/>
      <c r="N783" s="1"/>
      <c r="O783" s="1"/>
      <c r="P783" s="1"/>
      <c r="Q783" s="1"/>
      <c r="R783" s="1"/>
      <c r="S783" s="1"/>
      <c r="T783" s="1"/>
      <c r="U783" s="1"/>
      <c r="V783" s="1"/>
    </row>
    <row r="784" spans="11:22">
      <c r="K784" s="1"/>
      <c r="L784" s="1"/>
      <c r="M784" s="1"/>
      <c r="N784" s="1"/>
      <c r="O784" s="1"/>
      <c r="P784" s="1"/>
      <c r="Q784" s="1"/>
      <c r="R784" s="1"/>
      <c r="S784" s="1"/>
      <c r="T784" s="1"/>
      <c r="U784" s="1"/>
      <c r="V784" s="1"/>
    </row>
    <row r="785" spans="11:22">
      <c r="K785" s="1"/>
      <c r="L785" s="1"/>
      <c r="M785" s="1"/>
      <c r="N785" s="1"/>
      <c r="O785" s="1"/>
      <c r="P785" s="1"/>
      <c r="Q785" s="1"/>
      <c r="R785" s="1"/>
      <c r="S785" s="1"/>
      <c r="T785" s="1"/>
      <c r="U785" s="1"/>
      <c r="V785" s="1"/>
    </row>
    <row r="786" spans="11:22">
      <c r="K786" s="1"/>
      <c r="L786" s="1"/>
      <c r="M786" s="1"/>
      <c r="N786" s="1"/>
      <c r="O786" s="1"/>
      <c r="P786" s="1"/>
      <c r="Q786" s="1"/>
      <c r="R786" s="1"/>
      <c r="S786" s="1"/>
      <c r="T786" s="1"/>
      <c r="U786" s="1"/>
      <c r="V786" s="1"/>
    </row>
    <row r="787" spans="11:22">
      <c r="K787" s="1"/>
      <c r="L787" s="1"/>
      <c r="M787" s="1"/>
      <c r="N787" s="1"/>
      <c r="O787" s="1"/>
      <c r="P787" s="1"/>
      <c r="Q787" s="1"/>
      <c r="R787" s="1"/>
      <c r="S787" s="1"/>
      <c r="T787" s="1"/>
      <c r="U787" s="1"/>
      <c r="V787" s="1"/>
    </row>
    <row r="788" spans="11:22">
      <c r="K788" s="1"/>
      <c r="L788" s="1"/>
      <c r="M788" s="1"/>
      <c r="N788" s="1"/>
      <c r="O788" s="1"/>
      <c r="P788" s="1"/>
      <c r="Q788" s="1"/>
      <c r="R788" s="1"/>
      <c r="S788" s="1"/>
      <c r="T788" s="1"/>
      <c r="U788" s="1"/>
      <c r="V788" s="1"/>
    </row>
    <row r="789" spans="11:22">
      <c r="K789" s="1"/>
      <c r="L789" s="1"/>
      <c r="M789" s="1"/>
      <c r="N789" s="1"/>
      <c r="O789" s="1"/>
      <c r="P789" s="1"/>
      <c r="Q789" s="1"/>
      <c r="R789" s="1"/>
      <c r="S789" s="1"/>
      <c r="T789" s="1"/>
      <c r="U789" s="1"/>
      <c r="V789" s="1"/>
    </row>
    <row r="790" spans="11:22">
      <c r="K790" s="1"/>
      <c r="L790" s="1"/>
      <c r="M790" s="1"/>
      <c r="N790" s="1"/>
      <c r="O790" s="1"/>
      <c r="P790" s="1"/>
      <c r="Q790" s="1"/>
      <c r="R790" s="1"/>
      <c r="S790" s="1"/>
      <c r="T790" s="1"/>
      <c r="U790" s="1"/>
      <c r="V790" s="1"/>
    </row>
    <row r="791" spans="11:22">
      <c r="K791" s="1"/>
      <c r="L791" s="1"/>
      <c r="M791" s="1"/>
      <c r="N791" s="1"/>
      <c r="O791" s="1"/>
      <c r="P791" s="1"/>
      <c r="Q791" s="1"/>
      <c r="R791" s="1"/>
      <c r="S791" s="1"/>
      <c r="T791" s="1"/>
      <c r="U791" s="1"/>
      <c r="V791" s="1"/>
    </row>
    <row r="792" spans="11:22">
      <c r="K792" s="1"/>
      <c r="L792" s="1"/>
      <c r="M792" s="1"/>
      <c r="N792" s="1"/>
      <c r="O792" s="1"/>
      <c r="P792" s="1"/>
      <c r="Q792" s="1"/>
      <c r="R792" s="1"/>
      <c r="S792" s="1"/>
      <c r="T792" s="1"/>
      <c r="U792" s="1"/>
      <c r="V792" s="1"/>
    </row>
    <row r="793" spans="11:22">
      <c r="K793" s="1"/>
      <c r="L793" s="1"/>
      <c r="M793" s="1"/>
      <c r="N793" s="1"/>
      <c r="O793" s="1"/>
      <c r="P793" s="1"/>
      <c r="Q793" s="1"/>
      <c r="R793" s="1"/>
      <c r="S793" s="1"/>
      <c r="T793" s="1"/>
      <c r="U793" s="1"/>
      <c r="V793" s="1"/>
    </row>
    <row r="794" spans="11:22">
      <c r="K794" s="1"/>
      <c r="L794" s="1"/>
      <c r="M794" s="1"/>
      <c r="N794" s="1"/>
      <c r="O794" s="1"/>
      <c r="P794" s="1"/>
      <c r="Q794" s="1"/>
      <c r="R794" s="1"/>
      <c r="S794" s="1"/>
      <c r="T794" s="1"/>
      <c r="U794" s="1"/>
      <c r="V794" s="1"/>
    </row>
    <row r="795" spans="11:22">
      <c r="K795" s="1"/>
      <c r="L795" s="1"/>
      <c r="M795" s="1"/>
      <c r="N795" s="1"/>
      <c r="O795" s="1"/>
      <c r="P795" s="1"/>
      <c r="Q795" s="1"/>
      <c r="R795" s="1"/>
      <c r="S795" s="1"/>
      <c r="T795" s="1"/>
      <c r="U795" s="1"/>
      <c r="V795" s="1"/>
    </row>
    <row r="796" spans="11:22">
      <c r="K796" s="1"/>
      <c r="L796" s="1"/>
      <c r="M796" s="1"/>
      <c r="N796" s="1"/>
      <c r="O796" s="1"/>
      <c r="P796" s="1"/>
      <c r="Q796" s="1"/>
      <c r="R796" s="1"/>
      <c r="S796" s="1"/>
      <c r="T796" s="1"/>
      <c r="U796" s="1"/>
      <c r="V796" s="1"/>
    </row>
    <row r="797" spans="11:22">
      <c r="K797" s="1"/>
      <c r="L797" s="1"/>
      <c r="M797" s="1"/>
      <c r="N797" s="1"/>
      <c r="O797" s="1"/>
      <c r="P797" s="1"/>
      <c r="Q797" s="1"/>
      <c r="R797" s="1"/>
      <c r="S797" s="1"/>
      <c r="T797" s="1"/>
      <c r="U797" s="1"/>
      <c r="V797" s="1"/>
    </row>
    <row r="798" spans="11:22">
      <c r="K798" s="1"/>
      <c r="L798" s="1"/>
      <c r="M798" s="1"/>
      <c r="N798" s="1"/>
      <c r="O798" s="1"/>
      <c r="P798" s="1"/>
      <c r="Q798" s="1"/>
      <c r="R798" s="1"/>
      <c r="S798" s="1"/>
      <c r="T798" s="1"/>
      <c r="U798" s="1"/>
      <c r="V798" s="1"/>
    </row>
    <row r="799" spans="11:22">
      <c r="K799" s="1"/>
      <c r="L799" s="1"/>
      <c r="M799" s="1"/>
      <c r="N799" s="1"/>
      <c r="O799" s="1"/>
      <c r="P799" s="1"/>
      <c r="Q799" s="1"/>
      <c r="R799" s="1"/>
      <c r="S799" s="1"/>
      <c r="T799" s="1"/>
      <c r="U799" s="1"/>
      <c r="V799" s="1"/>
    </row>
    <row r="800" spans="11:22">
      <c r="K800" s="1"/>
      <c r="L800" s="1"/>
      <c r="M800" s="1"/>
      <c r="N800" s="1"/>
      <c r="O800" s="1"/>
      <c r="P800" s="1"/>
      <c r="Q800" s="1"/>
      <c r="R800" s="1"/>
      <c r="S800" s="1"/>
      <c r="T800" s="1"/>
      <c r="U800" s="1"/>
      <c r="V800" s="1"/>
    </row>
    <row r="801" spans="11:22">
      <c r="K801" s="1"/>
      <c r="L801" s="1"/>
      <c r="M801" s="1"/>
      <c r="N801" s="1"/>
      <c r="O801" s="1"/>
      <c r="P801" s="1"/>
      <c r="Q801" s="1"/>
      <c r="R801" s="1"/>
      <c r="S801" s="1"/>
      <c r="T801" s="1"/>
      <c r="U801" s="1"/>
      <c r="V801" s="1"/>
    </row>
    <row r="802" spans="11:22">
      <c r="K802" s="1"/>
      <c r="L802" s="1"/>
      <c r="M802" s="1"/>
      <c r="N802" s="1"/>
      <c r="O802" s="1"/>
      <c r="P802" s="1"/>
      <c r="Q802" s="1"/>
      <c r="R802" s="1"/>
      <c r="S802" s="1"/>
      <c r="T802" s="1"/>
      <c r="U802" s="1"/>
      <c r="V802" s="1"/>
    </row>
    <row r="803" spans="11:22">
      <c r="K803" s="1"/>
      <c r="L803" s="1"/>
      <c r="M803" s="1"/>
      <c r="N803" s="1"/>
      <c r="O803" s="1"/>
      <c r="P803" s="1"/>
      <c r="Q803" s="1"/>
      <c r="R803" s="1"/>
      <c r="S803" s="1"/>
      <c r="T803" s="1"/>
      <c r="U803" s="1"/>
      <c r="V803" s="1"/>
    </row>
    <row r="804" spans="11:22">
      <c r="K804" s="1"/>
      <c r="L804" s="1"/>
      <c r="M804" s="1"/>
      <c r="N804" s="1"/>
      <c r="O804" s="1"/>
      <c r="P804" s="1"/>
      <c r="Q804" s="1"/>
      <c r="R804" s="1"/>
      <c r="S804" s="1"/>
      <c r="T804" s="1"/>
      <c r="U804" s="1"/>
      <c r="V804" s="1"/>
    </row>
    <row r="805" spans="11:22">
      <c r="K805" s="1"/>
      <c r="L805" s="1"/>
      <c r="M805" s="1"/>
      <c r="N805" s="1"/>
      <c r="O805" s="1"/>
      <c r="P805" s="1"/>
      <c r="Q805" s="1"/>
      <c r="R805" s="1"/>
      <c r="S805" s="1"/>
      <c r="T805" s="1"/>
      <c r="U805" s="1"/>
      <c r="V805" s="1"/>
    </row>
    <row r="806" spans="11:22">
      <c r="K806" s="1"/>
      <c r="L806" s="1"/>
      <c r="M806" s="1"/>
      <c r="N806" s="1"/>
      <c r="O806" s="1"/>
      <c r="P806" s="1"/>
      <c r="Q806" s="1"/>
      <c r="R806" s="1"/>
      <c r="S806" s="1"/>
      <c r="T806" s="1"/>
      <c r="U806" s="1"/>
      <c r="V806" s="1"/>
    </row>
    <row r="807" spans="11:22">
      <c r="K807" s="1"/>
      <c r="L807" s="1"/>
      <c r="M807" s="1"/>
      <c r="N807" s="1"/>
      <c r="O807" s="1"/>
      <c r="P807" s="1"/>
      <c r="Q807" s="1"/>
      <c r="R807" s="1"/>
      <c r="S807" s="1"/>
      <c r="T807" s="1"/>
      <c r="U807" s="1"/>
      <c r="V807" s="1"/>
    </row>
    <row r="808" spans="11:22">
      <c r="K808" s="1"/>
      <c r="L808" s="1"/>
      <c r="M808" s="1"/>
      <c r="N808" s="1"/>
      <c r="O808" s="1"/>
      <c r="P808" s="1"/>
      <c r="Q808" s="1"/>
      <c r="R808" s="1"/>
      <c r="S808" s="1"/>
      <c r="T808" s="1"/>
      <c r="U808" s="1"/>
      <c r="V808" s="1"/>
    </row>
    <row r="809" spans="11:22">
      <c r="K809" s="1"/>
      <c r="L809" s="1"/>
      <c r="M809" s="1"/>
      <c r="N809" s="1"/>
      <c r="O809" s="1"/>
      <c r="P809" s="1"/>
      <c r="Q809" s="1"/>
      <c r="R809" s="1"/>
      <c r="S809" s="1"/>
      <c r="T809" s="1"/>
      <c r="U809" s="1"/>
      <c r="V809" s="1"/>
    </row>
    <row r="810" spans="11:22">
      <c r="K810" s="1"/>
      <c r="L810" s="1"/>
      <c r="M810" s="1"/>
      <c r="N810" s="1"/>
      <c r="O810" s="1"/>
      <c r="P810" s="1"/>
      <c r="Q810" s="1"/>
      <c r="R810" s="1"/>
      <c r="S810" s="1"/>
      <c r="T810" s="1"/>
      <c r="U810" s="1"/>
      <c r="V810" s="1"/>
    </row>
    <row r="811" spans="11:22">
      <c r="K811" s="1"/>
      <c r="L811" s="1"/>
      <c r="M811" s="1"/>
      <c r="N811" s="1"/>
      <c r="O811" s="1"/>
      <c r="P811" s="1"/>
      <c r="Q811" s="1"/>
      <c r="R811" s="1"/>
      <c r="S811" s="1"/>
      <c r="T811" s="1"/>
      <c r="U811" s="1"/>
      <c r="V811" s="1"/>
    </row>
    <row r="812" spans="11:22">
      <c r="K812" s="1"/>
      <c r="L812" s="1"/>
      <c r="M812" s="1"/>
      <c r="N812" s="1"/>
      <c r="O812" s="1"/>
      <c r="P812" s="1"/>
      <c r="Q812" s="1"/>
      <c r="R812" s="1"/>
      <c r="S812" s="1"/>
      <c r="T812" s="1"/>
      <c r="U812" s="1"/>
      <c r="V812" s="1"/>
    </row>
    <row r="813" spans="11:22">
      <c r="K813" s="1"/>
      <c r="L813" s="1"/>
      <c r="M813" s="1"/>
      <c r="N813" s="1"/>
      <c r="O813" s="1"/>
      <c r="P813" s="1"/>
      <c r="Q813" s="1"/>
      <c r="R813" s="1"/>
      <c r="S813" s="1"/>
      <c r="T813" s="1"/>
      <c r="U813" s="1"/>
      <c r="V813" s="1"/>
    </row>
    <row r="814" spans="11:22">
      <c r="K814" s="1"/>
      <c r="L814" s="1"/>
      <c r="M814" s="1"/>
      <c r="N814" s="1"/>
      <c r="O814" s="1"/>
      <c r="P814" s="1"/>
      <c r="Q814" s="1"/>
      <c r="R814" s="1"/>
      <c r="S814" s="1"/>
      <c r="T814" s="1"/>
      <c r="U814" s="1"/>
      <c r="V814" s="1"/>
    </row>
    <row r="815" spans="11:22">
      <c r="K815" s="1"/>
      <c r="L815" s="1"/>
      <c r="M815" s="1"/>
      <c r="N815" s="1"/>
      <c r="O815" s="1"/>
      <c r="P815" s="1"/>
      <c r="Q815" s="1"/>
      <c r="R815" s="1"/>
      <c r="S815" s="1"/>
      <c r="T815" s="1"/>
      <c r="U815" s="1"/>
      <c r="V815" s="1"/>
    </row>
    <row r="816" spans="11:22">
      <c r="K816" s="1"/>
      <c r="L816" s="1"/>
      <c r="M816" s="1"/>
      <c r="N816" s="1"/>
      <c r="O816" s="1"/>
      <c r="P816" s="1"/>
      <c r="Q816" s="1"/>
      <c r="R816" s="1"/>
      <c r="S816" s="1"/>
      <c r="T816" s="1"/>
      <c r="U816" s="1"/>
      <c r="V816" s="1"/>
    </row>
    <row r="817" spans="11:22">
      <c r="K817" s="1"/>
      <c r="L817" s="1"/>
      <c r="M817" s="1"/>
      <c r="N817" s="1"/>
      <c r="O817" s="1"/>
      <c r="P817" s="1"/>
      <c r="Q817" s="1"/>
      <c r="R817" s="1"/>
      <c r="S817" s="1"/>
      <c r="T817" s="1"/>
      <c r="U817" s="1"/>
      <c r="V817" s="1"/>
    </row>
    <row r="818" spans="11:22">
      <c r="K818" s="1"/>
      <c r="L818" s="1"/>
      <c r="M818" s="1"/>
      <c r="N818" s="1"/>
      <c r="O818" s="1"/>
      <c r="P818" s="1"/>
      <c r="Q818" s="1"/>
      <c r="R818" s="1"/>
      <c r="S818" s="1"/>
      <c r="T818" s="1"/>
      <c r="U818" s="1"/>
      <c r="V818" s="1"/>
    </row>
    <row r="819" spans="11:22">
      <c r="K819" s="1"/>
      <c r="L819" s="1"/>
      <c r="M819" s="1"/>
      <c r="N819" s="1"/>
      <c r="O819" s="1"/>
      <c r="P819" s="1"/>
      <c r="Q819" s="1"/>
      <c r="R819" s="1"/>
      <c r="S819" s="1"/>
      <c r="T819" s="1"/>
      <c r="U819" s="1"/>
      <c r="V819" s="1"/>
    </row>
    <row r="820" spans="11:22">
      <c r="K820" s="1"/>
      <c r="L820" s="1"/>
      <c r="M820" s="1"/>
      <c r="N820" s="1"/>
      <c r="O820" s="1"/>
      <c r="P820" s="1"/>
      <c r="Q820" s="1"/>
      <c r="R820" s="1"/>
      <c r="S820" s="1"/>
      <c r="T820" s="1"/>
      <c r="U820" s="1"/>
      <c r="V820" s="1"/>
    </row>
    <row r="821" spans="11:22">
      <c r="K821" s="1"/>
      <c r="L821" s="1"/>
      <c r="M821" s="1"/>
      <c r="N821" s="1"/>
      <c r="O821" s="1"/>
      <c r="P821" s="1"/>
      <c r="Q821" s="1"/>
      <c r="R821" s="1"/>
      <c r="S821" s="1"/>
      <c r="T821" s="1"/>
      <c r="U821" s="1"/>
      <c r="V821" s="1"/>
    </row>
    <row r="822" spans="11:22">
      <c r="K822" s="1"/>
      <c r="L822" s="1"/>
      <c r="M822" s="1"/>
      <c r="N822" s="1"/>
      <c r="O822" s="1"/>
      <c r="P822" s="1"/>
      <c r="Q822" s="1"/>
      <c r="R822" s="1"/>
      <c r="S822" s="1"/>
      <c r="T822" s="1"/>
      <c r="U822" s="1"/>
      <c r="V822" s="1"/>
    </row>
    <row r="823" spans="11:22">
      <c r="K823" s="1"/>
      <c r="L823" s="1"/>
      <c r="M823" s="1"/>
      <c r="N823" s="1"/>
      <c r="O823" s="1"/>
      <c r="P823" s="1"/>
      <c r="Q823" s="1"/>
      <c r="R823" s="1"/>
      <c r="S823" s="1"/>
      <c r="T823" s="1"/>
      <c r="U823" s="1"/>
      <c r="V823" s="1"/>
    </row>
    <row r="824" spans="11:22">
      <c r="K824" s="1"/>
      <c r="L824" s="1"/>
      <c r="M824" s="1"/>
      <c r="N824" s="1"/>
      <c r="O824" s="1"/>
      <c r="P824" s="1"/>
      <c r="Q824" s="1"/>
      <c r="R824" s="1"/>
      <c r="S824" s="1"/>
      <c r="T824" s="1"/>
      <c r="U824" s="1"/>
      <c r="V824" s="1"/>
    </row>
    <row r="825" spans="11:22">
      <c r="K825" s="1"/>
      <c r="L825" s="1"/>
      <c r="M825" s="1"/>
      <c r="N825" s="1"/>
      <c r="O825" s="1"/>
      <c r="P825" s="1"/>
      <c r="Q825" s="1"/>
      <c r="R825" s="1"/>
      <c r="S825" s="1"/>
      <c r="T825" s="1"/>
      <c r="U825" s="1"/>
      <c r="V825" s="1"/>
    </row>
    <row r="826" spans="11:22">
      <c r="K826" s="1"/>
      <c r="L826" s="1"/>
      <c r="M826" s="1"/>
      <c r="N826" s="1"/>
      <c r="O826" s="1"/>
      <c r="P826" s="1"/>
      <c r="Q826" s="1"/>
      <c r="R826" s="1"/>
      <c r="S826" s="1"/>
      <c r="T826" s="1"/>
      <c r="U826" s="1"/>
      <c r="V826" s="1"/>
    </row>
    <row r="827" spans="11:22">
      <c r="K827" s="1"/>
      <c r="L827" s="1"/>
      <c r="M827" s="1"/>
      <c r="N827" s="1"/>
      <c r="O827" s="1"/>
      <c r="P827" s="1"/>
      <c r="Q827" s="1"/>
      <c r="R827" s="1"/>
      <c r="S827" s="1"/>
      <c r="T827" s="1"/>
      <c r="U827" s="1"/>
      <c r="V827" s="1"/>
    </row>
    <row r="828" spans="11:22">
      <c r="K828" s="1"/>
      <c r="L828" s="1"/>
      <c r="M828" s="1"/>
      <c r="N828" s="1"/>
      <c r="O828" s="1"/>
      <c r="P828" s="1"/>
      <c r="Q828" s="1"/>
      <c r="R828" s="1"/>
      <c r="S828" s="1"/>
      <c r="T828" s="1"/>
      <c r="U828" s="1"/>
      <c r="V828" s="1"/>
    </row>
    <row r="829" spans="11:22">
      <c r="K829" s="1"/>
      <c r="L829" s="1"/>
      <c r="M829" s="1"/>
      <c r="N829" s="1"/>
      <c r="O829" s="1"/>
      <c r="P829" s="1"/>
      <c r="Q829" s="1"/>
      <c r="R829" s="1"/>
      <c r="S829" s="1"/>
      <c r="T829" s="1"/>
      <c r="U829" s="1"/>
      <c r="V829" s="1"/>
    </row>
    <row r="830" spans="11:22">
      <c r="K830" s="1"/>
      <c r="L830" s="1"/>
      <c r="M830" s="1"/>
      <c r="N830" s="1"/>
      <c r="O830" s="1"/>
      <c r="P830" s="1"/>
      <c r="Q830" s="1"/>
      <c r="R830" s="1"/>
      <c r="S830" s="1"/>
      <c r="T830" s="1"/>
      <c r="U830" s="1"/>
      <c r="V830" s="1"/>
    </row>
    <row r="831" spans="11:22">
      <c r="K831" s="1"/>
      <c r="L831" s="1"/>
      <c r="M831" s="1"/>
      <c r="N831" s="1"/>
      <c r="O831" s="1"/>
      <c r="P831" s="1"/>
      <c r="Q831" s="1"/>
      <c r="R831" s="1"/>
      <c r="S831" s="1"/>
      <c r="T831" s="1"/>
      <c r="U831" s="1"/>
      <c r="V831" s="1"/>
    </row>
    <row r="832" spans="11:22">
      <c r="K832" s="1"/>
      <c r="L832" s="1"/>
      <c r="M832" s="1"/>
      <c r="N832" s="1"/>
      <c r="O832" s="1"/>
      <c r="P832" s="1"/>
      <c r="Q832" s="1"/>
      <c r="R832" s="1"/>
      <c r="S832" s="1"/>
      <c r="T832" s="1"/>
      <c r="U832" s="1"/>
      <c r="V832" s="1"/>
    </row>
    <row r="833" spans="11:22">
      <c r="K833" s="1"/>
      <c r="L833" s="1"/>
      <c r="M833" s="1"/>
      <c r="N833" s="1"/>
      <c r="O833" s="1"/>
      <c r="P833" s="1"/>
      <c r="Q833" s="1"/>
      <c r="R833" s="1"/>
      <c r="S833" s="1"/>
      <c r="T833" s="1"/>
      <c r="U833" s="1"/>
      <c r="V833" s="1"/>
    </row>
    <row r="834" spans="11:22">
      <c r="K834" s="1"/>
      <c r="L834" s="1"/>
      <c r="M834" s="1"/>
      <c r="N834" s="1"/>
      <c r="O834" s="1"/>
      <c r="P834" s="1"/>
      <c r="Q834" s="1"/>
      <c r="R834" s="1"/>
      <c r="S834" s="1"/>
      <c r="T834" s="1"/>
      <c r="U834" s="1"/>
      <c r="V834" s="1"/>
    </row>
    <row r="835" spans="11:22">
      <c r="K835" s="1"/>
      <c r="L835" s="1"/>
      <c r="M835" s="1"/>
      <c r="N835" s="1"/>
      <c r="O835" s="1"/>
      <c r="P835" s="1"/>
      <c r="Q835" s="1"/>
      <c r="R835" s="1"/>
      <c r="S835" s="1"/>
      <c r="T835" s="1"/>
      <c r="U835" s="1"/>
      <c r="V835" s="1"/>
    </row>
    <row r="836" spans="11:22">
      <c r="K836" s="1"/>
      <c r="L836" s="1"/>
      <c r="M836" s="1"/>
      <c r="N836" s="1"/>
      <c r="O836" s="1"/>
      <c r="P836" s="1"/>
      <c r="Q836" s="1"/>
      <c r="R836" s="1"/>
      <c r="S836" s="1"/>
      <c r="T836" s="1"/>
      <c r="U836" s="1"/>
      <c r="V836" s="1"/>
    </row>
    <row r="837" spans="11:22">
      <c r="K837" s="1"/>
      <c r="L837" s="1"/>
      <c r="M837" s="1"/>
      <c r="N837" s="1"/>
      <c r="O837" s="1"/>
      <c r="P837" s="1"/>
      <c r="Q837" s="1"/>
      <c r="R837" s="1"/>
      <c r="S837" s="1"/>
      <c r="T837" s="1"/>
      <c r="U837" s="1"/>
      <c r="V837" s="1"/>
    </row>
    <row r="838" spans="11:22">
      <c r="K838" s="1"/>
      <c r="L838" s="1"/>
      <c r="M838" s="1"/>
      <c r="N838" s="1"/>
      <c r="O838" s="1"/>
      <c r="P838" s="1"/>
      <c r="Q838" s="1"/>
      <c r="R838" s="1"/>
      <c r="S838" s="1"/>
      <c r="T838" s="1"/>
      <c r="U838" s="1"/>
      <c r="V838" s="1"/>
    </row>
    <row r="839" spans="11:22">
      <c r="K839" s="1"/>
      <c r="L839" s="1"/>
      <c r="M839" s="1"/>
      <c r="N839" s="1"/>
      <c r="O839" s="1"/>
      <c r="P839" s="1"/>
      <c r="Q839" s="1"/>
      <c r="R839" s="1"/>
      <c r="S839" s="1"/>
      <c r="T839" s="1"/>
      <c r="U839" s="1"/>
      <c r="V839" s="1"/>
    </row>
    <row r="840" spans="11:22">
      <c r="K840" s="1"/>
      <c r="L840" s="1"/>
      <c r="M840" s="1"/>
      <c r="N840" s="1"/>
      <c r="O840" s="1"/>
      <c r="P840" s="1"/>
      <c r="Q840" s="1"/>
      <c r="R840" s="1"/>
      <c r="S840" s="1"/>
      <c r="T840" s="1"/>
      <c r="U840" s="1"/>
      <c r="V840" s="1"/>
    </row>
    <row r="841" spans="11:22">
      <c r="K841" s="1"/>
      <c r="L841" s="1"/>
      <c r="M841" s="1"/>
      <c r="N841" s="1"/>
      <c r="O841" s="1"/>
      <c r="P841" s="1"/>
      <c r="Q841" s="1"/>
      <c r="R841" s="1"/>
      <c r="S841" s="1"/>
      <c r="T841" s="1"/>
      <c r="U841" s="1"/>
      <c r="V841" s="1"/>
    </row>
    <row r="842" spans="11:22">
      <c r="K842" s="1"/>
      <c r="L842" s="1"/>
      <c r="M842" s="1"/>
      <c r="N842" s="1"/>
      <c r="O842" s="1"/>
      <c r="P842" s="1"/>
      <c r="Q842" s="1"/>
      <c r="R842" s="1"/>
      <c r="S842" s="1"/>
      <c r="T842" s="1"/>
      <c r="U842" s="1"/>
      <c r="V842" s="1"/>
    </row>
    <row r="843" spans="11:22">
      <c r="K843" s="1"/>
      <c r="L843" s="1"/>
      <c r="M843" s="1"/>
      <c r="N843" s="1"/>
      <c r="O843" s="1"/>
      <c r="P843" s="1"/>
      <c r="Q843" s="1"/>
      <c r="R843" s="1"/>
      <c r="S843" s="1"/>
      <c r="T843" s="1"/>
      <c r="U843" s="1"/>
      <c r="V843" s="1"/>
    </row>
    <row r="844" spans="11:22">
      <c r="K844" s="1"/>
      <c r="L844" s="1"/>
      <c r="M844" s="1"/>
      <c r="N844" s="1"/>
      <c r="O844" s="1"/>
      <c r="P844" s="1"/>
      <c r="Q844" s="1"/>
      <c r="R844" s="1"/>
      <c r="S844" s="1"/>
      <c r="T844" s="1"/>
      <c r="U844" s="1"/>
      <c r="V844" s="1"/>
    </row>
    <row r="845" spans="11:22">
      <c r="K845" s="1"/>
      <c r="L845" s="1"/>
      <c r="M845" s="1"/>
      <c r="N845" s="1"/>
      <c r="O845" s="1"/>
      <c r="P845" s="1"/>
      <c r="Q845" s="1"/>
      <c r="R845" s="1"/>
      <c r="S845" s="1"/>
      <c r="T845" s="1"/>
      <c r="U845" s="1"/>
      <c r="V845" s="1"/>
    </row>
    <row r="846" spans="11:22">
      <c r="K846" s="1"/>
      <c r="L846" s="1"/>
      <c r="M846" s="1"/>
      <c r="N846" s="1"/>
      <c r="O846" s="1"/>
      <c r="P846" s="1"/>
      <c r="Q846" s="1"/>
      <c r="R846" s="1"/>
      <c r="S846" s="1"/>
      <c r="T846" s="1"/>
      <c r="U846" s="1"/>
      <c r="V846" s="1"/>
    </row>
    <row r="847" spans="11:22">
      <c r="K847" s="1"/>
      <c r="L847" s="1"/>
      <c r="M847" s="1"/>
      <c r="N847" s="1"/>
      <c r="O847" s="1"/>
      <c r="P847" s="1"/>
      <c r="Q847" s="1"/>
      <c r="R847" s="1"/>
      <c r="S847" s="1"/>
      <c r="T847" s="1"/>
      <c r="U847" s="1"/>
      <c r="V847" s="1"/>
    </row>
    <row r="848" spans="11:22">
      <c r="K848" s="1"/>
      <c r="L848" s="1"/>
      <c r="M848" s="1"/>
      <c r="N848" s="1"/>
      <c r="O848" s="1"/>
      <c r="P848" s="1"/>
      <c r="Q848" s="1"/>
      <c r="R848" s="1"/>
      <c r="S848" s="1"/>
      <c r="T848" s="1"/>
      <c r="U848" s="1"/>
      <c r="V848" s="1"/>
    </row>
    <row r="849" spans="11:22">
      <c r="K849" s="1"/>
      <c r="L849" s="1"/>
      <c r="M849" s="1"/>
      <c r="N849" s="1"/>
      <c r="O849" s="1"/>
      <c r="P849" s="1"/>
      <c r="Q849" s="1"/>
      <c r="R849" s="1"/>
      <c r="S849" s="1"/>
      <c r="T849" s="1"/>
      <c r="U849" s="1"/>
      <c r="V849" s="1"/>
    </row>
    <row r="850" spans="11:22">
      <c r="K850" s="1"/>
      <c r="L850" s="1"/>
      <c r="M850" s="1"/>
      <c r="N850" s="1"/>
      <c r="O850" s="1"/>
      <c r="P850" s="1"/>
      <c r="Q850" s="1"/>
      <c r="R850" s="1"/>
      <c r="S850" s="1"/>
      <c r="T850" s="1"/>
      <c r="U850" s="1"/>
      <c r="V850" s="1"/>
    </row>
    <row r="851" spans="11:22">
      <c r="K851" s="1"/>
      <c r="L851" s="1"/>
      <c r="M851" s="1"/>
      <c r="N851" s="1"/>
      <c r="O851" s="1"/>
      <c r="P851" s="1"/>
      <c r="Q851" s="1"/>
      <c r="R851" s="1"/>
      <c r="S851" s="1"/>
      <c r="T851" s="1"/>
      <c r="U851" s="1"/>
      <c r="V851" s="1"/>
    </row>
    <row r="852" spans="11:22">
      <c r="K852" s="1"/>
      <c r="L852" s="1"/>
      <c r="M852" s="1"/>
      <c r="N852" s="1"/>
      <c r="O852" s="1"/>
      <c r="P852" s="1"/>
      <c r="Q852" s="1"/>
      <c r="R852" s="1"/>
      <c r="S852" s="1"/>
      <c r="T852" s="1"/>
      <c r="U852" s="1"/>
      <c r="V852" s="1"/>
    </row>
    <row r="853" spans="11:22">
      <c r="K853" s="1"/>
      <c r="L853" s="1"/>
      <c r="M853" s="1"/>
      <c r="N853" s="1"/>
      <c r="O853" s="1"/>
      <c r="P853" s="1"/>
      <c r="Q853" s="1"/>
      <c r="R853" s="1"/>
      <c r="S853" s="1"/>
      <c r="T853" s="1"/>
      <c r="U853" s="1"/>
      <c r="V853" s="1"/>
    </row>
    <row r="854" spans="11:22">
      <c r="K854" s="1"/>
      <c r="L854" s="1"/>
      <c r="M854" s="1"/>
      <c r="N854" s="1"/>
      <c r="O854" s="1"/>
      <c r="P854" s="1"/>
      <c r="Q854" s="1"/>
      <c r="R854" s="1"/>
      <c r="S854" s="1"/>
      <c r="T854" s="1"/>
      <c r="U854" s="1"/>
      <c r="V854" s="1"/>
    </row>
    <row r="855" spans="11:22">
      <c r="K855" s="1"/>
      <c r="L855" s="1"/>
      <c r="M855" s="1"/>
      <c r="N855" s="1"/>
      <c r="O855" s="1"/>
      <c r="P855" s="1"/>
      <c r="Q855" s="1"/>
      <c r="R855" s="1"/>
      <c r="S855" s="1"/>
      <c r="T855" s="1"/>
      <c r="U855" s="1"/>
      <c r="V855" s="1"/>
    </row>
    <row r="856" spans="11:22">
      <c r="K856" s="1"/>
      <c r="L856" s="1"/>
      <c r="M856" s="1"/>
      <c r="N856" s="1"/>
      <c r="O856" s="1"/>
      <c r="P856" s="1"/>
      <c r="Q856" s="1"/>
      <c r="R856" s="1"/>
      <c r="S856" s="1"/>
      <c r="T856" s="1"/>
      <c r="U856" s="1"/>
      <c r="V856" s="1"/>
    </row>
    <row r="857" spans="11:22">
      <c r="K857" s="1"/>
      <c r="L857" s="1"/>
      <c r="M857" s="1"/>
      <c r="N857" s="1"/>
      <c r="O857" s="1"/>
      <c r="P857" s="1"/>
      <c r="Q857" s="1"/>
      <c r="R857" s="1"/>
      <c r="S857" s="1"/>
      <c r="T857" s="1"/>
      <c r="U857" s="1"/>
      <c r="V857" s="1"/>
    </row>
    <row r="858" spans="11:22">
      <c r="K858" s="1"/>
      <c r="L858" s="1"/>
      <c r="M858" s="1"/>
      <c r="N858" s="1"/>
      <c r="O858" s="1"/>
      <c r="P858" s="1"/>
      <c r="Q858" s="1"/>
      <c r="R858" s="1"/>
      <c r="S858" s="1"/>
      <c r="T858" s="1"/>
      <c r="U858" s="1"/>
      <c r="V858" s="1"/>
    </row>
    <row r="859" spans="11:22">
      <c r="K859" s="1"/>
      <c r="L859" s="1"/>
      <c r="M859" s="1"/>
      <c r="N859" s="1"/>
      <c r="O859" s="1"/>
      <c r="P859" s="1"/>
      <c r="Q859" s="1"/>
      <c r="R859" s="1"/>
      <c r="S859" s="1"/>
      <c r="T859" s="1"/>
      <c r="U859" s="1"/>
      <c r="V859" s="1"/>
    </row>
    <row r="860" spans="11:22">
      <c r="K860" s="1"/>
      <c r="L860" s="1"/>
      <c r="M860" s="1"/>
      <c r="N860" s="1"/>
      <c r="O860" s="1"/>
      <c r="P860" s="1"/>
      <c r="Q860" s="1"/>
      <c r="R860" s="1"/>
      <c r="S860" s="1"/>
      <c r="T860" s="1"/>
      <c r="U860" s="1"/>
      <c r="V860" s="1"/>
    </row>
    <row r="861" spans="11:22">
      <c r="K861" s="1"/>
      <c r="L861" s="1"/>
      <c r="M861" s="1"/>
      <c r="N861" s="1"/>
      <c r="O861" s="1"/>
      <c r="P861" s="1"/>
      <c r="Q861" s="1"/>
      <c r="R861" s="1"/>
      <c r="S861" s="1"/>
      <c r="T861" s="1"/>
      <c r="U861" s="1"/>
      <c r="V861" s="1"/>
    </row>
    <row r="862" spans="11:22">
      <c r="K862" s="1"/>
      <c r="L862" s="1"/>
      <c r="M862" s="1"/>
      <c r="N862" s="1"/>
      <c r="O862" s="1"/>
      <c r="P862" s="1"/>
      <c r="Q862" s="1"/>
      <c r="R862" s="1"/>
      <c r="S862" s="1"/>
      <c r="T862" s="1"/>
      <c r="U862" s="1"/>
      <c r="V862" s="1"/>
    </row>
    <row r="863" spans="11:22">
      <c r="K863" s="1"/>
      <c r="L863" s="1"/>
      <c r="M863" s="1"/>
      <c r="N863" s="1"/>
      <c r="O863" s="1"/>
      <c r="P863" s="1"/>
      <c r="Q863" s="1"/>
      <c r="R863" s="1"/>
      <c r="S863" s="1"/>
      <c r="T863" s="1"/>
      <c r="U863" s="1"/>
      <c r="V863" s="1"/>
    </row>
    <row r="864" spans="11:22">
      <c r="K864" s="1"/>
      <c r="L864" s="1"/>
      <c r="M864" s="1"/>
      <c r="N864" s="1"/>
      <c r="O864" s="1"/>
      <c r="P864" s="1"/>
      <c r="Q864" s="1"/>
      <c r="R864" s="1"/>
      <c r="S864" s="1"/>
      <c r="T864" s="1"/>
      <c r="U864" s="1"/>
      <c r="V864" s="1"/>
    </row>
    <row r="865" spans="11:22">
      <c r="K865" s="1"/>
      <c r="L865" s="1"/>
      <c r="M865" s="1"/>
      <c r="N865" s="1"/>
      <c r="O865" s="1"/>
      <c r="P865" s="1"/>
      <c r="Q865" s="1"/>
      <c r="R865" s="1"/>
      <c r="S865" s="1"/>
      <c r="T865" s="1"/>
      <c r="U865" s="1"/>
      <c r="V865" s="1"/>
    </row>
    <row r="866" spans="11:22">
      <c r="K866" s="1"/>
      <c r="L866" s="1"/>
      <c r="M866" s="1"/>
      <c r="N866" s="1"/>
      <c r="O866" s="1"/>
      <c r="P866" s="1"/>
      <c r="Q866" s="1"/>
      <c r="R866" s="1"/>
      <c r="S866" s="1"/>
      <c r="T866" s="1"/>
      <c r="U866" s="1"/>
      <c r="V866" s="1"/>
    </row>
    <row r="867" spans="11:22">
      <c r="K867" s="1"/>
      <c r="L867" s="1"/>
      <c r="M867" s="1"/>
      <c r="N867" s="1"/>
      <c r="O867" s="1"/>
      <c r="P867" s="1"/>
      <c r="Q867" s="1"/>
      <c r="R867" s="1"/>
      <c r="S867" s="1"/>
      <c r="T867" s="1"/>
      <c r="U867" s="1"/>
      <c r="V867" s="1"/>
    </row>
    <row r="868" spans="11:22">
      <c r="K868" s="1"/>
      <c r="L868" s="1"/>
      <c r="M868" s="1"/>
      <c r="N868" s="1"/>
      <c r="O868" s="1"/>
      <c r="P868" s="1"/>
      <c r="Q868" s="1"/>
      <c r="R868" s="1"/>
      <c r="S868" s="1"/>
      <c r="T868" s="1"/>
      <c r="U868" s="1"/>
      <c r="V868" s="1"/>
    </row>
    <row r="869" spans="11:22">
      <c r="K869" s="1"/>
      <c r="L869" s="1"/>
      <c r="M869" s="1"/>
      <c r="N869" s="1"/>
      <c r="O869" s="1"/>
      <c r="P869" s="1"/>
      <c r="Q869" s="1"/>
      <c r="R869" s="1"/>
      <c r="S869" s="1"/>
      <c r="T869" s="1"/>
      <c r="U869" s="1"/>
      <c r="V869" s="1"/>
    </row>
    <row r="870" spans="11:22">
      <c r="K870" s="1"/>
      <c r="L870" s="1"/>
      <c r="M870" s="1"/>
      <c r="N870" s="1"/>
      <c r="O870" s="1"/>
      <c r="P870" s="1"/>
      <c r="Q870" s="1"/>
      <c r="R870" s="1"/>
      <c r="S870" s="1"/>
      <c r="T870" s="1"/>
      <c r="U870" s="1"/>
      <c r="V870" s="1"/>
    </row>
    <row r="871" spans="11:22">
      <c r="K871" s="1"/>
      <c r="L871" s="1"/>
      <c r="M871" s="1"/>
      <c r="N871" s="1"/>
      <c r="O871" s="1"/>
      <c r="P871" s="1"/>
      <c r="Q871" s="1"/>
      <c r="R871" s="1"/>
      <c r="S871" s="1"/>
      <c r="T871" s="1"/>
      <c r="U871" s="1"/>
      <c r="V871" s="1"/>
    </row>
    <row r="872" spans="11:22">
      <c r="K872" s="1"/>
      <c r="L872" s="1"/>
      <c r="M872" s="1"/>
      <c r="N872" s="1"/>
      <c r="O872" s="1"/>
      <c r="P872" s="1"/>
      <c r="Q872" s="1"/>
      <c r="R872" s="1"/>
      <c r="S872" s="1"/>
      <c r="T872" s="1"/>
      <c r="U872" s="1"/>
      <c r="V872" s="1"/>
    </row>
    <row r="873" spans="11:22">
      <c r="K873" s="1"/>
      <c r="L873" s="1"/>
      <c r="M873" s="1"/>
      <c r="N873" s="1"/>
      <c r="O873" s="1"/>
      <c r="P873" s="1"/>
      <c r="Q873" s="1"/>
      <c r="R873" s="1"/>
      <c r="S873" s="1"/>
      <c r="T873" s="1"/>
      <c r="U873" s="1"/>
      <c r="V873" s="1"/>
    </row>
    <row r="874" spans="11:22">
      <c r="K874" s="1"/>
      <c r="L874" s="1"/>
      <c r="M874" s="1"/>
      <c r="N874" s="1"/>
      <c r="O874" s="1"/>
      <c r="P874" s="1"/>
      <c r="Q874" s="1"/>
      <c r="R874" s="1"/>
      <c r="S874" s="1"/>
      <c r="T874" s="1"/>
      <c r="U874" s="1"/>
      <c r="V874" s="1"/>
    </row>
    <row r="875" spans="11:22">
      <c r="K875" s="1"/>
      <c r="L875" s="1"/>
      <c r="M875" s="1"/>
      <c r="N875" s="1"/>
      <c r="O875" s="1"/>
      <c r="P875" s="1"/>
      <c r="Q875" s="1"/>
      <c r="R875" s="1"/>
      <c r="S875" s="1"/>
      <c r="T875" s="1"/>
      <c r="U875" s="1"/>
      <c r="V875" s="1"/>
    </row>
    <row r="876" spans="11:22">
      <c r="K876" s="1"/>
      <c r="L876" s="1"/>
      <c r="M876" s="1"/>
      <c r="N876" s="1"/>
      <c r="O876" s="1"/>
      <c r="P876" s="1"/>
      <c r="Q876" s="1"/>
      <c r="R876" s="1"/>
      <c r="S876" s="1"/>
      <c r="T876" s="1"/>
      <c r="U876" s="1"/>
      <c r="V876" s="1"/>
    </row>
    <row r="877" spans="11:22">
      <c r="K877" s="1"/>
      <c r="L877" s="1"/>
      <c r="M877" s="1"/>
      <c r="N877" s="1"/>
      <c r="O877" s="1"/>
      <c r="P877" s="1"/>
      <c r="Q877" s="1"/>
      <c r="R877" s="1"/>
      <c r="S877" s="1"/>
      <c r="T877" s="1"/>
      <c r="U877" s="1"/>
      <c r="V877" s="1"/>
    </row>
    <row r="878" spans="11:22">
      <c r="K878" s="1"/>
      <c r="L878" s="1"/>
      <c r="M878" s="1"/>
      <c r="N878" s="1"/>
      <c r="O878" s="1"/>
      <c r="P878" s="1"/>
      <c r="Q878" s="1"/>
      <c r="R878" s="1"/>
      <c r="S878" s="1"/>
      <c r="T878" s="1"/>
      <c r="U878" s="1"/>
      <c r="V878" s="1"/>
    </row>
  </sheetData>
  <mergeCells count="11">
    <mergeCell ref="B39:W39"/>
    <mergeCell ref="B22:W22"/>
    <mergeCell ref="B1:W1"/>
    <mergeCell ref="B2:W2"/>
    <mergeCell ref="B3:W3"/>
    <mergeCell ref="S5:W5"/>
    <mergeCell ref="B21:W21"/>
    <mergeCell ref="C5:F5"/>
    <mergeCell ref="G5:J5"/>
    <mergeCell ref="K5:N5"/>
    <mergeCell ref="O5:R5"/>
  </mergeCells>
  <printOptions horizontalCentered="1"/>
  <pageMargins left="0.59055118110236227" right="0.59055118110236227" top="1.299212598425197" bottom="0.78740157480314965" header="0.51181102362204722" footer="0.59055118110236227"/>
  <pageSetup paperSize="126" scale="54" firstPageNumber="0" orientation="portrait" r:id="rId1"/>
  <headerFooter alignWithMargins="0">
    <oddFooter>&amp;C&amp;10&amp;A</oddFooter>
  </headerFooter>
  <colBreaks count="2" manualBreakCount="2">
    <brk id="24" max="1048575" man="1"/>
    <brk id="33" max="39" man="1"/>
  </colBreaks>
  <ignoredErrors>
    <ignoredError sqref="C19:E19 O19:Q19 K19:M19 G19:I19 S19:U19 F19 V19 J19 N19 R19" formulaRange="1"/>
    <ignoredError sqref="AD1" formula="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X34"/>
  <sheetViews>
    <sheetView topLeftCell="A7" zoomScale="90" zoomScaleNormal="90" workbookViewId="0">
      <selection activeCell="Q27" sqref="Q27"/>
    </sheetView>
  </sheetViews>
  <sheetFormatPr baseColWidth="10" defaultColWidth="10.9140625" defaultRowHeight="11.8"/>
  <cols>
    <col min="1" max="1" width="1.6640625" style="1" customWidth="1"/>
    <col min="2" max="2" width="6.1640625" style="1" customWidth="1"/>
    <col min="3" max="3" width="6.4140625" style="1" customWidth="1"/>
    <col min="4" max="4" width="10.83203125" style="1" customWidth="1"/>
    <col min="5" max="5" width="8.6640625" style="1" bestFit="1" customWidth="1"/>
    <col min="6" max="6" width="9.4140625" style="1" bestFit="1" customWidth="1"/>
    <col min="7" max="7" width="8.6640625" style="1" bestFit="1" customWidth="1"/>
    <col min="8" max="8" width="8.25" style="1" customWidth="1"/>
    <col min="9" max="9" width="6.4140625" style="1" customWidth="1"/>
    <col min="10" max="10" width="1.9140625" style="1" customWidth="1"/>
    <col min="11" max="11" width="2.9140625" style="1" customWidth="1"/>
    <col min="12" max="12" width="5.08203125" style="1" bestFit="1" customWidth="1"/>
    <col min="13" max="13" width="7.1640625" style="1" customWidth="1"/>
    <col min="14" max="14" width="6.6640625" style="1" customWidth="1"/>
    <col min="15" max="16" width="3.4140625" style="1" customWidth="1"/>
    <col min="17" max="17" width="7.9140625" style="1" customWidth="1"/>
    <col min="18" max="18" width="2" style="1" customWidth="1"/>
    <col min="19" max="24" width="3" style="2" customWidth="1"/>
    <col min="25" max="16384" width="10.9140625" style="1"/>
  </cols>
  <sheetData>
    <row r="1" spans="2:17" s="22" customFormat="1" ht="12.8" customHeight="1">
      <c r="B1" s="898" t="s">
        <v>209</v>
      </c>
      <c r="C1" s="898"/>
      <c r="D1" s="898"/>
      <c r="E1" s="898"/>
      <c r="F1" s="898"/>
      <c r="G1" s="898"/>
      <c r="H1" s="898"/>
      <c r="I1" s="898"/>
    </row>
    <row r="2" spans="2:17" s="22" customFormat="1" ht="6.05" customHeight="1"/>
    <row r="3" spans="2:17" s="22" customFormat="1" ht="13.1">
      <c r="B3" s="791" t="s">
        <v>636</v>
      </c>
      <c r="C3" s="791"/>
      <c r="D3" s="791"/>
      <c r="E3" s="791"/>
      <c r="F3" s="791"/>
      <c r="G3" s="791"/>
      <c r="H3" s="791"/>
      <c r="I3" s="791"/>
    </row>
    <row r="4" spans="2:17" s="22" customFormat="1" ht="13.1">
      <c r="B4" s="867" t="s">
        <v>726</v>
      </c>
      <c r="C4" s="867"/>
      <c r="D4" s="867"/>
      <c r="E4" s="867"/>
      <c r="F4" s="867"/>
      <c r="G4" s="867"/>
      <c r="H4" s="867"/>
      <c r="I4" s="867"/>
    </row>
    <row r="5" spans="2:17" s="22" customFormat="1" ht="15.05" customHeight="1">
      <c r="B5" s="791" t="s">
        <v>637</v>
      </c>
      <c r="C5" s="791"/>
      <c r="D5" s="791"/>
      <c r="E5" s="791"/>
      <c r="F5" s="791"/>
      <c r="G5" s="791"/>
      <c r="H5" s="791"/>
      <c r="I5" s="791"/>
    </row>
    <row r="6" spans="2:17" s="22" customFormat="1" ht="50.25" customHeight="1">
      <c r="B6" s="308" t="s">
        <v>486</v>
      </c>
      <c r="C6" s="308" t="s">
        <v>638</v>
      </c>
      <c r="D6" s="308" t="s">
        <v>639</v>
      </c>
      <c r="E6" s="308" t="s">
        <v>640</v>
      </c>
      <c r="F6" s="308" t="s">
        <v>641</v>
      </c>
      <c r="G6" s="308" t="s">
        <v>642</v>
      </c>
      <c r="H6" s="308" t="s">
        <v>643</v>
      </c>
      <c r="I6" s="308" t="s">
        <v>644</v>
      </c>
      <c r="M6"/>
      <c r="N6"/>
    </row>
    <row r="7" spans="2:17" s="22" customFormat="1" ht="91" customHeight="1">
      <c r="B7" s="124" t="s">
        <v>193</v>
      </c>
      <c r="C7" s="100" t="s">
        <v>645</v>
      </c>
      <c r="D7" s="100" t="s">
        <v>646</v>
      </c>
      <c r="E7" s="411" t="s">
        <v>647</v>
      </c>
      <c r="F7" s="411" t="s">
        <v>648</v>
      </c>
      <c r="G7" s="411" t="s">
        <v>649</v>
      </c>
      <c r="H7" s="411" t="s">
        <v>650</v>
      </c>
      <c r="I7" s="411" t="s">
        <v>651</v>
      </c>
      <c r="M7"/>
      <c r="N7"/>
    </row>
    <row r="8" spans="2:17" s="22" customFormat="1" ht="15.75" customHeight="1">
      <c r="B8" s="50">
        <v>2015</v>
      </c>
      <c r="C8" s="44">
        <v>0.184</v>
      </c>
      <c r="D8" s="44">
        <v>165.41900000000001</v>
      </c>
      <c r="E8" s="44">
        <v>33427.444000000003</v>
      </c>
      <c r="F8" s="44">
        <v>79329.955000000002</v>
      </c>
      <c r="G8" s="44">
        <v>5746.4930000000004</v>
      </c>
      <c r="H8" s="44">
        <v>118503.89200000001</v>
      </c>
      <c r="I8" s="44">
        <v>23403.947</v>
      </c>
      <c r="J8" s="92"/>
      <c r="L8" s="11"/>
      <c r="M8" s="11"/>
      <c r="N8" s="11"/>
    </row>
    <row r="9" spans="2:17" s="22" customFormat="1" ht="15.75" customHeight="1">
      <c r="B9" s="50">
        <v>2016</v>
      </c>
      <c r="C9" s="44">
        <v>2.65</v>
      </c>
      <c r="D9" s="44">
        <v>245.19800000000001</v>
      </c>
      <c r="E9" s="44">
        <v>32468.589</v>
      </c>
      <c r="F9" s="44">
        <v>63325.135999999999</v>
      </c>
      <c r="G9" s="44">
        <v>8109.7209999999995</v>
      </c>
      <c r="H9" s="44">
        <v>103903.44600000001</v>
      </c>
      <c r="I9" s="44">
        <v>25158.268</v>
      </c>
      <c r="J9" s="92"/>
      <c r="L9" s="11"/>
      <c r="M9" s="11"/>
      <c r="N9" s="11"/>
    </row>
    <row r="10" spans="2:17" s="22" customFormat="1" ht="15.75" customHeight="1">
      <c r="B10" s="50">
        <v>2017</v>
      </c>
      <c r="C10" s="44">
        <v>0</v>
      </c>
      <c r="D10" s="44">
        <v>251</v>
      </c>
      <c r="E10" s="44">
        <v>51251.331999999995</v>
      </c>
      <c r="F10" s="44">
        <v>71736.990999999995</v>
      </c>
      <c r="G10" s="44">
        <v>8223.1779999999999</v>
      </c>
      <c r="H10" s="44">
        <v>131211.50099999999</v>
      </c>
      <c r="I10" s="44">
        <v>23480.124</v>
      </c>
      <c r="J10" s="92"/>
      <c r="L10" s="11"/>
      <c r="M10" s="11"/>
      <c r="N10" s="11"/>
    </row>
    <row r="11" spans="2:17" s="22" customFormat="1" ht="15.75" customHeight="1">
      <c r="B11" s="50">
        <v>2018</v>
      </c>
      <c r="C11" s="44">
        <v>2.6</v>
      </c>
      <c r="D11" s="44">
        <v>132</v>
      </c>
      <c r="E11" s="44">
        <v>34146.11952</v>
      </c>
      <c r="F11" s="44">
        <v>88590.467260000005</v>
      </c>
      <c r="G11" s="44">
        <v>10628.6798</v>
      </c>
      <c r="H11" s="44">
        <v>133365</v>
      </c>
      <c r="I11" s="44">
        <v>30688.84042</v>
      </c>
      <c r="J11" s="92"/>
      <c r="L11" s="11"/>
      <c r="M11" s="11"/>
      <c r="N11" s="11"/>
    </row>
    <row r="12" spans="2:17" s="22" customFormat="1" ht="15.75" customHeight="1">
      <c r="B12" s="50">
        <v>2019</v>
      </c>
      <c r="C12" s="44">
        <v>11</v>
      </c>
      <c r="D12" s="44">
        <v>291</v>
      </c>
      <c r="E12" s="44">
        <v>36413</v>
      </c>
      <c r="F12" s="44">
        <v>84744.584040000016</v>
      </c>
      <c r="G12" s="44">
        <v>5123.49629</v>
      </c>
      <c r="H12" s="44">
        <v>126281.55284999999</v>
      </c>
      <c r="I12" s="44">
        <v>27380.79</v>
      </c>
      <c r="J12" s="92"/>
      <c r="K12" s="22" t="s">
        <v>97</v>
      </c>
      <c r="L12" s="11" t="s">
        <v>97</v>
      </c>
      <c r="M12" s="11"/>
      <c r="N12" s="11"/>
    </row>
    <row r="13" spans="2:17" s="22" customFormat="1" ht="15.75" customHeight="1">
      <c r="B13" s="50">
        <v>2020</v>
      </c>
      <c r="C13" s="44">
        <v>36.160879999999999</v>
      </c>
      <c r="D13" s="44">
        <v>361.52414999999996</v>
      </c>
      <c r="E13" s="44">
        <v>52918.822890000003</v>
      </c>
      <c r="F13" s="44">
        <v>100601.82218000002</v>
      </c>
      <c r="G13" s="44">
        <v>13833.749479999999</v>
      </c>
      <c r="H13" s="44">
        <v>167354.39455000003</v>
      </c>
      <c r="I13" s="44">
        <v>30916.17628</v>
      </c>
      <c r="J13" s="92"/>
      <c r="L13" s="11" t="s">
        <v>97</v>
      </c>
      <c r="M13" s="11"/>
      <c r="N13" s="11"/>
      <c r="O13" s="22" t="s">
        <v>97</v>
      </c>
      <c r="Q13" s="22" t="s">
        <v>97</v>
      </c>
    </row>
    <row r="14" spans="2:17" s="22" customFormat="1" ht="15.75" customHeight="1">
      <c r="B14" s="50">
        <v>2021</v>
      </c>
      <c r="C14" s="44">
        <v>24.07762</v>
      </c>
      <c r="D14" s="44">
        <v>194.31326999999999</v>
      </c>
      <c r="E14" s="44">
        <v>53219.585890000002</v>
      </c>
      <c r="F14" s="44">
        <v>62602.326540000002</v>
      </c>
      <c r="G14" s="44">
        <v>15387.177729999999</v>
      </c>
      <c r="H14" s="44">
        <v>131209.09016000002</v>
      </c>
      <c r="I14" s="44">
        <v>41152.463060000002</v>
      </c>
      <c r="J14" s="92"/>
      <c r="L14" s="11"/>
      <c r="M14" s="11"/>
      <c r="N14" s="11"/>
    </row>
    <row r="15" spans="2:17" s="22" customFormat="1" ht="15.75" customHeight="1">
      <c r="B15" s="50">
        <v>2022</v>
      </c>
      <c r="C15" s="44">
        <v>22.437999999999999</v>
      </c>
      <c r="D15" s="44">
        <v>1089.9277399999999</v>
      </c>
      <c r="E15" s="44">
        <v>54547.486230000017</v>
      </c>
      <c r="F15" s="44">
        <v>71671.878540000005</v>
      </c>
      <c r="G15" s="44">
        <v>26687.715639999995</v>
      </c>
      <c r="H15" s="44">
        <v>152907.08041</v>
      </c>
      <c r="I15" s="44">
        <v>32283.12687</v>
      </c>
      <c r="J15" s="92"/>
      <c r="L15" s="11"/>
      <c r="M15" s="11"/>
      <c r="N15" s="11"/>
      <c r="O15" s="92"/>
    </row>
    <row r="16" spans="2:17" s="22" customFormat="1" ht="15.75" customHeight="1">
      <c r="B16" s="50">
        <v>2023</v>
      </c>
      <c r="C16" s="44">
        <v>0</v>
      </c>
      <c r="D16" s="44">
        <v>298.30925000000002</v>
      </c>
      <c r="E16" s="44">
        <v>46253.066099999996</v>
      </c>
      <c r="F16" s="44">
        <v>79518.53164999999</v>
      </c>
      <c r="G16" s="44">
        <v>44230.966780000002</v>
      </c>
      <c r="H16" s="44">
        <v>170002.56453</v>
      </c>
      <c r="I16" s="44">
        <v>35220.481350000009</v>
      </c>
      <c r="J16" s="92"/>
      <c r="L16" s="92"/>
      <c r="M16" s="11"/>
      <c r="N16" s="391"/>
    </row>
    <row r="17" spans="2:24" s="22" customFormat="1" ht="15.75" customHeight="1">
      <c r="B17" s="50" t="s">
        <v>719</v>
      </c>
      <c r="C17" s="44">
        <v>0</v>
      </c>
      <c r="D17" s="44">
        <v>7.0556000000000001</v>
      </c>
      <c r="E17" s="44">
        <v>20727.136139999995</v>
      </c>
      <c r="F17" s="44">
        <v>32019.143</v>
      </c>
      <c r="G17" s="44">
        <v>24218.877510000006</v>
      </c>
      <c r="H17" s="44">
        <v>76965.156650000004</v>
      </c>
      <c r="I17" s="44">
        <v>16829.926499999998</v>
      </c>
      <c r="J17" s="92"/>
      <c r="L17" s="92"/>
      <c r="M17" s="11"/>
      <c r="N17" s="391"/>
    </row>
    <row r="18" spans="2:24" s="22" customFormat="1" ht="32.9" customHeight="1">
      <c r="B18" s="1073" t="s">
        <v>783</v>
      </c>
      <c r="C18" s="1073"/>
      <c r="D18" s="1073"/>
      <c r="E18" s="1073"/>
      <c r="F18" s="1073"/>
      <c r="G18" s="1073"/>
      <c r="H18" s="1073"/>
      <c r="I18" s="1073"/>
      <c r="J18" s="92"/>
      <c r="S18" s="22" t="s">
        <v>97</v>
      </c>
    </row>
    <row r="19" spans="2:24" ht="29.3" customHeight="1">
      <c r="B19" s="1" t="s">
        <v>652</v>
      </c>
      <c r="C19" s="12"/>
      <c r="D19" s="12"/>
      <c r="E19" s="12"/>
      <c r="F19" s="12"/>
      <c r="G19" s="12"/>
      <c r="H19" s="12"/>
      <c r="K19" s="22"/>
      <c r="L19" s="22"/>
      <c r="M19" s="22"/>
      <c r="N19" s="22"/>
      <c r="O19" s="22"/>
    </row>
    <row r="20" spans="2:24" ht="12.45">
      <c r="C20" s="12"/>
      <c r="D20" s="12"/>
      <c r="E20" s="12"/>
      <c r="F20" s="12"/>
      <c r="G20" s="12"/>
      <c r="H20" s="12"/>
      <c r="J20" s="12"/>
      <c r="K20" s="22"/>
      <c r="L20" s="22"/>
      <c r="M20" s="22"/>
      <c r="N20" s="22" t="s">
        <v>97</v>
      </c>
      <c r="O20" s="22"/>
    </row>
    <row r="21" spans="2:24">
      <c r="C21" s="12"/>
      <c r="D21" s="12"/>
      <c r="E21" s="12"/>
      <c r="F21" s="12"/>
      <c r="G21" s="12"/>
      <c r="H21" s="12"/>
    </row>
    <row r="23" spans="2:24" ht="15.05" customHeight="1"/>
    <row r="24" spans="2:24" ht="15.05" customHeight="1">
      <c r="B24" s="4"/>
      <c r="C24" s="4"/>
      <c r="D24" s="4"/>
      <c r="E24" s="4"/>
      <c r="F24" s="4"/>
      <c r="G24" s="4"/>
      <c r="H24" s="4"/>
    </row>
    <row r="25" spans="2:24" ht="15.05" customHeight="1"/>
    <row r="26" spans="2:24" ht="15.05" customHeight="1"/>
    <row r="27" spans="2:24" ht="27" customHeight="1"/>
    <row r="28" spans="2:24" ht="15.05" customHeight="1"/>
    <row r="29" spans="2:24" ht="15.05" customHeight="1"/>
    <row r="30" spans="2:24" ht="15.05" customHeight="1"/>
    <row r="31" spans="2:24" ht="15.05" customHeight="1">
      <c r="S31" s="1"/>
      <c r="T31" s="1"/>
      <c r="U31" s="1"/>
      <c r="V31" s="1"/>
      <c r="W31" s="1"/>
      <c r="X31" s="1"/>
    </row>
    <row r="32" spans="2:24" ht="15.05" customHeight="1"/>
    <row r="33" spans="19:19" ht="56.3" customHeight="1"/>
    <row r="34" spans="19:19" ht="14.1" customHeight="1">
      <c r="S34" s="3"/>
    </row>
  </sheetData>
  <mergeCells count="5">
    <mergeCell ref="B1:I1"/>
    <mergeCell ref="B3:I3"/>
    <mergeCell ref="B4:I4"/>
    <mergeCell ref="B5:I5"/>
    <mergeCell ref="B18:I18"/>
  </mergeCells>
  <printOptions horizontalCentered="1"/>
  <pageMargins left="0.19685039370078741" right="0.27559055118110237" top="1.2204724409448819" bottom="0.78740157480314965" header="0.51181102362204722" footer="0.59055118110236227"/>
  <pageSetup paperSize="126" scale="67" firstPageNumber="0" orientation="portrait" r:id="rId1"/>
  <headerFooter alignWithMargins="0">
    <oddFooter>&amp;C&amp;10&amp;A</oddFooter>
  </headerFooter>
  <ignoredErrors>
    <ignoredError sqref="D6:G6 I6"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AG59"/>
  <sheetViews>
    <sheetView topLeftCell="A7" zoomScale="90" zoomScaleNormal="90" workbookViewId="0">
      <selection activeCell="B20" sqref="B20"/>
    </sheetView>
  </sheetViews>
  <sheetFormatPr baseColWidth="10" defaultColWidth="10.9140625" defaultRowHeight="11.8"/>
  <cols>
    <col min="1" max="1" width="1" style="1" customWidth="1"/>
    <col min="2" max="7" width="8.83203125" style="1" customWidth="1"/>
    <col min="8" max="8" width="1.4140625" style="1" customWidth="1"/>
    <col min="9" max="9" width="4.4140625" style="1" customWidth="1"/>
    <col min="10" max="10" width="4" style="1" customWidth="1"/>
    <col min="11" max="11" width="7.33203125" style="1" bestFit="1" customWidth="1"/>
    <col min="12" max="12" width="4.25" style="1" customWidth="1"/>
    <col min="13" max="13" width="4.75" style="1" customWidth="1"/>
    <col min="14" max="25" width="3.4140625" style="1" customWidth="1"/>
    <col min="26" max="26" width="7.9140625" style="1" customWidth="1"/>
    <col min="27" max="27" width="2" style="1" customWidth="1"/>
    <col min="28" max="33" width="3" style="2" customWidth="1"/>
    <col min="34" max="16384" width="10.9140625" style="1"/>
  </cols>
  <sheetData>
    <row r="1" spans="2:20" s="22" customFormat="1" ht="12.8" customHeight="1">
      <c r="B1" s="898" t="s">
        <v>225</v>
      </c>
      <c r="C1" s="898"/>
      <c r="D1" s="898"/>
      <c r="E1" s="898"/>
      <c r="F1" s="898"/>
      <c r="G1" s="898"/>
    </row>
    <row r="2" spans="2:20" s="22" customFormat="1" ht="6.05" customHeight="1"/>
    <row r="3" spans="2:20" s="22" customFormat="1" ht="13.1">
      <c r="B3" s="791" t="s">
        <v>636</v>
      </c>
      <c r="C3" s="791"/>
      <c r="D3" s="791"/>
      <c r="E3" s="791"/>
      <c r="F3" s="791"/>
      <c r="G3" s="791"/>
    </row>
    <row r="4" spans="2:20" s="22" customFormat="1" ht="15.05" customHeight="1">
      <c r="B4" s="791" t="s">
        <v>653</v>
      </c>
      <c r="C4" s="791"/>
      <c r="D4" s="791"/>
      <c r="E4" s="791"/>
      <c r="F4" s="791"/>
      <c r="G4" s="791"/>
    </row>
    <row r="5" spans="2:20" s="22" customFormat="1" ht="13.1">
      <c r="B5" s="867" t="s">
        <v>724</v>
      </c>
      <c r="C5" s="867"/>
      <c r="D5" s="867"/>
      <c r="E5" s="867"/>
      <c r="F5" s="867"/>
      <c r="G5" s="867"/>
    </row>
    <row r="6" spans="2:20" s="22" customFormat="1" ht="13.1">
      <c r="B6" s="867" t="s">
        <v>654</v>
      </c>
      <c r="C6" s="867"/>
      <c r="D6" s="867"/>
      <c r="E6" s="867"/>
      <c r="F6" s="867"/>
      <c r="G6" s="867"/>
    </row>
    <row r="7" spans="2:20" s="22" customFormat="1" ht="43.55" customHeight="1">
      <c r="B7" s="308" t="s">
        <v>486</v>
      </c>
      <c r="C7" s="308" t="s">
        <v>640</v>
      </c>
      <c r="D7" s="308" t="s">
        <v>641</v>
      </c>
      <c r="E7" s="308" t="s">
        <v>642</v>
      </c>
      <c r="F7" s="308" t="s">
        <v>643</v>
      </c>
      <c r="G7" s="308" t="s">
        <v>644</v>
      </c>
    </row>
    <row r="8" spans="2:20" s="22" customFormat="1" ht="92.3" customHeight="1">
      <c r="B8" s="124" t="s">
        <v>193</v>
      </c>
      <c r="C8" s="411" t="s">
        <v>647</v>
      </c>
      <c r="D8" s="411" t="s">
        <v>655</v>
      </c>
      <c r="E8" s="411" t="s">
        <v>649</v>
      </c>
      <c r="F8" s="411" t="s">
        <v>650</v>
      </c>
      <c r="G8" s="411" t="s">
        <v>651</v>
      </c>
      <c r="K8" s="61"/>
      <c r="L8" s="61"/>
    </row>
    <row r="9" spans="2:20" s="22" customFormat="1" ht="15.75" customHeight="1">
      <c r="B9" s="281">
        <v>2015</v>
      </c>
      <c r="C9" s="44">
        <v>531.85660859980794</v>
      </c>
      <c r="D9" s="44">
        <v>516.63461789193218</v>
      </c>
      <c r="E9" s="44">
        <v>560.80778311223924</v>
      </c>
      <c r="F9" s="44">
        <v>523.061346988266</v>
      </c>
      <c r="G9" s="44">
        <v>408.69529400318663</v>
      </c>
      <c r="J9" s="195"/>
      <c r="K9" s="405"/>
      <c r="L9" s="405"/>
      <c r="M9" s="365"/>
      <c r="P9" s="92"/>
      <c r="Q9" s="92"/>
      <c r="R9" s="92"/>
      <c r="S9" s="92"/>
      <c r="T9" s="92"/>
    </row>
    <row r="10" spans="2:20" s="22" customFormat="1" ht="15.75" customHeight="1">
      <c r="B10" s="281">
        <v>2016</v>
      </c>
      <c r="C10" s="44">
        <v>511.09590872581498</v>
      </c>
      <c r="D10" s="44">
        <v>447.0824981726056</v>
      </c>
      <c r="E10" s="44">
        <v>551.24066536937585</v>
      </c>
      <c r="F10" s="44">
        <v>475.21552846283851</v>
      </c>
      <c r="G10" s="44">
        <v>381.70725995316155</v>
      </c>
      <c r="J10" s="195"/>
      <c r="K10" s="405"/>
      <c r="L10" s="405"/>
      <c r="M10" s="365"/>
      <c r="P10" s="92"/>
      <c r="Q10" s="92"/>
      <c r="R10" s="92"/>
      <c r="S10" s="92"/>
      <c r="T10" s="92"/>
    </row>
    <row r="11" spans="2:20" s="22" customFormat="1" ht="15.75" customHeight="1">
      <c r="B11" s="281">
        <v>2017</v>
      </c>
      <c r="C11" s="44">
        <v>549</v>
      </c>
      <c r="D11" s="44">
        <v>473</v>
      </c>
      <c r="E11" s="44">
        <v>548</v>
      </c>
      <c r="F11" s="44">
        <v>507</v>
      </c>
      <c r="G11" s="44">
        <v>386</v>
      </c>
      <c r="J11" s="195"/>
      <c r="K11" s="405"/>
      <c r="L11" s="405" t="s">
        <v>97</v>
      </c>
      <c r="M11" s="365"/>
      <c r="P11" s="92"/>
      <c r="Q11" s="92"/>
      <c r="R11" s="92"/>
      <c r="S11" s="92"/>
      <c r="T11" s="92"/>
    </row>
    <row r="12" spans="2:20" s="22" customFormat="1" ht="15.75" customHeight="1">
      <c r="B12" s="281">
        <v>2018</v>
      </c>
      <c r="C12" s="44">
        <f>AVERAGE(C3:C11)</f>
        <v>530.65083910854094</v>
      </c>
      <c r="D12" s="44">
        <f>AVERAGE(D3:D11)</f>
        <v>478.90570535484591</v>
      </c>
      <c r="E12" s="44">
        <f>AVERAGE(E3:E11)</f>
        <v>553.34948282720507</v>
      </c>
      <c r="F12" s="44">
        <f>AVERAGE(F3:F11)</f>
        <v>501.75895848370146</v>
      </c>
      <c r="G12" s="44">
        <f>AVERAGE(G3:G11)</f>
        <v>392.13418465211606</v>
      </c>
      <c r="I12" s="207"/>
      <c r="J12" s="206" t="s">
        <v>97</v>
      </c>
      <c r="K12" s="405"/>
      <c r="L12" s="365"/>
      <c r="M12" s="365"/>
      <c r="P12" s="92"/>
      <c r="Q12" s="92"/>
      <c r="R12" s="92"/>
      <c r="S12" s="92"/>
      <c r="T12" s="92"/>
    </row>
    <row r="13" spans="2:20" s="22" customFormat="1" ht="15.75" customHeight="1">
      <c r="B13" s="413">
        <v>2019</v>
      </c>
      <c r="C13" s="44">
        <v>530.68294408786574</v>
      </c>
      <c r="D13" s="44">
        <v>439.6641496326306</v>
      </c>
      <c r="E13" s="44">
        <v>646.42421024975886</v>
      </c>
      <c r="F13" s="44">
        <v>472.75245779219557</v>
      </c>
      <c r="G13" s="44">
        <v>357.29194952655001</v>
      </c>
      <c r="I13" s="207" t="s">
        <v>97</v>
      </c>
      <c r="J13" s="206" t="s">
        <v>97</v>
      </c>
      <c r="K13" s="405"/>
      <c r="L13" s="365"/>
      <c r="M13" s="365"/>
      <c r="P13" s="92"/>
      <c r="Q13" s="92"/>
      <c r="R13" s="92"/>
      <c r="S13" s="92"/>
      <c r="T13" s="92"/>
    </row>
    <row r="14" spans="2:20" s="22" customFormat="1" ht="15.75" customHeight="1">
      <c r="B14" s="413">
        <v>2020</v>
      </c>
      <c r="C14" s="44">
        <v>572.19839573180616</v>
      </c>
      <c r="D14" s="44">
        <v>505.45948706494579</v>
      </c>
      <c r="E14" s="44">
        <v>574.76875640634387</v>
      </c>
      <c r="F14" s="44">
        <v>530.79608413587209</v>
      </c>
      <c r="G14" s="44">
        <v>380.60525246744896</v>
      </c>
      <c r="I14" s="207"/>
      <c r="J14" s="206"/>
      <c r="K14" s="405"/>
      <c r="L14" s="365"/>
      <c r="M14" s="365"/>
      <c r="P14" s="92"/>
      <c r="Q14" s="92"/>
      <c r="R14" s="92"/>
      <c r="S14" s="92"/>
      <c r="T14" s="92"/>
    </row>
    <row r="15" spans="2:20" s="22" customFormat="1" ht="15.75" customHeight="1">
      <c r="B15" s="413">
        <v>2021</v>
      </c>
      <c r="C15" s="44">
        <v>629.16241319891003</v>
      </c>
      <c r="D15" s="44">
        <v>534.64074898148556</v>
      </c>
      <c r="E15" s="44">
        <v>640.48616495179488</v>
      </c>
      <c r="F15" s="44">
        <v>581.99136732368606</v>
      </c>
      <c r="G15" s="44">
        <v>428.26342897370228</v>
      </c>
      <c r="I15" s="207"/>
      <c r="J15" s="206"/>
      <c r="K15" s="405" t="s">
        <v>97</v>
      </c>
      <c r="L15" s="365"/>
      <c r="M15" s="365"/>
      <c r="P15" s="92"/>
      <c r="Q15" s="92"/>
      <c r="R15" s="92"/>
      <c r="S15" s="92"/>
      <c r="T15" s="92"/>
    </row>
    <row r="16" spans="2:20" s="22" customFormat="1" ht="15.75" customHeight="1">
      <c r="B16" s="413">
        <v>2022</v>
      </c>
      <c r="C16" s="44">
        <v>636.26576848152388</v>
      </c>
      <c r="D16" s="44">
        <v>520.40772206329632</v>
      </c>
      <c r="E16" s="44">
        <v>539.17159775611196</v>
      </c>
      <c r="F16" s="44">
        <v>563.56814343575286</v>
      </c>
      <c r="G16" s="44">
        <v>416.13315784820173</v>
      </c>
      <c r="I16" s="207"/>
      <c r="J16" s="206"/>
      <c r="K16" s="405"/>
      <c r="L16" s="365"/>
      <c r="M16" s="365"/>
      <c r="P16" s="92"/>
      <c r="Q16" s="92"/>
      <c r="R16" s="92"/>
      <c r="S16" s="92"/>
      <c r="T16" s="92"/>
    </row>
    <row r="17" spans="2:20" s="22" customFormat="1" ht="15.75" customHeight="1">
      <c r="B17" s="413">
        <v>2023</v>
      </c>
      <c r="C17" s="44">
        <v>691.70832756905327</v>
      </c>
      <c r="D17" s="44">
        <v>619.94585284859409</v>
      </c>
      <c r="E17" s="44">
        <v>601.42209916246395</v>
      </c>
      <c r="F17" s="44">
        <v>634.5033494254601</v>
      </c>
      <c r="G17" s="44">
        <v>417.64801986105539</v>
      </c>
      <c r="I17" s="207"/>
      <c r="J17" s="206"/>
      <c r="K17" s="405"/>
      <c r="L17" s="365"/>
      <c r="M17" s="365"/>
      <c r="P17" s="92"/>
      <c r="Q17" s="92"/>
      <c r="R17" s="92"/>
      <c r="S17" s="92"/>
      <c r="T17" s="92"/>
    </row>
    <row r="18" spans="2:20" s="22" customFormat="1" ht="15.75" customHeight="1">
      <c r="B18" s="413" t="s">
        <v>719</v>
      </c>
      <c r="C18" s="44">
        <v>806.9207151892017</v>
      </c>
      <c r="D18" s="44">
        <v>749.76726954462288</v>
      </c>
      <c r="E18" s="44">
        <v>730.01124191394388</v>
      </c>
      <c r="F18" s="44">
        <v>755.9928677542382</v>
      </c>
      <c r="G18" s="44">
        <v>447.78805991581902</v>
      </c>
      <c r="I18" s="207"/>
      <c r="J18" s="206"/>
      <c r="K18" s="405"/>
      <c r="L18" s="365"/>
      <c r="M18" s="365"/>
      <c r="P18" s="92"/>
      <c r="Q18" s="92"/>
      <c r="R18" s="92"/>
      <c r="S18" s="92"/>
      <c r="T18" s="92"/>
    </row>
    <row r="19" spans="2:20" s="38" customFormat="1" ht="29.95" customHeight="1">
      <c r="B19" s="1073" t="s">
        <v>784</v>
      </c>
      <c r="C19" s="1073"/>
      <c r="D19" s="1073"/>
      <c r="E19" s="1073"/>
      <c r="F19" s="1073"/>
      <c r="G19" s="1073"/>
      <c r="I19" s="501"/>
      <c r="J19" s="501"/>
    </row>
    <row r="20" spans="2:20">
      <c r="C20" s="196"/>
      <c r="D20" s="196"/>
      <c r="E20" s="196"/>
      <c r="F20" s="196"/>
      <c r="G20" s="196"/>
      <c r="I20" s="13"/>
      <c r="J20" s="13"/>
      <c r="K20" s="13"/>
    </row>
    <row r="21" spans="2:20">
      <c r="I21" s="13"/>
      <c r="J21" s="13"/>
      <c r="K21" s="13"/>
    </row>
    <row r="22" spans="2:20">
      <c r="I22" s="13"/>
      <c r="J22" s="13"/>
      <c r="K22" s="13"/>
    </row>
    <row r="23" spans="2:20">
      <c r="I23" s="13"/>
      <c r="J23" s="13"/>
      <c r="K23" s="13"/>
    </row>
    <row r="25" spans="2:20" ht="15.05" customHeight="1"/>
    <row r="26" spans="2:20" ht="15.05" customHeight="1"/>
    <row r="27" spans="2:20" ht="15.05" customHeight="1"/>
    <row r="28" spans="2:20" ht="15.05" customHeight="1"/>
    <row r="29" spans="2:20" ht="27" customHeight="1"/>
    <row r="30" spans="2:20" ht="15.05" customHeight="1"/>
    <row r="31" spans="2:20" ht="15.05" customHeight="1"/>
    <row r="32" spans="2:20" ht="15.05" customHeight="1"/>
    <row r="33" spans="2:33" ht="15.05" customHeight="1">
      <c r="AB33" s="1"/>
      <c r="AC33" s="1"/>
      <c r="AD33" s="1"/>
      <c r="AE33" s="1"/>
      <c r="AF33" s="1"/>
      <c r="AG33" s="1"/>
    </row>
    <row r="34" spans="2:33" ht="15.05" customHeight="1"/>
    <row r="35" spans="2:33" ht="78.55" customHeight="1"/>
    <row r="36" spans="2:33" ht="15.05" customHeight="1">
      <c r="B36" s="985"/>
      <c r="C36" s="985"/>
      <c r="D36" s="985"/>
      <c r="E36" s="985"/>
      <c r="F36" s="985"/>
      <c r="G36" s="985"/>
      <c r="AB36" s="3"/>
    </row>
    <row r="37" spans="2:33" ht="15.05" customHeight="1">
      <c r="B37" s="985"/>
      <c r="C37" s="985"/>
      <c r="D37" s="985"/>
      <c r="E37" s="985"/>
      <c r="F37" s="985"/>
      <c r="G37" s="985"/>
      <c r="AB37" s="3"/>
    </row>
    <row r="38" spans="2:33" ht="15.05" customHeight="1">
      <c r="AB38" s="3"/>
    </row>
    <row r="39" spans="2:33" ht="15.05" customHeight="1">
      <c r="AB39" s="3"/>
    </row>
    <row r="40" spans="2:33" ht="15.05" customHeight="1"/>
    <row r="41" spans="2:33" ht="15.05" customHeight="1">
      <c r="AB41" s="3"/>
      <c r="AC41" s="3"/>
      <c r="AD41" s="3"/>
      <c r="AE41" s="3"/>
      <c r="AF41" s="3"/>
      <c r="AG41" s="3"/>
    </row>
    <row r="42" spans="2:33" ht="15.05" customHeight="1">
      <c r="AB42" s="3"/>
      <c r="AC42" s="3"/>
      <c r="AD42" s="3"/>
      <c r="AE42" s="3"/>
      <c r="AF42" s="3"/>
      <c r="AG42" s="3"/>
    </row>
    <row r="43" spans="2:33" ht="15.05" customHeight="1">
      <c r="AB43" s="3"/>
      <c r="AC43" s="3"/>
      <c r="AD43" s="3"/>
      <c r="AE43" s="3"/>
      <c r="AF43" s="3"/>
      <c r="AG43" s="3"/>
    </row>
    <row r="44" spans="2:33" ht="15.05" customHeight="1">
      <c r="AB44" s="3"/>
      <c r="AC44" s="3"/>
      <c r="AD44" s="3"/>
      <c r="AE44" s="3"/>
      <c r="AF44" s="3"/>
      <c r="AG44" s="3"/>
    </row>
    <row r="45" spans="2:33" ht="15.05" customHeight="1">
      <c r="AB45" s="3"/>
      <c r="AC45" s="3"/>
      <c r="AD45" s="3"/>
      <c r="AE45" s="3"/>
      <c r="AF45" s="3"/>
      <c r="AG45" s="3"/>
    </row>
    <row r="46" spans="2:33" ht="15.05" customHeight="1">
      <c r="AB46" s="3"/>
      <c r="AC46" s="3"/>
      <c r="AD46" s="3"/>
      <c r="AE46" s="3"/>
      <c r="AF46" s="3"/>
      <c r="AG46" s="3"/>
    </row>
    <row r="47" spans="2:33" ht="15.05" customHeight="1">
      <c r="AB47" s="3"/>
      <c r="AC47" s="3"/>
      <c r="AD47" s="3"/>
      <c r="AE47" s="3"/>
      <c r="AF47" s="3"/>
      <c r="AG47" s="3"/>
    </row>
    <row r="48" spans="2:33" ht="15.05" customHeight="1">
      <c r="AB48" s="3"/>
      <c r="AC48" s="3"/>
      <c r="AD48" s="3"/>
      <c r="AE48" s="3"/>
      <c r="AF48" s="3"/>
      <c r="AG48" s="3"/>
    </row>
    <row r="49" spans="28:33" ht="15.05" customHeight="1">
      <c r="AB49" s="3"/>
      <c r="AC49" s="3"/>
      <c r="AD49" s="3"/>
      <c r="AE49" s="3"/>
      <c r="AF49" s="3"/>
      <c r="AG49" s="3"/>
    </row>
    <row r="50" spans="28:33" ht="15.05" customHeight="1">
      <c r="AB50" s="3"/>
      <c r="AC50" s="3"/>
      <c r="AD50" s="3"/>
      <c r="AE50" s="3"/>
      <c r="AF50" s="3"/>
      <c r="AG50" s="3"/>
    </row>
    <row r="51" spans="28:33" ht="15.05" customHeight="1">
      <c r="AB51" s="3"/>
      <c r="AC51" s="3"/>
      <c r="AD51" s="3"/>
      <c r="AE51" s="3"/>
      <c r="AF51" s="3"/>
      <c r="AG51" s="3"/>
    </row>
    <row r="52" spans="28:33" ht="15.05" customHeight="1">
      <c r="AB52" s="3"/>
      <c r="AC52" s="3"/>
      <c r="AD52" s="3"/>
      <c r="AE52" s="3"/>
      <c r="AF52" s="3"/>
      <c r="AG52" s="3"/>
    </row>
    <row r="53" spans="28:33" ht="15.05" customHeight="1">
      <c r="AB53" s="3"/>
    </row>
    <row r="54" spans="28:33" ht="15.05" customHeight="1"/>
    <row r="55" spans="28:33" ht="15.05" customHeight="1"/>
    <row r="56" spans="28:33" ht="15.05" customHeight="1"/>
    <row r="57" spans="28:33" ht="15.05" customHeight="1"/>
    <row r="58" spans="28:33" ht="15.05" customHeight="1"/>
    <row r="59" spans="28:33" ht="15.05" customHeight="1"/>
  </sheetData>
  <mergeCells count="7">
    <mergeCell ref="B36:G37"/>
    <mergeCell ref="B1:G1"/>
    <mergeCell ref="B3:G3"/>
    <mergeCell ref="B4:G4"/>
    <mergeCell ref="B5:G5"/>
    <mergeCell ref="B6:G6"/>
    <mergeCell ref="B19:G19"/>
  </mergeCells>
  <printOptions horizontalCentered="1"/>
  <pageMargins left="0.19685039370078741" right="0.27559055118110237" top="1.2204724409448819" bottom="0.78740157480314965" header="0.51181102362204722" footer="0.59055118110236227"/>
  <pageSetup paperSize="126" scale="95" firstPageNumber="0" orientation="portrait" r:id="rId1"/>
  <headerFooter alignWithMargins="0">
    <oddFooter>&amp;C&amp;10&amp;A</oddFooter>
  </headerFooter>
  <ignoredErrors>
    <ignoredError sqref="C7:G7" numberStoredAsText="1"/>
  </ignoredError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93"/>
  <sheetViews>
    <sheetView topLeftCell="A10" zoomScale="90" zoomScaleNormal="90" zoomScaleSheetLayoutView="75" workbookViewId="0">
      <selection activeCell="L11" sqref="L11"/>
    </sheetView>
  </sheetViews>
  <sheetFormatPr baseColWidth="10" defaultColWidth="10.9140625" defaultRowHeight="11.8"/>
  <cols>
    <col min="1" max="1" width="2.1640625" style="1" customWidth="1"/>
    <col min="2" max="2" width="9.4140625" style="1" customWidth="1"/>
    <col min="3" max="3" width="7.25" style="1" customWidth="1"/>
    <col min="4" max="4" width="7.9140625" style="1" customWidth="1"/>
    <col min="5" max="5" width="6.83203125" style="1" customWidth="1"/>
    <col min="6" max="6" width="6.4140625" style="1" customWidth="1"/>
    <col min="7" max="7" width="6.9140625" style="1" customWidth="1"/>
    <col min="8" max="8" width="7.1640625" style="1" customWidth="1"/>
    <col min="9" max="9" width="7.33203125" style="1" customWidth="1"/>
    <col min="10" max="10" width="5.4140625" style="1" customWidth="1"/>
    <col min="11" max="12" width="6.08203125" style="1" customWidth="1"/>
    <col min="13" max="13" width="4.9140625" style="1" customWidth="1"/>
    <col min="14" max="14" width="5.33203125" style="1" customWidth="1"/>
    <col min="15" max="15" width="4.6640625" style="1" customWidth="1"/>
    <col min="16" max="16384" width="10.9140625" style="1"/>
  </cols>
  <sheetData>
    <row r="1" spans="2:16" s="15" customFormat="1" ht="13.1">
      <c r="B1" s="791" t="s">
        <v>230</v>
      </c>
      <c r="C1" s="791"/>
      <c r="D1" s="791"/>
      <c r="E1" s="791"/>
      <c r="F1" s="791"/>
      <c r="G1" s="791"/>
      <c r="H1" s="791"/>
      <c r="I1" s="791"/>
      <c r="J1" s="791"/>
    </row>
    <row r="2" spans="2:16" s="15" customFormat="1" ht="13.1"/>
    <row r="3" spans="2:16" s="15" customFormat="1" ht="13.1">
      <c r="B3" s="791" t="s">
        <v>251</v>
      </c>
      <c r="C3" s="791"/>
      <c r="D3" s="791"/>
      <c r="E3" s="791"/>
      <c r="F3" s="791"/>
      <c r="G3" s="791"/>
      <c r="H3" s="791"/>
      <c r="I3" s="791"/>
    </row>
    <row r="4" spans="2:16" s="15" customFormat="1" ht="13.1">
      <c r="B4" s="791" t="s">
        <v>721</v>
      </c>
      <c r="C4" s="791"/>
      <c r="D4" s="791"/>
      <c r="E4" s="791"/>
      <c r="F4" s="791"/>
      <c r="G4" s="791"/>
      <c r="H4" s="791"/>
      <c r="I4" s="791"/>
    </row>
    <row r="5" spans="2:16" s="15" customFormat="1" ht="13.1">
      <c r="B5" s="808" t="s">
        <v>656</v>
      </c>
      <c r="C5" s="808"/>
      <c r="D5" s="808"/>
      <c r="E5" s="808"/>
      <c r="F5" s="808"/>
      <c r="G5" s="808"/>
      <c r="H5" s="808"/>
      <c r="I5" s="808"/>
    </row>
    <row r="6" spans="2:16" s="22" customFormat="1" ht="15.75" customHeight="1">
      <c r="B6" s="197"/>
      <c r="C6" s="194">
        <v>2018</v>
      </c>
      <c r="D6" s="194">
        <v>2019</v>
      </c>
      <c r="E6" s="194">
        <v>2020</v>
      </c>
      <c r="F6" s="194">
        <v>2021</v>
      </c>
      <c r="G6" s="194">
        <v>2022</v>
      </c>
      <c r="H6" s="194">
        <v>2023</v>
      </c>
      <c r="I6" s="194">
        <v>2024</v>
      </c>
    </row>
    <row r="7" spans="2:16" s="22" customFormat="1" ht="15.75" customHeight="1">
      <c r="B7" s="24" t="s">
        <v>212</v>
      </c>
      <c r="C7" s="44"/>
      <c r="D7" s="223"/>
      <c r="E7" s="45"/>
      <c r="F7" s="45"/>
      <c r="G7" s="44"/>
      <c r="H7" s="44"/>
      <c r="I7" s="44"/>
      <c r="P7" s="198"/>
    </row>
    <row r="8" spans="2:16" s="22" customFormat="1" ht="15.75" customHeight="1">
      <c r="B8" s="24" t="s">
        <v>213</v>
      </c>
      <c r="C8" s="44"/>
      <c r="D8" s="44"/>
      <c r="E8" s="44"/>
      <c r="F8" s="44"/>
      <c r="G8" s="44"/>
      <c r="H8" s="44"/>
      <c r="I8" s="44"/>
    </row>
    <row r="9" spans="2:16" s="22" customFormat="1" ht="15.75" customHeight="1">
      <c r="B9" s="316" t="s">
        <v>214</v>
      </c>
      <c r="C9" s="44">
        <v>170000</v>
      </c>
      <c r="D9" s="44">
        <v>170500</v>
      </c>
      <c r="E9" s="44">
        <v>229324.07407407404</v>
      </c>
      <c r="F9" s="44">
        <v>232700</v>
      </c>
      <c r="G9" s="44"/>
      <c r="H9" s="44"/>
      <c r="I9" s="44">
        <v>400065</v>
      </c>
      <c r="J9" s="355"/>
    </row>
    <row r="10" spans="2:16" s="22" customFormat="1" ht="15.75" customHeight="1">
      <c r="B10" s="316" t="s">
        <v>215</v>
      </c>
      <c r="C10" s="44">
        <v>167700</v>
      </c>
      <c r="D10" s="44">
        <v>173000</v>
      </c>
      <c r="E10" s="44">
        <v>237888.88888888888</v>
      </c>
      <c r="F10" s="44">
        <v>230633.33333333331</v>
      </c>
      <c r="G10" s="44">
        <v>258366.66666666663</v>
      </c>
      <c r="H10" s="44">
        <v>298087.5</v>
      </c>
      <c r="I10" s="44">
        <v>406970.5</v>
      </c>
      <c r="J10" s="22" t="s">
        <v>97</v>
      </c>
      <c r="P10" s="199"/>
    </row>
    <row r="11" spans="2:16" s="22" customFormat="1" ht="15.75" customHeight="1">
      <c r="B11" s="316" t="s">
        <v>216</v>
      </c>
      <c r="C11" s="44">
        <v>173854.83870967742</v>
      </c>
      <c r="D11" s="44">
        <v>176666.66666666669</v>
      </c>
      <c r="E11" s="44">
        <v>236881.7204301075</v>
      </c>
      <c r="F11" s="44">
        <v>225316.66666666669</v>
      </c>
      <c r="G11" s="44">
        <v>267000.00000000006</v>
      </c>
      <c r="H11" s="44">
        <v>292576.88172043004</v>
      </c>
      <c r="I11" s="44">
        <v>420445.76923076925</v>
      </c>
    </row>
    <row r="12" spans="2:16" s="22" customFormat="1" ht="15.75" customHeight="1">
      <c r="B12" s="24" t="s">
        <v>217</v>
      </c>
      <c r="C12" s="44">
        <v>171466.66666666669</v>
      </c>
      <c r="D12" s="44">
        <v>179000</v>
      </c>
      <c r="E12" s="44">
        <v>228216.66666666669</v>
      </c>
      <c r="F12" s="44">
        <v>227433.33333333331</v>
      </c>
      <c r="G12" s="44">
        <v>257133.33333333328</v>
      </c>
      <c r="H12" s="44">
        <v>283259.16666666669</v>
      </c>
      <c r="I12" s="44">
        <v>426282.66666666669</v>
      </c>
      <c r="J12" s="198" t="s">
        <v>97</v>
      </c>
      <c r="P12" s="200"/>
    </row>
    <row r="13" spans="2:16" s="22" customFormat="1" ht="15.75" customHeight="1">
      <c r="B13" s="24" t="s">
        <v>218</v>
      </c>
      <c r="C13" s="44">
        <v>175793</v>
      </c>
      <c r="D13" s="44">
        <v>173548.38709677421</v>
      </c>
      <c r="E13" s="44">
        <v>235423.07692307691</v>
      </c>
      <c r="F13" s="44">
        <v>228000</v>
      </c>
      <c r="G13" s="44">
        <v>278380.64516129036</v>
      </c>
      <c r="H13" s="44">
        <v>288993.70967741933</v>
      </c>
      <c r="I13" s="44">
        <v>436485</v>
      </c>
    </row>
    <row r="14" spans="2:16" s="22" customFormat="1" ht="15.75" customHeight="1">
      <c r="B14" s="24" t="s">
        <v>219</v>
      </c>
      <c r="C14" s="44">
        <v>178167</v>
      </c>
      <c r="D14" s="44">
        <v>177742</v>
      </c>
      <c r="E14" s="44">
        <v>229000</v>
      </c>
      <c r="F14" s="44">
        <v>235700</v>
      </c>
      <c r="G14" s="44">
        <v>269687.5</v>
      </c>
      <c r="H14" s="44">
        <v>333458.70967741933</v>
      </c>
      <c r="I14" s="44"/>
      <c r="L14" s="22" t="s">
        <v>97</v>
      </c>
    </row>
    <row r="15" spans="2:16" s="22" customFormat="1" ht="15.75" customHeight="1">
      <c r="B15" s="24" t="s">
        <v>220</v>
      </c>
      <c r="C15" s="44">
        <v>177000</v>
      </c>
      <c r="D15" s="44">
        <v>185400</v>
      </c>
      <c r="E15" s="44"/>
      <c r="F15" s="44"/>
      <c r="G15" s="44">
        <v>263000</v>
      </c>
      <c r="H15" s="44">
        <v>371782.66666666669</v>
      </c>
      <c r="I15" s="44"/>
    </row>
    <row r="16" spans="2:16" s="22" customFormat="1" ht="15.75" customHeight="1">
      <c r="B16" s="24" t="s">
        <v>221</v>
      </c>
      <c r="C16" s="44"/>
      <c r="D16" s="44"/>
      <c r="E16" s="44"/>
      <c r="F16" s="44"/>
      <c r="G16" s="44"/>
      <c r="H16" s="44">
        <v>388000</v>
      </c>
      <c r="I16" s="44"/>
      <c r="O16" s="22" t="s">
        <v>97</v>
      </c>
    </row>
    <row r="17" spans="2:9" s="22" customFormat="1" ht="15.75" customHeight="1">
      <c r="B17" s="24" t="s">
        <v>206</v>
      </c>
      <c r="C17" s="44"/>
      <c r="D17" s="44"/>
      <c r="E17" s="44"/>
      <c r="F17" s="44"/>
      <c r="G17" s="44"/>
      <c r="H17" s="44"/>
      <c r="I17" s="44"/>
    </row>
    <row r="18" spans="2:9" s="22" customFormat="1" ht="15.75" customHeight="1">
      <c r="B18" s="24" t="s">
        <v>207</v>
      </c>
      <c r="C18" s="221"/>
      <c r="D18" s="44"/>
      <c r="E18" s="44"/>
      <c r="F18" s="45"/>
      <c r="G18" s="45"/>
      <c r="H18" s="45"/>
      <c r="I18" s="45"/>
    </row>
    <row r="19" spans="2:9" s="22" customFormat="1" ht="63.5" customHeight="1">
      <c r="B19" s="1074" t="s">
        <v>751</v>
      </c>
      <c r="C19" s="1074"/>
      <c r="D19" s="1074"/>
      <c r="E19" s="1074"/>
      <c r="F19" s="1074"/>
      <c r="G19" s="1074"/>
      <c r="H19" s="1074"/>
      <c r="I19" s="1074"/>
    </row>
    <row r="20" spans="2:9" s="22" customFormat="1" ht="13.1" customHeight="1">
      <c r="B20" s="880"/>
      <c r="C20" s="880"/>
      <c r="D20" s="880"/>
      <c r="E20" s="880"/>
      <c r="F20" s="880"/>
      <c r="G20" s="880"/>
      <c r="H20" s="880"/>
    </row>
    <row r="21" spans="2:9" s="22" customFormat="1" ht="12.45">
      <c r="G21" s="201"/>
    </row>
    <row r="22" spans="2:9" s="22" customFormat="1" ht="23.25" customHeight="1"/>
    <row r="23" spans="2:9" s="22" customFormat="1" ht="30.8" customHeight="1"/>
    <row r="24" spans="2:9" s="22" customFormat="1" ht="44.2" customHeight="1"/>
    <row r="25" spans="2:9" s="22" customFormat="1" ht="29.95" customHeight="1"/>
    <row r="26" spans="2:9" s="22" customFormat="1" ht="21.8" customHeight="1"/>
    <row r="27" spans="2:9" s="22" customFormat="1" ht="17.2" customHeight="1"/>
    <row r="28" spans="2:9" s="22" customFormat="1" ht="44.2" customHeight="1"/>
    <row r="29" spans="2:9" s="22" customFormat="1" ht="20.95" customHeight="1"/>
    <row r="30" spans="2:9" s="22" customFormat="1" ht="12.45"/>
    <row r="31" spans="2:9" s="22" customFormat="1" ht="12.45">
      <c r="B31" s="1"/>
    </row>
    <row r="32" spans="2:9" ht="14.1" customHeight="1">
      <c r="B32" s="202"/>
    </row>
    <row r="33" spans="7:7" ht="20.45" customHeight="1"/>
    <row r="34" spans="7:7" ht="61.55" customHeight="1"/>
    <row r="35" spans="7:7" ht="61.55" customHeight="1"/>
    <row r="36" spans="7:7" ht="61.55" customHeight="1"/>
    <row r="37" spans="7:7" ht="61.55" customHeight="1"/>
    <row r="38" spans="7:7">
      <c r="G38" s="6"/>
    </row>
    <row r="39" spans="7:7" ht="55.5" customHeight="1">
      <c r="G39" s="6"/>
    </row>
    <row r="40" spans="7:7">
      <c r="G40" s="6"/>
    </row>
    <row r="41" spans="7:7">
      <c r="G41" s="6"/>
    </row>
    <row r="42" spans="7:7">
      <c r="G42" s="6"/>
    </row>
    <row r="49" ht="13.75" customHeight="1"/>
    <row r="50" ht="13.75" customHeight="1"/>
    <row r="51" ht="13.75" customHeight="1"/>
    <row r="52" ht="13.75" customHeight="1"/>
    <row r="53" ht="12.8" customHeight="1"/>
    <row r="54" ht="12.8" customHeight="1"/>
    <row r="55" ht="15.05" customHeight="1"/>
    <row r="56" ht="15.05" customHeight="1"/>
    <row r="57" ht="15.05" customHeight="1"/>
    <row r="58" ht="15.05" customHeight="1"/>
    <row r="59" ht="15.05" customHeight="1"/>
    <row r="60" ht="15.05" customHeight="1"/>
    <row r="61" ht="15.05" customHeight="1"/>
    <row r="62" ht="15.05" customHeight="1"/>
    <row r="63" ht="15.05" customHeight="1"/>
    <row r="64" ht="15.05" customHeight="1"/>
    <row r="65" spans="13:13" ht="15.05" customHeight="1"/>
    <row r="66" spans="13:13" ht="15.05" customHeight="1"/>
    <row r="67" spans="13:13" ht="15.05" customHeight="1"/>
    <row r="68" spans="13:13" ht="15.05" customHeight="1"/>
    <row r="69" spans="13:13" ht="15.05" customHeight="1"/>
    <row r="70" spans="13:13" ht="15.05" customHeight="1"/>
    <row r="71" spans="13:13" ht="15.05" customHeight="1"/>
    <row r="72" spans="13:13" ht="15.05" customHeight="1"/>
    <row r="73" spans="13:13" ht="15.05" customHeight="1">
      <c r="M73" s="7"/>
    </row>
    <row r="74" spans="13:13" ht="15.05" customHeight="1">
      <c r="M74" s="7"/>
    </row>
    <row r="75" spans="13:13" ht="15.05" customHeight="1">
      <c r="M75" s="7"/>
    </row>
    <row r="76" spans="13:13" ht="15.05" customHeight="1">
      <c r="M76" s="7"/>
    </row>
    <row r="77" spans="13:13" ht="15.05" customHeight="1">
      <c r="M77" s="7"/>
    </row>
    <row r="78" spans="13:13" ht="15.05" customHeight="1">
      <c r="M78" s="7"/>
    </row>
    <row r="79" spans="13:13" ht="15.05" customHeight="1">
      <c r="M79" s="7"/>
    </row>
    <row r="80" spans="13:13" ht="15.05" customHeight="1"/>
    <row r="81" ht="15.05" customHeight="1"/>
    <row r="82" ht="15.05" customHeight="1"/>
    <row r="83" ht="15.05" customHeight="1"/>
    <row r="84" ht="15.05" customHeight="1"/>
    <row r="85" ht="15.05" customHeight="1"/>
    <row r="86" ht="15.05" customHeight="1"/>
    <row r="87" ht="15.05" customHeight="1"/>
    <row r="88" ht="15.05" customHeight="1"/>
    <row r="89" ht="15.05" customHeight="1"/>
    <row r="90" ht="15.05" customHeight="1"/>
    <row r="91" ht="15.05" customHeight="1"/>
    <row r="92" ht="15.05" customHeight="1"/>
    <row r="93" ht="15.05" customHeight="1"/>
  </sheetData>
  <mergeCells count="6">
    <mergeCell ref="B20:H20"/>
    <mergeCell ref="B19:I19"/>
    <mergeCell ref="B1:J1"/>
    <mergeCell ref="B3:I3"/>
    <mergeCell ref="B4:I4"/>
    <mergeCell ref="B5:I5"/>
  </mergeCells>
  <printOptions horizontalCentered="1"/>
  <pageMargins left="0.59055118110236227" right="0.59055118110236227" top="0.62992125984251968" bottom="0.78740157480314965" header="0.51181102362204722" footer="0.59055118110236227"/>
  <pageSetup paperSize="126" scale="71"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X30"/>
  <sheetViews>
    <sheetView zoomScale="80" zoomScaleNormal="80" workbookViewId="0">
      <selection activeCell="P7" sqref="P7"/>
    </sheetView>
  </sheetViews>
  <sheetFormatPr baseColWidth="10" defaultColWidth="5.9140625" defaultRowHeight="17.7"/>
  <cols>
    <col min="1" max="1" width="1.25" customWidth="1"/>
    <col min="2" max="2" width="12.33203125" customWidth="1"/>
    <col min="3" max="3" width="8" customWidth="1"/>
    <col min="4" max="6" width="6.33203125" customWidth="1"/>
    <col min="7" max="7" width="6.75" customWidth="1"/>
    <col min="8" max="12" width="6.33203125" customWidth="1"/>
    <col min="13" max="13" width="6.83203125" bestFit="1" customWidth="1"/>
    <col min="14" max="14" width="6.6640625" customWidth="1"/>
    <col min="15" max="15" width="8.83203125" bestFit="1" customWidth="1"/>
    <col min="16" max="16" width="6.33203125" bestFit="1" customWidth="1"/>
  </cols>
  <sheetData>
    <row r="1" spans="2:23">
      <c r="B1" s="813" t="s">
        <v>116</v>
      </c>
      <c r="C1" s="813"/>
      <c r="D1" s="813"/>
      <c r="E1" s="813"/>
      <c r="F1" s="813"/>
      <c r="G1" s="813"/>
      <c r="H1" s="813"/>
      <c r="I1" s="813"/>
      <c r="J1" s="813"/>
      <c r="K1" s="813"/>
      <c r="L1" s="813"/>
      <c r="M1" s="813"/>
      <c r="N1" s="813"/>
    </row>
    <row r="2" spans="2:23">
      <c r="B2" s="31"/>
      <c r="C2" s="31"/>
      <c r="D2" s="31"/>
      <c r="E2" s="31"/>
      <c r="F2" s="31"/>
      <c r="G2" s="31"/>
      <c r="H2" s="31"/>
      <c r="I2" s="31"/>
      <c r="J2" s="31"/>
      <c r="K2" s="31"/>
      <c r="L2" s="31"/>
      <c r="M2" s="31"/>
      <c r="N2" s="31"/>
    </row>
    <row r="3" spans="2:23" ht="20.3" customHeight="1">
      <c r="B3" s="814" t="s">
        <v>27</v>
      </c>
      <c r="C3" s="814"/>
      <c r="D3" s="814"/>
      <c r="E3" s="814"/>
      <c r="F3" s="814"/>
      <c r="G3" s="814"/>
      <c r="H3" s="814"/>
      <c r="I3" s="814"/>
      <c r="J3" s="814"/>
      <c r="K3" s="814"/>
      <c r="L3" s="814"/>
      <c r="M3" s="814"/>
      <c r="N3" s="814"/>
    </row>
    <row r="4" spans="2:23" ht="17.7" customHeight="1">
      <c r="B4" s="815" t="s">
        <v>774</v>
      </c>
      <c r="C4" s="815"/>
      <c r="D4" s="815"/>
      <c r="E4" s="815"/>
      <c r="F4" s="815"/>
      <c r="G4" s="815"/>
      <c r="H4" s="815"/>
      <c r="I4" s="815"/>
      <c r="J4" s="815"/>
      <c r="K4" s="815"/>
      <c r="L4" s="815"/>
      <c r="M4" s="815"/>
      <c r="N4" s="815"/>
    </row>
    <row r="5" spans="2:23" ht="29.95" customHeight="1">
      <c r="B5" s="449" t="s">
        <v>117</v>
      </c>
      <c r="C5" s="100" t="s">
        <v>118</v>
      </c>
      <c r="D5" s="100" t="s">
        <v>119</v>
      </c>
      <c r="E5" s="100" t="s">
        <v>120</v>
      </c>
      <c r="F5" s="100" t="s">
        <v>121</v>
      </c>
      <c r="G5" s="100" t="s">
        <v>122</v>
      </c>
      <c r="H5" s="100" t="s">
        <v>123</v>
      </c>
      <c r="I5" s="100" t="s">
        <v>124</v>
      </c>
      <c r="J5" s="100" t="s">
        <v>125</v>
      </c>
      <c r="K5" s="100" t="s">
        <v>126</v>
      </c>
      <c r="L5" s="100" t="s">
        <v>127</v>
      </c>
      <c r="M5" s="100" t="s">
        <v>128</v>
      </c>
      <c r="N5" s="100" t="s">
        <v>129</v>
      </c>
    </row>
    <row r="6" spans="2:23" ht="18" customHeight="1">
      <c r="B6" s="811" t="s">
        <v>745</v>
      </c>
      <c r="C6" s="811"/>
      <c r="D6" s="811"/>
      <c r="E6" s="811"/>
      <c r="F6" s="811"/>
      <c r="G6" s="811"/>
      <c r="H6" s="811"/>
      <c r="I6" s="811"/>
      <c r="J6" s="811"/>
      <c r="K6" s="811"/>
      <c r="L6" s="811"/>
      <c r="M6" s="811"/>
      <c r="N6" s="811"/>
    </row>
    <row r="7" spans="2:23">
      <c r="B7" s="316" t="s">
        <v>92</v>
      </c>
      <c r="C7" s="628">
        <v>3.97</v>
      </c>
      <c r="D7" s="628">
        <v>4.37</v>
      </c>
      <c r="E7" s="628">
        <v>3.51</v>
      </c>
      <c r="F7" s="628">
        <v>16.04</v>
      </c>
      <c r="G7" s="628">
        <v>4.22</v>
      </c>
      <c r="H7" s="628">
        <v>14.39</v>
      </c>
      <c r="I7" s="628">
        <v>2.9</v>
      </c>
      <c r="J7" s="628">
        <v>15.5</v>
      </c>
      <c r="K7" s="628">
        <v>138.82</v>
      </c>
      <c r="L7" s="628">
        <v>9.5</v>
      </c>
      <c r="M7" s="628">
        <v>271.44</v>
      </c>
      <c r="N7" s="628">
        <v>132.62</v>
      </c>
      <c r="O7" s="225"/>
      <c r="P7" s="527"/>
      <c r="Q7" t="s">
        <v>97</v>
      </c>
    </row>
    <row r="8" spans="2:23">
      <c r="B8" s="316" t="s">
        <v>93</v>
      </c>
      <c r="C8" s="628">
        <v>15.85</v>
      </c>
      <c r="D8" s="628">
        <v>26</v>
      </c>
      <c r="E8" s="628">
        <v>31.95</v>
      </c>
      <c r="F8" s="628">
        <v>134.87</v>
      </c>
      <c r="G8" s="628">
        <v>12.11</v>
      </c>
      <c r="H8" s="628">
        <v>91.5</v>
      </c>
      <c r="I8" s="628">
        <v>23</v>
      </c>
      <c r="J8" s="628">
        <v>49.31</v>
      </c>
      <c r="K8" s="628">
        <v>136.59</v>
      </c>
      <c r="L8" s="628">
        <v>110.55</v>
      </c>
      <c r="M8" s="628">
        <v>789.67</v>
      </c>
      <c r="N8" s="628">
        <v>653.08000000000004</v>
      </c>
      <c r="O8" s="225"/>
      <c r="P8" s="527"/>
    </row>
    <row r="9" spans="2:23">
      <c r="B9" s="316" t="s">
        <v>130</v>
      </c>
      <c r="C9" s="628">
        <v>0</v>
      </c>
      <c r="D9" s="628">
        <v>0.2</v>
      </c>
      <c r="E9" s="628">
        <v>0.56000000000000005</v>
      </c>
      <c r="F9" s="628">
        <v>13</v>
      </c>
      <c r="G9" s="628">
        <v>2.5</v>
      </c>
      <c r="H9" s="628">
        <v>0.3</v>
      </c>
      <c r="I9" s="628">
        <v>7.0000000000000007E-2</v>
      </c>
      <c r="J9" s="628">
        <v>3.76</v>
      </c>
      <c r="K9" s="628">
        <v>13.64</v>
      </c>
      <c r="L9" s="628">
        <v>0.14000000000000001</v>
      </c>
      <c r="M9" s="628">
        <v>220.37</v>
      </c>
      <c r="N9" s="628">
        <v>206.73</v>
      </c>
      <c r="O9" s="225"/>
      <c r="P9" s="527"/>
    </row>
    <row r="10" spans="2:23">
      <c r="B10" s="316" t="s">
        <v>94</v>
      </c>
      <c r="C10" s="628">
        <v>7.05</v>
      </c>
      <c r="D10" s="628">
        <v>7</v>
      </c>
      <c r="E10" s="628">
        <v>9.1999999999999993</v>
      </c>
      <c r="F10" s="628">
        <v>111</v>
      </c>
      <c r="G10" s="628">
        <v>7.5</v>
      </c>
      <c r="H10" s="628">
        <v>40.5</v>
      </c>
      <c r="I10" s="628">
        <v>6.8</v>
      </c>
      <c r="J10" s="628">
        <v>30.23</v>
      </c>
      <c r="K10" s="628">
        <v>153.5</v>
      </c>
      <c r="L10" s="628">
        <v>112.36</v>
      </c>
      <c r="M10" s="628">
        <v>798.75</v>
      </c>
      <c r="N10" s="628">
        <v>645.25</v>
      </c>
      <c r="O10" s="225"/>
      <c r="P10" s="527"/>
    </row>
    <row r="11" spans="2:23">
      <c r="B11" s="316" t="s">
        <v>95</v>
      </c>
      <c r="C11" s="628">
        <v>8.1999999999999993</v>
      </c>
      <c r="D11" s="628">
        <v>20</v>
      </c>
      <c r="E11" s="628">
        <v>25</v>
      </c>
      <c r="F11" s="628">
        <v>37.5</v>
      </c>
      <c r="G11" s="628">
        <v>8.5</v>
      </c>
      <c r="H11" s="628">
        <v>55.5</v>
      </c>
      <c r="I11" s="628">
        <v>18.399999999999999</v>
      </c>
      <c r="J11" s="628">
        <v>19.239999999999998</v>
      </c>
      <c r="K11" s="628">
        <v>1.04</v>
      </c>
      <c r="L11" s="628">
        <v>0.34</v>
      </c>
      <c r="M11" s="628">
        <v>220.8</v>
      </c>
      <c r="N11" s="628">
        <v>219.76</v>
      </c>
      <c r="O11" s="225"/>
      <c r="P11" s="555"/>
    </row>
    <row r="12" spans="2:23">
      <c r="B12" s="481" t="s">
        <v>103</v>
      </c>
      <c r="C12" s="628">
        <v>4.57</v>
      </c>
      <c r="D12" s="628">
        <v>3.57</v>
      </c>
      <c r="E12" s="628">
        <v>1.83</v>
      </c>
      <c r="F12" s="628">
        <v>15.4</v>
      </c>
      <c r="G12" s="628">
        <v>2.83</v>
      </c>
      <c r="H12" s="628">
        <v>10.19</v>
      </c>
      <c r="I12" s="628">
        <v>0.77</v>
      </c>
      <c r="J12" s="628">
        <v>19.11</v>
      </c>
      <c r="K12" s="628">
        <v>134.5</v>
      </c>
      <c r="L12" s="628">
        <v>7.5</v>
      </c>
      <c r="M12" s="628">
        <v>262.36</v>
      </c>
      <c r="N12" s="628">
        <v>127.86</v>
      </c>
      <c r="O12" s="225"/>
      <c r="P12" s="528"/>
      <c r="Q12" s="89"/>
      <c r="R12" s="89"/>
      <c r="S12" s="89"/>
      <c r="T12" s="89"/>
      <c r="U12" s="89"/>
      <c r="V12" s="89"/>
      <c r="W12" s="89"/>
    </row>
    <row r="13" spans="2:23" ht="18" customHeight="1">
      <c r="B13" s="811" t="s">
        <v>746</v>
      </c>
      <c r="C13" s="812"/>
      <c r="D13" s="812"/>
      <c r="E13" s="812"/>
      <c r="F13" s="812"/>
      <c r="G13" s="812"/>
      <c r="H13" s="812"/>
      <c r="I13" s="812"/>
      <c r="J13" s="812"/>
      <c r="K13" s="812"/>
      <c r="L13" s="812"/>
      <c r="M13" s="812"/>
      <c r="N13" s="811"/>
      <c r="O13" s="225"/>
      <c r="Q13" t="s">
        <v>97</v>
      </c>
    </row>
    <row r="14" spans="2:23">
      <c r="B14" s="316" t="s">
        <v>92</v>
      </c>
      <c r="C14" s="628">
        <v>4.57</v>
      </c>
      <c r="D14" s="628">
        <v>3.57</v>
      </c>
      <c r="E14" s="628">
        <v>1.83</v>
      </c>
      <c r="F14" s="628">
        <v>15.4</v>
      </c>
      <c r="G14" s="628">
        <v>2.83</v>
      </c>
      <c r="H14" s="628">
        <v>10.19</v>
      </c>
      <c r="I14" s="628">
        <v>0.77</v>
      </c>
      <c r="J14" s="628">
        <v>19.11</v>
      </c>
      <c r="K14" s="628">
        <v>134.5</v>
      </c>
      <c r="L14" s="628">
        <v>7.5</v>
      </c>
      <c r="M14" s="628">
        <v>262.36</v>
      </c>
      <c r="N14" s="628">
        <v>127.86</v>
      </c>
      <c r="O14" s="89"/>
      <c r="P14" s="89"/>
      <c r="Q14" s="89"/>
      <c r="R14" s="89"/>
      <c r="S14" s="89"/>
      <c r="T14" s="89"/>
      <c r="U14" s="89"/>
      <c r="V14" s="89"/>
      <c r="W14" s="89"/>
    </row>
    <row r="15" spans="2:23" ht="15.75" customHeight="1">
      <c r="B15" s="316" t="s">
        <v>93</v>
      </c>
      <c r="C15" s="628">
        <v>18</v>
      </c>
      <c r="D15" s="628">
        <v>30</v>
      </c>
      <c r="E15" s="628">
        <v>35</v>
      </c>
      <c r="F15" s="628">
        <v>128</v>
      </c>
      <c r="G15" s="628">
        <v>16</v>
      </c>
      <c r="H15" s="628">
        <v>83</v>
      </c>
      <c r="I15" s="628">
        <v>21.6</v>
      </c>
      <c r="J15" s="628">
        <v>53.93</v>
      </c>
      <c r="K15" s="628">
        <v>140</v>
      </c>
      <c r="L15" s="628">
        <v>114</v>
      </c>
      <c r="M15" s="628">
        <v>798.28</v>
      </c>
      <c r="N15" s="628">
        <v>658.28</v>
      </c>
      <c r="O15" s="89"/>
      <c r="P15" s="89"/>
      <c r="Q15" s="89"/>
      <c r="R15" s="89" t="s">
        <v>97</v>
      </c>
      <c r="S15" s="89"/>
      <c r="T15" s="89"/>
      <c r="U15" s="89"/>
      <c r="V15" s="89"/>
      <c r="W15" s="89"/>
    </row>
    <row r="16" spans="2:23" ht="15.75" customHeight="1">
      <c r="B16" s="316" t="s">
        <v>130</v>
      </c>
      <c r="C16" s="628">
        <v>0.01</v>
      </c>
      <c r="D16" s="628">
        <v>0.2</v>
      </c>
      <c r="E16" s="628">
        <v>0.55000000000000004</v>
      </c>
      <c r="F16" s="628">
        <v>11</v>
      </c>
      <c r="G16" s="628">
        <v>1</v>
      </c>
      <c r="H16" s="628">
        <v>0.3</v>
      </c>
      <c r="I16" s="628">
        <v>0.08</v>
      </c>
      <c r="J16" s="628">
        <v>2.86</v>
      </c>
      <c r="K16" s="628">
        <v>12</v>
      </c>
      <c r="L16" s="628">
        <v>0.3</v>
      </c>
      <c r="M16" s="628">
        <v>208.4</v>
      </c>
      <c r="N16" s="628">
        <v>196.4</v>
      </c>
      <c r="O16" s="89"/>
      <c r="P16" s="89"/>
      <c r="Q16" s="89"/>
      <c r="R16" s="89"/>
      <c r="S16" s="89"/>
      <c r="T16" s="89"/>
      <c r="U16" s="89"/>
      <c r="V16" s="89"/>
      <c r="W16" s="89"/>
    </row>
    <row r="17" spans="2:24" ht="15.75" customHeight="1">
      <c r="B17" s="316" t="s">
        <v>94</v>
      </c>
      <c r="C17" s="628">
        <v>7.05</v>
      </c>
      <c r="D17" s="628">
        <v>7</v>
      </c>
      <c r="E17" s="628">
        <v>9.3000000000000007</v>
      </c>
      <c r="F17" s="628">
        <v>110.25</v>
      </c>
      <c r="G17" s="628">
        <v>7</v>
      </c>
      <c r="H17" s="628">
        <v>38.75</v>
      </c>
      <c r="I17" s="628">
        <v>7.4</v>
      </c>
      <c r="J17" s="628">
        <v>30.92</v>
      </c>
      <c r="K17" s="628">
        <v>151</v>
      </c>
      <c r="L17" s="628">
        <v>113</v>
      </c>
      <c r="M17" s="628">
        <v>804.02</v>
      </c>
      <c r="N17" s="628">
        <v>653.02</v>
      </c>
      <c r="O17" s="89"/>
      <c r="P17" s="89"/>
      <c r="Q17" s="89"/>
      <c r="R17" s="89"/>
      <c r="S17" s="89"/>
      <c r="T17" s="89"/>
      <c r="U17" s="89"/>
      <c r="V17" s="89"/>
      <c r="W17" s="89"/>
      <c r="X17" s="89"/>
    </row>
    <row r="18" spans="2:24" ht="15.75" customHeight="1">
      <c r="B18" s="316" t="s">
        <v>95</v>
      </c>
      <c r="C18" s="628">
        <v>11.5</v>
      </c>
      <c r="D18" s="628">
        <v>23</v>
      </c>
      <c r="E18" s="628">
        <v>25</v>
      </c>
      <c r="F18" s="628">
        <v>34</v>
      </c>
      <c r="G18" s="628">
        <v>10.5</v>
      </c>
      <c r="H18" s="628">
        <v>48</v>
      </c>
      <c r="I18" s="628">
        <v>14</v>
      </c>
      <c r="J18" s="628">
        <v>22.45</v>
      </c>
      <c r="K18" s="628">
        <v>1</v>
      </c>
      <c r="L18" s="628">
        <v>0.3</v>
      </c>
      <c r="M18" s="628">
        <v>214.86</v>
      </c>
      <c r="N18" s="628">
        <v>213.86</v>
      </c>
      <c r="O18" s="225"/>
      <c r="P18" s="555"/>
      <c r="Q18" s="89"/>
      <c r="R18" s="89"/>
      <c r="S18" s="89"/>
      <c r="T18" s="89"/>
      <c r="U18" s="89"/>
      <c r="V18" s="89"/>
      <c r="W18" s="89"/>
      <c r="X18" s="89"/>
    </row>
    <row r="19" spans="2:24" ht="15.75" customHeight="1">
      <c r="B19" s="481" t="s">
        <v>103</v>
      </c>
      <c r="C19" s="629">
        <v>4.03</v>
      </c>
      <c r="D19" s="629">
        <v>3.77</v>
      </c>
      <c r="E19" s="629">
        <v>3.08</v>
      </c>
      <c r="F19" s="629">
        <v>10.15</v>
      </c>
      <c r="G19" s="629">
        <v>2.33</v>
      </c>
      <c r="H19" s="629">
        <v>6.74</v>
      </c>
      <c r="I19" s="629">
        <v>1.05</v>
      </c>
      <c r="J19" s="629">
        <v>22.53</v>
      </c>
      <c r="K19" s="630">
        <v>134.5</v>
      </c>
      <c r="L19" s="630">
        <v>8.5</v>
      </c>
      <c r="M19" s="629">
        <v>256.62</v>
      </c>
      <c r="N19" s="629">
        <v>122.12</v>
      </c>
      <c r="O19" s="89"/>
      <c r="P19" s="385"/>
      <c r="Q19" s="89"/>
      <c r="R19" s="89"/>
      <c r="S19" s="89"/>
      <c r="T19" s="89"/>
      <c r="U19" s="89"/>
      <c r="V19" s="89"/>
      <c r="W19" s="89"/>
      <c r="X19" s="89"/>
    </row>
    <row r="20" spans="2:24">
      <c r="B20" s="332" t="s">
        <v>131</v>
      </c>
      <c r="C20" s="333"/>
      <c r="D20" s="333"/>
      <c r="E20" s="333"/>
      <c r="F20" s="333"/>
      <c r="G20" s="333"/>
      <c r="H20" s="333"/>
      <c r="I20" s="333"/>
      <c r="J20" s="333"/>
      <c r="K20" s="333"/>
      <c r="L20" s="333"/>
      <c r="M20" s="333"/>
      <c r="N20" s="334"/>
      <c r="O20" s="89"/>
      <c r="P20" s="89"/>
      <c r="Q20" s="89"/>
      <c r="R20" s="89"/>
      <c r="S20" s="89"/>
      <c r="T20" s="89"/>
      <c r="U20" s="89"/>
      <c r="V20" s="89"/>
      <c r="W20" s="89"/>
      <c r="X20" s="89"/>
    </row>
    <row r="21" spans="2:24">
      <c r="B21" s="1"/>
      <c r="C21" s="37"/>
      <c r="D21" s="37"/>
      <c r="E21" s="37"/>
      <c r="F21" s="37"/>
      <c r="G21" s="37"/>
      <c r="H21" s="37"/>
      <c r="I21" s="37"/>
      <c r="J21" s="37"/>
      <c r="K21" s="37"/>
      <c r="L21" s="37"/>
      <c r="M21" s="37"/>
      <c r="O21" s="89"/>
      <c r="P21" s="89"/>
      <c r="Q21" s="89"/>
      <c r="R21" s="89"/>
      <c r="S21" s="89"/>
      <c r="T21" s="89"/>
      <c r="U21" s="89"/>
      <c r="V21" s="89"/>
      <c r="W21" s="89"/>
      <c r="X21" s="89"/>
    </row>
    <row r="22" spans="2:24">
      <c r="C22" s="225"/>
      <c r="D22" s="89"/>
      <c r="E22" s="225"/>
      <c r="F22" s="89"/>
      <c r="G22" s="89"/>
      <c r="H22" s="89"/>
      <c r="I22" s="225"/>
      <c r="J22" s="225"/>
      <c r="K22" s="89"/>
      <c r="L22" s="89"/>
      <c r="M22" s="225"/>
      <c r="N22" s="225"/>
    </row>
    <row r="23" spans="2:24">
      <c r="C23" s="89"/>
      <c r="D23" s="89"/>
      <c r="E23" s="89"/>
      <c r="F23" s="89"/>
      <c r="G23" s="89"/>
      <c r="H23" s="89"/>
      <c r="I23" s="89"/>
      <c r="J23" s="89"/>
      <c r="K23" s="89"/>
      <c r="L23" s="89"/>
      <c r="M23" s="89"/>
    </row>
    <row r="24" spans="2:24">
      <c r="C24" s="89"/>
      <c r="D24" s="89"/>
      <c r="E24" s="89"/>
      <c r="F24" s="89"/>
      <c r="G24" s="89"/>
      <c r="H24" s="89"/>
      <c r="I24" s="89"/>
      <c r="J24" s="89"/>
      <c r="K24" s="89"/>
      <c r="L24" s="89"/>
      <c r="M24" s="89"/>
    </row>
    <row r="25" spans="2:24">
      <c r="C25" s="89"/>
      <c r="D25" s="89"/>
      <c r="E25" s="89"/>
      <c r="F25" s="89"/>
      <c r="G25" s="89"/>
      <c r="H25" s="89"/>
      <c r="I25" s="89"/>
      <c r="J25" s="89"/>
      <c r="K25" s="89"/>
      <c r="L25" s="89"/>
      <c r="M25" s="89"/>
    </row>
    <row r="26" spans="2:24">
      <c r="C26" s="89"/>
      <c r="D26" s="89"/>
      <c r="E26" s="89"/>
      <c r="F26" s="89"/>
      <c r="G26" s="89"/>
      <c r="H26" s="89"/>
      <c r="I26" s="89"/>
      <c r="J26" s="89"/>
      <c r="K26" s="89"/>
      <c r="L26" s="89"/>
      <c r="M26" s="89"/>
    </row>
    <row r="27" spans="2:24">
      <c r="C27" s="89"/>
      <c r="D27" s="89"/>
      <c r="E27" s="89"/>
      <c r="F27" s="89"/>
      <c r="G27" s="89"/>
      <c r="H27" s="89"/>
      <c r="I27" s="89"/>
      <c r="J27" s="89"/>
      <c r="K27" s="89"/>
      <c r="L27" s="89"/>
      <c r="M27" s="89"/>
    </row>
    <row r="28" spans="2:24">
      <c r="C28" s="89"/>
      <c r="D28" s="89"/>
      <c r="E28" s="89"/>
      <c r="F28" s="89"/>
      <c r="G28" s="89"/>
      <c r="H28" s="89"/>
      <c r="I28" s="89"/>
      <c r="J28" s="89"/>
      <c r="K28" s="89"/>
      <c r="L28" s="89"/>
      <c r="M28" s="89"/>
    </row>
    <row r="29" spans="2:24">
      <c r="C29" s="89"/>
      <c r="D29" s="89"/>
      <c r="E29" s="89"/>
      <c r="F29" s="89"/>
      <c r="G29" s="89"/>
      <c r="H29" s="89"/>
      <c r="I29" s="89"/>
      <c r="J29" s="89"/>
      <c r="K29" s="89"/>
      <c r="L29" s="89"/>
      <c r="M29" s="89"/>
    </row>
    <row r="30" spans="2:24">
      <c r="C30" s="89"/>
      <c r="D30" s="89"/>
      <c r="E30" s="89"/>
      <c r="F30" s="89"/>
      <c r="G30" s="89"/>
      <c r="H30" s="89"/>
      <c r="I30" s="89"/>
      <c r="J30" s="89"/>
      <c r="K30" s="89"/>
      <c r="L30" s="89"/>
      <c r="M30" s="89"/>
    </row>
  </sheetData>
  <mergeCells count="5">
    <mergeCell ref="B13:N13"/>
    <mergeCell ref="B6:N6"/>
    <mergeCell ref="B1:N1"/>
    <mergeCell ref="B3:N3"/>
    <mergeCell ref="B4:N4"/>
  </mergeCells>
  <pageMargins left="0.70866141732283472" right="0.70866141732283472" top="0.74803149606299213" bottom="0.74803149606299213" header="0.31496062992125984" footer="0.31496062992125984"/>
  <pageSetup paperSize="126" scale="96" orientation="landscape" r:id="rId1"/>
  <headerFooter>
    <oddFooter>&amp;C&amp;10 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J88"/>
  <sheetViews>
    <sheetView zoomScaleNormal="100" zoomScaleSheetLayoutView="75" workbookViewId="0">
      <selection activeCell="I19" sqref="I19"/>
    </sheetView>
  </sheetViews>
  <sheetFormatPr baseColWidth="10" defaultColWidth="10.9140625" defaultRowHeight="11.8"/>
  <cols>
    <col min="1" max="1" width="1.4140625" style="1" customWidth="1"/>
    <col min="2" max="2" width="13.4140625" style="1" customWidth="1"/>
    <col min="3" max="3" width="7.4140625" style="1" customWidth="1"/>
    <col min="4" max="4" width="7.08203125" style="1" customWidth="1"/>
    <col min="5" max="5" width="6.1640625" style="1" bestFit="1" customWidth="1"/>
    <col min="6" max="6" width="5.9140625" style="1" customWidth="1"/>
    <col min="7" max="7" width="4.25" style="1" customWidth="1"/>
    <col min="8" max="8" width="5.6640625" style="1" customWidth="1"/>
    <col min="9" max="16384" width="10.9140625" style="1"/>
  </cols>
  <sheetData>
    <row r="1" spans="2:9" s="15" customFormat="1" ht="13.1">
      <c r="B1" s="791" t="s">
        <v>238</v>
      </c>
      <c r="C1" s="791"/>
      <c r="D1" s="791"/>
      <c r="E1" s="791"/>
      <c r="F1" s="791"/>
      <c r="G1" s="791"/>
    </row>
    <row r="2" spans="2:9" s="15" customFormat="1" ht="13.1">
      <c r="B2" s="17"/>
      <c r="C2" s="17"/>
      <c r="D2" s="17"/>
    </row>
    <row r="3" spans="2:9" s="15" customFormat="1" ht="31.75" customHeight="1">
      <c r="B3" s="898" t="s">
        <v>657</v>
      </c>
      <c r="C3" s="898"/>
      <c r="D3" s="898"/>
      <c r="E3" s="898"/>
      <c r="F3" s="898"/>
      <c r="G3" s="898"/>
    </row>
    <row r="4" spans="2:9" s="15" customFormat="1" ht="13.1">
      <c r="B4" s="808" t="s">
        <v>658</v>
      </c>
      <c r="C4" s="808"/>
      <c r="D4" s="808"/>
      <c r="E4" s="808"/>
      <c r="F4" s="808"/>
      <c r="G4" s="808"/>
    </row>
    <row r="5" spans="2:9" s="22" customFormat="1" ht="31.75" customHeight="1">
      <c r="B5" s="1023" t="s">
        <v>479</v>
      </c>
      <c r="C5" s="911" t="s">
        <v>659</v>
      </c>
      <c r="D5" s="912"/>
      <c r="E5" s="912"/>
      <c r="F5" s="912"/>
      <c r="G5" s="913"/>
    </row>
    <row r="6" spans="2:9" s="22" customFormat="1" ht="17.2" customHeight="1">
      <c r="B6" s="1023"/>
      <c r="C6" s="194">
        <v>2020</v>
      </c>
      <c r="D6" s="194">
        <v>2021</v>
      </c>
      <c r="E6" s="194">
        <v>2022</v>
      </c>
      <c r="F6" s="194">
        <v>2023</v>
      </c>
      <c r="G6" s="194">
        <v>2024</v>
      </c>
      <c r="H6" s="61"/>
    </row>
    <row r="7" spans="2:9" s="22" customFormat="1" ht="15.75" customHeight="1">
      <c r="B7" s="51" t="s">
        <v>212</v>
      </c>
      <c r="C7" s="352"/>
      <c r="D7" s="352"/>
      <c r="E7" s="45"/>
      <c r="F7" s="45"/>
      <c r="G7" s="45"/>
      <c r="H7" s="61"/>
    </row>
    <row r="8" spans="2:9" s="22" customFormat="1" ht="15.75" customHeight="1">
      <c r="B8" s="51" t="s">
        <v>213</v>
      </c>
      <c r="C8" s="353"/>
      <c r="D8" s="352"/>
      <c r="E8" s="45"/>
      <c r="F8" s="45"/>
      <c r="G8" s="45"/>
      <c r="H8" s="61"/>
      <c r="I8" s="22" t="s">
        <v>97</v>
      </c>
    </row>
    <row r="9" spans="2:9" s="22" customFormat="1" ht="15.75" customHeight="1">
      <c r="B9" s="51" t="s">
        <v>214</v>
      </c>
      <c r="C9" s="352">
        <v>229.32407407407405</v>
      </c>
      <c r="D9" s="352">
        <v>233</v>
      </c>
      <c r="E9" s="352"/>
      <c r="F9" s="352"/>
      <c r="G9" s="352">
        <v>400.065</v>
      </c>
      <c r="H9" s="61"/>
    </row>
    <row r="10" spans="2:9" s="22" customFormat="1" ht="15.75" customHeight="1">
      <c r="B10" s="51" t="s">
        <v>215</v>
      </c>
      <c r="C10" s="352">
        <v>237.88888888888886</v>
      </c>
      <c r="D10" s="352">
        <v>230.63333333333333</v>
      </c>
      <c r="E10" s="352">
        <v>258.36666666666662</v>
      </c>
      <c r="F10" s="352">
        <v>299.56666666666666</v>
      </c>
      <c r="G10" s="352">
        <v>406.97050000000002</v>
      </c>
      <c r="H10" s="11"/>
      <c r="I10" s="22" t="s">
        <v>97</v>
      </c>
    </row>
    <row r="11" spans="2:9" s="22" customFormat="1" ht="15.75" customHeight="1">
      <c r="B11" s="51" t="s">
        <v>216</v>
      </c>
      <c r="C11" s="352">
        <v>236.88172043010749</v>
      </c>
      <c r="D11" s="352">
        <v>225.38709677419357</v>
      </c>
      <c r="E11" s="352">
        <v>266.7634408602151</v>
      </c>
      <c r="F11" s="352">
        <v>293.55913978494618</v>
      </c>
      <c r="G11" s="352">
        <v>420.4457692307692</v>
      </c>
      <c r="H11" s="11"/>
    </row>
    <row r="12" spans="2:9" s="22" customFormat="1" ht="15.75" customHeight="1">
      <c r="B12" s="51" t="s">
        <v>217</v>
      </c>
      <c r="C12" s="352">
        <v>228.21666666666667</v>
      </c>
      <c r="D12" s="352">
        <v>227.43333333333331</v>
      </c>
      <c r="E12" s="352">
        <v>257.13333333333327</v>
      </c>
      <c r="F12" s="352">
        <v>283.25916666666666</v>
      </c>
      <c r="G12" s="352">
        <v>426.28266666666673</v>
      </c>
      <c r="H12" s="11"/>
      <c r="I12" s="661"/>
    </row>
    <row r="13" spans="2:9" s="22" customFormat="1" ht="15.75" customHeight="1">
      <c r="B13" s="51" t="s">
        <v>218</v>
      </c>
      <c r="C13" s="352">
        <v>235.42307692307691</v>
      </c>
      <c r="D13" s="352">
        <v>228</v>
      </c>
      <c r="E13" s="352">
        <v>278.38064516129032</v>
      </c>
      <c r="F13" s="352">
        <v>288.99370967741936</v>
      </c>
      <c r="G13" s="352">
        <v>436.48500000000001</v>
      </c>
      <c r="H13" s="225"/>
    </row>
    <row r="14" spans="2:9" s="22" customFormat="1" ht="15.75" customHeight="1">
      <c r="B14" s="51" t="s">
        <v>219</v>
      </c>
      <c r="C14" s="352">
        <v>229</v>
      </c>
      <c r="D14" s="352">
        <v>235.7</v>
      </c>
      <c r="E14" s="352">
        <v>269.04032258064512</v>
      </c>
      <c r="F14" s="352">
        <v>333.45870967741934</v>
      </c>
      <c r="G14" s="352"/>
      <c r="H14" s="365"/>
    </row>
    <row r="15" spans="2:9" s="22" customFormat="1" ht="15.75" customHeight="1">
      <c r="B15" s="51" t="s">
        <v>220</v>
      </c>
      <c r="C15" s="352"/>
      <c r="D15" s="352"/>
      <c r="E15" s="352">
        <v>263</v>
      </c>
      <c r="F15" s="352">
        <v>371.78266666666673</v>
      </c>
      <c r="G15" s="352"/>
      <c r="H15" s="61"/>
    </row>
    <row r="16" spans="2:9" s="22" customFormat="1" ht="15.75" customHeight="1">
      <c r="B16" s="51" t="s">
        <v>221</v>
      </c>
      <c r="C16" s="353"/>
      <c r="D16" s="352"/>
      <c r="E16" s="45"/>
      <c r="F16" s="352">
        <v>388</v>
      </c>
      <c r="G16" s="352"/>
    </row>
    <row r="17" spans="2:10" s="22" customFormat="1" ht="15.75" customHeight="1">
      <c r="B17" s="51" t="s">
        <v>206</v>
      </c>
      <c r="C17" s="352"/>
      <c r="D17" s="352"/>
      <c r="E17" s="45"/>
      <c r="F17" s="45"/>
      <c r="G17" s="45"/>
      <c r="J17" s="22" t="s">
        <v>97</v>
      </c>
    </row>
    <row r="18" spans="2:10" s="22" customFormat="1" ht="15.75" customHeight="1">
      <c r="B18" s="51" t="s">
        <v>207</v>
      </c>
      <c r="C18" s="352"/>
      <c r="D18" s="352"/>
      <c r="E18" s="45"/>
      <c r="F18" s="45"/>
      <c r="G18" s="45"/>
    </row>
    <row r="19" spans="2:10" ht="67.599999999999994" customHeight="1">
      <c r="B19" s="1075" t="s">
        <v>752</v>
      </c>
      <c r="C19" s="1075"/>
      <c r="D19" s="1075"/>
      <c r="E19" s="1075"/>
      <c r="F19" s="1075"/>
      <c r="G19" s="1075"/>
    </row>
    <row r="20" spans="2:10" ht="18" customHeight="1">
      <c r="C20" s="154"/>
      <c r="D20" s="154"/>
    </row>
    <row r="21" spans="2:10" ht="7.55" customHeight="1"/>
    <row r="22" spans="2:10" ht="24.75" customHeight="1"/>
    <row r="23" spans="2:10">
      <c r="B23" s="805"/>
      <c r="C23" s="805"/>
      <c r="D23" s="254"/>
      <c r="E23" s="204"/>
      <c r="F23" s="204"/>
      <c r="G23" s="204"/>
      <c r="H23" s="204"/>
    </row>
    <row r="24" spans="2:10" ht="12.45">
      <c r="C24" s="9"/>
      <c r="D24" s="9"/>
      <c r="E24" s="22"/>
      <c r="F24" s="22"/>
      <c r="G24" s="22"/>
      <c r="H24" s="22"/>
    </row>
    <row r="44" ht="13.75" customHeight="1"/>
    <row r="45" ht="13.75" customHeight="1"/>
    <row r="46" ht="13.75" customHeight="1"/>
    <row r="47" ht="13.75" customHeight="1"/>
    <row r="48" ht="12.8" customHeight="1"/>
    <row r="49" ht="12.8" customHeight="1"/>
    <row r="50" ht="15.05" customHeight="1"/>
    <row r="51" ht="15.05" customHeight="1"/>
    <row r="52" ht="15.05" customHeight="1"/>
    <row r="53" ht="15.05" customHeight="1"/>
    <row r="54" ht="15.05" customHeight="1"/>
    <row r="55" ht="15.05" customHeight="1"/>
    <row r="56" ht="15.05" customHeight="1"/>
    <row r="57" ht="15.05" customHeight="1"/>
    <row r="58" ht="15.05" customHeight="1"/>
    <row r="59" ht="15.05" customHeight="1"/>
    <row r="60" ht="15.05" customHeight="1"/>
    <row r="61" ht="15.05" customHeight="1"/>
    <row r="62" ht="15.05" customHeight="1"/>
    <row r="63" ht="15.05" customHeight="1"/>
    <row r="64" ht="15.05" customHeight="1"/>
    <row r="65" ht="15.05" customHeight="1"/>
    <row r="66" ht="15.05" customHeight="1"/>
    <row r="67" ht="15.05" customHeight="1"/>
    <row r="68" ht="15.05" customHeight="1"/>
    <row r="69" ht="15.05" customHeight="1"/>
    <row r="70" ht="15.05" customHeight="1"/>
    <row r="71" ht="15.05" customHeight="1"/>
    <row r="72" ht="15.05" customHeight="1"/>
    <row r="73" ht="15.05" customHeight="1"/>
    <row r="74" ht="15.05" customHeight="1"/>
    <row r="75" ht="15.05" customHeight="1"/>
    <row r="76" ht="15.05" customHeight="1"/>
    <row r="77" ht="15.05" customHeight="1"/>
    <row r="78" ht="15.05" customHeight="1"/>
    <row r="79" ht="15.05" customHeight="1"/>
    <row r="80" ht="15.05" customHeight="1"/>
    <row r="81" ht="15.05" customHeight="1"/>
    <row r="82" ht="15.05" customHeight="1"/>
    <row r="83" ht="15.05" customHeight="1"/>
    <row r="84" ht="15.05" customHeight="1"/>
    <row r="85" ht="15.05" customHeight="1"/>
    <row r="86" ht="15.05" customHeight="1"/>
    <row r="87" ht="15.05" customHeight="1"/>
    <row r="88" ht="15.05" customHeight="1"/>
  </sheetData>
  <mergeCells count="7">
    <mergeCell ref="B23:C23"/>
    <mergeCell ref="B5:B6"/>
    <mergeCell ref="C5:G5"/>
    <mergeCell ref="B1:G1"/>
    <mergeCell ref="B3:G3"/>
    <mergeCell ref="B4:G4"/>
    <mergeCell ref="B19:G19"/>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O70"/>
  <sheetViews>
    <sheetView topLeftCell="A35" zoomScale="90" zoomScaleNormal="90" zoomScaleSheetLayoutView="75" workbookViewId="0">
      <selection activeCell="M41" sqref="M41"/>
    </sheetView>
  </sheetViews>
  <sheetFormatPr baseColWidth="10" defaultColWidth="10.9140625" defaultRowHeight="11.8"/>
  <cols>
    <col min="1" max="1" width="1.33203125" style="60" customWidth="1"/>
    <col min="2" max="3" width="6.83203125" style="4" customWidth="1"/>
    <col min="4" max="4" width="8.33203125" style="1" customWidth="1"/>
    <col min="5" max="5" width="8.75" style="1" customWidth="1"/>
    <col min="6" max="6" width="8.08203125" style="1" customWidth="1"/>
    <col min="7" max="7" width="8.25" style="1" customWidth="1"/>
    <col min="8" max="8" width="7.83203125" style="1" customWidth="1"/>
    <col min="9" max="9" width="9.25" style="1" customWidth="1"/>
    <col min="10" max="10" width="1.75" style="1" customWidth="1"/>
    <col min="11" max="11" width="10.9140625" style="1"/>
    <col min="12" max="16384" width="10.9140625" style="60"/>
  </cols>
  <sheetData>
    <row r="1" spans="2:11" s="251" customFormat="1" ht="13.1">
      <c r="B1" s="791" t="s">
        <v>247</v>
      </c>
      <c r="C1" s="791"/>
      <c r="D1" s="791"/>
      <c r="E1" s="791"/>
      <c r="F1" s="791"/>
      <c r="G1" s="791"/>
      <c r="H1" s="791"/>
      <c r="I1" s="791"/>
      <c r="J1" s="18"/>
      <c r="K1" s="18"/>
    </row>
    <row r="2" spans="2:11" s="251" customFormat="1" ht="2.65" customHeight="1">
      <c r="B2" s="17"/>
      <c r="C2" s="17"/>
      <c r="D2" s="15"/>
      <c r="E2" s="15"/>
      <c r="F2" s="15"/>
      <c r="G2" s="15"/>
      <c r="H2" s="15"/>
      <c r="I2" s="15"/>
      <c r="J2" s="18"/>
      <c r="K2" s="18"/>
    </row>
    <row r="3" spans="2:11" s="251" customFormat="1" ht="13.1">
      <c r="B3" s="791" t="s">
        <v>660</v>
      </c>
      <c r="C3" s="791"/>
      <c r="D3" s="791"/>
      <c r="E3" s="791"/>
      <c r="F3" s="791"/>
      <c r="G3" s="791"/>
      <c r="H3" s="791"/>
      <c r="I3" s="791"/>
      <c r="J3" s="18"/>
      <c r="K3" s="18"/>
    </row>
    <row r="4" spans="2:11" s="251" customFormat="1" ht="13.1">
      <c r="B4" s="791" t="s">
        <v>661</v>
      </c>
      <c r="C4" s="791"/>
      <c r="D4" s="791"/>
      <c r="E4" s="791"/>
      <c r="F4" s="791"/>
      <c r="G4" s="791"/>
      <c r="H4" s="791"/>
      <c r="I4" s="791"/>
      <c r="J4" s="18"/>
      <c r="K4" s="18"/>
    </row>
    <row r="5" spans="2:11" s="251" customFormat="1" ht="71.349999999999994" customHeight="1">
      <c r="B5" s="406" t="s">
        <v>211</v>
      </c>
      <c r="C5" s="407" t="s">
        <v>662</v>
      </c>
      <c r="D5" s="407" t="s">
        <v>663</v>
      </c>
      <c r="E5" s="407" t="s">
        <v>664</v>
      </c>
      <c r="F5" s="412" t="s">
        <v>665</v>
      </c>
      <c r="G5" s="412" t="s">
        <v>666</v>
      </c>
      <c r="H5" s="412" t="s">
        <v>667</v>
      </c>
      <c r="I5" s="412" t="s">
        <v>668</v>
      </c>
      <c r="J5" s="18"/>
      <c r="K5" s="1"/>
    </row>
    <row r="6" spans="2:11" ht="15.75" customHeight="1">
      <c r="B6" s="408">
        <v>44197</v>
      </c>
      <c r="C6" s="287">
        <v>538.1</v>
      </c>
      <c r="D6" s="287">
        <v>534.45000000000005</v>
      </c>
      <c r="E6" s="287">
        <v>530.04999999999995</v>
      </c>
      <c r="F6" s="287"/>
      <c r="G6" s="287">
        <v>524.3046206835927</v>
      </c>
      <c r="H6" s="287">
        <v>296.21729982123884</v>
      </c>
      <c r="I6" s="287">
        <v>354.63184719282259</v>
      </c>
      <c r="K6" s="355"/>
    </row>
    <row r="7" spans="2:11" ht="15.75" customHeight="1">
      <c r="B7" s="408">
        <v>44228</v>
      </c>
      <c r="C7" s="287">
        <v>557.4</v>
      </c>
      <c r="D7" s="287">
        <v>553.65</v>
      </c>
      <c r="E7" s="287">
        <v>548.79999999999995</v>
      </c>
      <c r="F7" s="287"/>
      <c r="G7" s="287">
        <v>570.13865280248558</v>
      </c>
      <c r="H7" s="287">
        <v>322.11223322174328</v>
      </c>
      <c r="I7" s="287">
        <v>346.645816900304</v>
      </c>
      <c r="K7" s="355"/>
    </row>
    <row r="8" spans="2:11" ht="15.05" customHeight="1">
      <c r="B8" s="408">
        <v>44256</v>
      </c>
      <c r="C8" s="287">
        <v>530.96</v>
      </c>
      <c r="D8" s="287">
        <v>529.48</v>
      </c>
      <c r="E8" s="287">
        <v>526.70000000000005</v>
      </c>
      <c r="F8" s="287">
        <v>320.36014703250407</v>
      </c>
      <c r="G8" s="287">
        <v>575.27615541876776</v>
      </c>
      <c r="H8" s="287">
        <v>325.01477707275012</v>
      </c>
      <c r="I8" s="287">
        <v>323.65679107525546</v>
      </c>
      <c r="K8" s="355"/>
    </row>
    <row r="9" spans="2:11" ht="15.05" customHeight="1">
      <c r="B9" s="408">
        <v>44287</v>
      </c>
      <c r="C9" s="287">
        <v>499.86</v>
      </c>
      <c r="D9" s="287">
        <v>496.29</v>
      </c>
      <c r="E9" s="287">
        <v>493.62</v>
      </c>
      <c r="F9" s="287">
        <v>325.82232582232575</v>
      </c>
      <c r="G9" s="287">
        <v>595.9091176226982</v>
      </c>
      <c r="H9" s="287">
        <v>336.67181786593119</v>
      </c>
      <c r="I9" s="287">
        <v>323.81323726778271</v>
      </c>
      <c r="K9" s="355"/>
    </row>
    <row r="10" spans="2:11" ht="15.05" customHeight="1">
      <c r="B10" s="408">
        <v>44317</v>
      </c>
      <c r="C10" s="287">
        <v>493.19</v>
      </c>
      <c r="D10" s="287">
        <v>490.05</v>
      </c>
      <c r="E10" s="287">
        <v>487.57</v>
      </c>
      <c r="F10" s="287">
        <v>316.43935750174597</v>
      </c>
      <c r="G10" s="287">
        <v>550.41993363719439</v>
      </c>
      <c r="H10" s="287">
        <v>310.97171391931886</v>
      </c>
      <c r="I10" s="287">
        <v>313.9434403710859</v>
      </c>
      <c r="K10" s="355"/>
    </row>
    <row r="11" spans="2:11" ht="15.05" customHeight="1">
      <c r="B11" s="408">
        <v>44348</v>
      </c>
      <c r="C11" s="287">
        <v>474.64</v>
      </c>
      <c r="D11" s="287">
        <v>471.74</v>
      </c>
      <c r="E11" s="287">
        <v>468.5</v>
      </c>
      <c r="F11" s="287">
        <v>313.03621732228555</v>
      </c>
      <c r="G11" s="287">
        <v>628.28779953260755</v>
      </c>
      <c r="H11" s="287">
        <v>354.96485849299859</v>
      </c>
      <c r="I11" s="287">
        <v>311.01889320156727</v>
      </c>
      <c r="K11" s="355"/>
    </row>
    <row r="12" spans="2:11" ht="15.05" customHeight="1">
      <c r="B12" s="408">
        <v>44378</v>
      </c>
      <c r="C12" s="287">
        <v>420.5</v>
      </c>
      <c r="D12" s="287">
        <v>417.5</v>
      </c>
      <c r="E12" s="287">
        <v>417.05</v>
      </c>
      <c r="F12" s="287">
        <v>303.82175790203075</v>
      </c>
      <c r="G12" s="287">
        <v>590.01634891700269</v>
      </c>
      <c r="H12" s="287">
        <v>333.34257000960605</v>
      </c>
      <c r="I12" s="287">
        <v>306.60507126141908</v>
      </c>
      <c r="K12" s="355"/>
    </row>
    <row r="13" spans="2:11" ht="15.05" customHeight="1">
      <c r="B13" s="408">
        <v>44409</v>
      </c>
      <c r="C13" s="287">
        <v>402.27</v>
      </c>
      <c r="D13" s="287">
        <v>399.27</v>
      </c>
      <c r="E13" s="287">
        <v>397.14</v>
      </c>
      <c r="F13" s="287">
        <v>302.24536116845979</v>
      </c>
      <c r="G13" s="287">
        <v>602.79229418600823</v>
      </c>
      <c r="H13" s="287">
        <v>340.56061818418544</v>
      </c>
      <c r="I13" s="287">
        <v>304.83743804463126</v>
      </c>
      <c r="K13" s="355"/>
    </row>
    <row r="14" spans="2:11" ht="15.05" customHeight="1">
      <c r="B14" s="408">
        <v>44440</v>
      </c>
      <c r="C14" s="287">
        <v>400.91</v>
      </c>
      <c r="D14" s="287">
        <v>397.91</v>
      </c>
      <c r="E14" s="287">
        <v>396.14</v>
      </c>
      <c r="F14" s="287"/>
      <c r="G14" s="287">
        <v>588.77641975476865</v>
      </c>
      <c r="H14" s="287">
        <v>332.64204505919133</v>
      </c>
      <c r="I14" s="287">
        <v>300.36581890262835</v>
      </c>
      <c r="K14" s="355"/>
    </row>
    <row r="15" spans="2:11" ht="15.05" customHeight="1">
      <c r="B15" s="408">
        <v>44470</v>
      </c>
      <c r="C15" s="287">
        <v>400</v>
      </c>
      <c r="D15" s="287">
        <v>397</v>
      </c>
      <c r="E15" s="287">
        <v>396.33</v>
      </c>
      <c r="F15" s="287"/>
      <c r="G15" s="287">
        <v>565.97413856195249</v>
      </c>
      <c r="H15" s="287">
        <v>319.75940031748729</v>
      </c>
      <c r="I15" s="287">
        <v>294.88614859040638</v>
      </c>
      <c r="K15" s="355"/>
    </row>
    <row r="16" spans="2:11" ht="15.05" customHeight="1">
      <c r="B16" s="408">
        <v>44501</v>
      </c>
      <c r="C16" s="287">
        <v>400.05</v>
      </c>
      <c r="D16" s="287">
        <v>397.05</v>
      </c>
      <c r="E16" s="287">
        <v>397.09</v>
      </c>
      <c r="F16" s="287"/>
      <c r="G16" s="287">
        <v>601.55447686894615</v>
      </c>
      <c r="H16" s="287">
        <v>339.86128636663625</v>
      </c>
      <c r="I16" s="287">
        <v>274.59154525571</v>
      </c>
      <c r="K16" s="355"/>
    </row>
    <row r="17" spans="2:13" ht="15.05" customHeight="1">
      <c r="B17" s="408">
        <v>44531</v>
      </c>
      <c r="C17" s="287">
        <v>399.55</v>
      </c>
      <c r="D17" s="287">
        <v>396.82</v>
      </c>
      <c r="E17" s="287">
        <v>396.05</v>
      </c>
      <c r="F17" s="287"/>
      <c r="G17" s="287">
        <v>590.44644989820915</v>
      </c>
      <c r="H17" s="287">
        <v>333.58556491424247</v>
      </c>
      <c r="I17" s="287">
        <v>275.22231745047623</v>
      </c>
      <c r="K17" s="355"/>
    </row>
    <row r="18" spans="2:13" ht="15.05" customHeight="1">
      <c r="B18" s="408">
        <v>44562</v>
      </c>
      <c r="C18" s="287">
        <v>421.19</v>
      </c>
      <c r="D18" s="287">
        <v>418.33</v>
      </c>
      <c r="E18" s="287">
        <v>417.33</v>
      </c>
      <c r="F18" s="287"/>
      <c r="G18" s="287">
        <v>558.27043492401322</v>
      </c>
      <c r="H18" s="287">
        <v>315.40702538079842</v>
      </c>
      <c r="I18" s="287">
        <v>266.40188147517387</v>
      </c>
      <c r="K18" s="355" t="s">
        <v>97</v>
      </c>
    </row>
    <row r="19" spans="2:13" ht="15.05" customHeight="1">
      <c r="B19" s="408">
        <v>44593</v>
      </c>
      <c r="C19" s="287">
        <v>431.8</v>
      </c>
      <c r="D19" s="287">
        <v>428.8</v>
      </c>
      <c r="E19" s="287">
        <v>428.6</v>
      </c>
      <c r="F19" s="287"/>
      <c r="G19" s="287">
        <v>546.3050779635397</v>
      </c>
      <c r="H19" s="287">
        <v>308.6469367025648</v>
      </c>
      <c r="I19" s="287">
        <v>274.23891360105068</v>
      </c>
      <c r="K19" s="355"/>
    </row>
    <row r="20" spans="2:13" ht="15.05" customHeight="1">
      <c r="B20" s="408">
        <v>44621</v>
      </c>
      <c r="C20" s="287">
        <v>420.7</v>
      </c>
      <c r="D20" s="287">
        <v>417.7</v>
      </c>
      <c r="E20" s="287">
        <v>419</v>
      </c>
      <c r="F20" s="287"/>
      <c r="G20" s="287">
        <v>545.80731285261425</v>
      </c>
      <c r="H20" s="287">
        <v>308.36571347605326</v>
      </c>
      <c r="I20" s="287">
        <v>294.40171076440697</v>
      </c>
    </row>
    <row r="21" spans="2:13" ht="15.05" customHeight="1">
      <c r="B21" s="408">
        <v>44652</v>
      </c>
      <c r="C21" s="287">
        <v>429.4</v>
      </c>
      <c r="D21" s="287">
        <v>426.4</v>
      </c>
      <c r="E21" s="287">
        <v>428.5</v>
      </c>
      <c r="F21" s="287">
        <v>316.96764484574862</v>
      </c>
      <c r="G21" s="287">
        <v>549.72457402147984</v>
      </c>
      <c r="H21" s="287">
        <v>310.57885537936716</v>
      </c>
      <c r="I21" s="287">
        <v>304.41770736448223</v>
      </c>
      <c r="K21" s="355"/>
    </row>
    <row r="22" spans="2:13" ht="15.05" customHeight="1">
      <c r="B22" s="408">
        <v>44682</v>
      </c>
      <c r="C22" s="287">
        <v>460.14</v>
      </c>
      <c r="D22" s="287">
        <v>457.14</v>
      </c>
      <c r="E22" s="287">
        <v>456.95</v>
      </c>
      <c r="F22" s="287">
        <v>314.3432345565642</v>
      </c>
      <c r="G22" s="287">
        <v>564.81641387732293</v>
      </c>
      <c r="H22" s="287">
        <v>319.10531857475871</v>
      </c>
      <c r="I22" s="287">
        <v>296.43473791218946</v>
      </c>
      <c r="K22" s="545"/>
      <c r="L22" s="225"/>
      <c r="M22" s="225"/>
    </row>
    <row r="23" spans="2:13" ht="15.05" customHeight="1">
      <c r="B23" s="408">
        <v>44713</v>
      </c>
      <c r="C23" s="287">
        <v>448.77</v>
      </c>
      <c r="D23" s="287">
        <v>445.86</v>
      </c>
      <c r="E23" s="287">
        <v>446.82</v>
      </c>
      <c r="F23" s="287">
        <v>299.76955749598761</v>
      </c>
      <c r="G23" s="287">
        <v>564.44130170328856</v>
      </c>
      <c r="H23" s="287">
        <v>318.89339079281837</v>
      </c>
      <c r="I23" s="287">
        <v>294.29385089158933</v>
      </c>
      <c r="K23" s="545"/>
      <c r="L23" s="225" t="s">
        <v>97</v>
      </c>
      <c r="M23" s="225"/>
    </row>
    <row r="24" spans="2:13" ht="15.05" customHeight="1">
      <c r="B24" s="408">
        <v>44743</v>
      </c>
      <c r="C24" s="287">
        <v>419.95</v>
      </c>
      <c r="D24" s="287">
        <v>418.48</v>
      </c>
      <c r="E24" s="287">
        <v>417.24</v>
      </c>
      <c r="F24" s="287">
        <v>291.89234165657308</v>
      </c>
      <c r="G24" s="287">
        <v>577.65817942935189</v>
      </c>
      <c r="H24" s="287">
        <v>326.3605533499163</v>
      </c>
      <c r="I24" s="287">
        <v>292.0738630826794</v>
      </c>
      <c r="K24" s="545"/>
      <c r="L24" s="225"/>
      <c r="M24" s="225"/>
    </row>
    <row r="25" spans="2:13" ht="15.05" customHeight="1">
      <c r="B25" s="408">
        <v>44774</v>
      </c>
      <c r="C25" s="287">
        <v>428.48</v>
      </c>
      <c r="D25" s="287">
        <v>427.26</v>
      </c>
      <c r="E25" s="287">
        <v>424.09</v>
      </c>
      <c r="F25" s="287">
        <v>298.21142256869575</v>
      </c>
      <c r="G25" s="287">
        <v>565.39000770544385</v>
      </c>
      <c r="H25" s="287">
        <v>319.42938288443156</v>
      </c>
      <c r="I25" s="287">
        <v>295.62954788204371</v>
      </c>
      <c r="K25" s="545"/>
      <c r="L25" s="225"/>
      <c r="M25" s="225"/>
    </row>
    <row r="26" spans="2:13" ht="15.05" customHeight="1">
      <c r="B26" s="408">
        <v>44805</v>
      </c>
      <c r="C26" s="287">
        <v>437.05</v>
      </c>
      <c r="D26" s="287">
        <v>436.05</v>
      </c>
      <c r="E26" s="287">
        <v>431.27</v>
      </c>
      <c r="F26" s="287">
        <v>285.5560743097252</v>
      </c>
      <c r="G26" s="287">
        <v>567.87656219221731</v>
      </c>
      <c r="H26" s="287">
        <v>320.83421592780638</v>
      </c>
      <c r="I26" s="287">
        <v>293.76874332661924</v>
      </c>
      <c r="K26" s="545"/>
      <c r="L26" s="225"/>
      <c r="M26" s="225"/>
    </row>
    <row r="27" spans="2:13" ht="15.05" customHeight="1">
      <c r="B27" s="408">
        <v>44835</v>
      </c>
      <c r="C27" s="287">
        <v>434.19</v>
      </c>
      <c r="D27" s="287">
        <v>433.05</v>
      </c>
      <c r="E27" s="287">
        <v>429.05</v>
      </c>
      <c r="F27" s="287"/>
      <c r="G27" s="287">
        <v>557.57461723531651</v>
      </c>
      <c r="H27" s="287">
        <v>315.01390804255169</v>
      </c>
      <c r="I27" s="287">
        <v>310.54801713150471</v>
      </c>
      <c r="K27" s="545"/>
      <c r="L27" s="225"/>
      <c r="M27" s="225"/>
    </row>
    <row r="28" spans="2:13" ht="15.05" customHeight="1">
      <c r="B28" s="408">
        <v>44866</v>
      </c>
      <c r="C28" s="287">
        <v>433.05</v>
      </c>
      <c r="D28" s="287">
        <v>431.73</v>
      </c>
      <c r="E28" s="287">
        <v>428.5</v>
      </c>
      <c r="F28" s="287"/>
      <c r="G28" s="287">
        <v>569.0677477456336</v>
      </c>
      <c r="H28" s="287">
        <v>321.50720211617715</v>
      </c>
      <c r="I28" s="287">
        <v>323.75444080218722</v>
      </c>
      <c r="K28" s="545"/>
      <c r="L28" s="225"/>
      <c r="M28" s="225"/>
    </row>
    <row r="29" spans="2:13" ht="15.05" customHeight="1">
      <c r="B29" s="408">
        <v>44896</v>
      </c>
      <c r="C29" s="287">
        <v>465.64</v>
      </c>
      <c r="D29" s="287">
        <v>463.95</v>
      </c>
      <c r="E29" s="287">
        <v>459.64</v>
      </c>
      <c r="F29" s="287"/>
      <c r="G29" s="287">
        <v>595.88549157881255</v>
      </c>
      <c r="H29" s="287">
        <v>336.65846981853815</v>
      </c>
      <c r="I29" s="287">
        <v>336.86370966774791</v>
      </c>
      <c r="K29" s="545"/>
      <c r="L29" s="225"/>
      <c r="M29" s="225"/>
    </row>
    <row r="30" spans="2:13" ht="15.05" customHeight="1">
      <c r="B30" s="408">
        <v>44927</v>
      </c>
      <c r="C30" s="287">
        <v>506.86</v>
      </c>
      <c r="D30" s="287">
        <v>505.86</v>
      </c>
      <c r="E30" s="287">
        <v>501.36</v>
      </c>
      <c r="F30" s="287"/>
      <c r="G30" s="287">
        <v>581.36527935574679</v>
      </c>
      <c r="H30" s="287">
        <v>328.45496008799256</v>
      </c>
      <c r="I30" s="287">
        <v>344.82512839840126</v>
      </c>
      <c r="K30" s="545"/>
      <c r="L30" s="225"/>
      <c r="M30" s="225"/>
    </row>
    <row r="31" spans="2:13" ht="15.05" customHeight="1">
      <c r="B31" s="408">
        <v>44958</v>
      </c>
      <c r="C31" s="287">
        <v>493.75</v>
      </c>
      <c r="D31" s="287">
        <v>492</v>
      </c>
      <c r="E31" s="287">
        <v>488.21</v>
      </c>
      <c r="F31" s="287"/>
      <c r="G31" s="287">
        <v>615.18092512161468</v>
      </c>
      <c r="H31" s="287">
        <v>347.55984470147723</v>
      </c>
      <c r="I31" s="287">
        <v>346.1257737092501</v>
      </c>
      <c r="K31" s="545"/>
      <c r="L31" s="545"/>
      <c r="M31" s="545" t="s">
        <v>97</v>
      </c>
    </row>
    <row r="32" spans="2:13" ht="15.05" customHeight="1">
      <c r="B32" s="408">
        <v>44986</v>
      </c>
      <c r="C32" s="287">
        <v>474.35</v>
      </c>
      <c r="D32" s="287">
        <v>472.68</v>
      </c>
      <c r="E32" s="287">
        <v>469.74</v>
      </c>
      <c r="F32" s="287"/>
      <c r="G32" s="287">
        <v>587.77544464920493</v>
      </c>
      <c r="H32" s="287">
        <v>332.07652240068074</v>
      </c>
      <c r="I32" s="287">
        <v>348.27295803577437</v>
      </c>
      <c r="K32" s="545"/>
      <c r="L32" s="545"/>
      <c r="M32" s="545"/>
    </row>
    <row r="33" spans="2:13" ht="15.05" customHeight="1">
      <c r="B33" s="408">
        <v>45017</v>
      </c>
      <c r="C33" s="287">
        <v>500.07</v>
      </c>
      <c r="D33" s="287">
        <v>498.83</v>
      </c>
      <c r="E33" s="287">
        <v>494.2</v>
      </c>
      <c r="F33" s="287">
        <v>370.82939390923565</v>
      </c>
      <c r="G33" s="287">
        <v>592.38372991334791</v>
      </c>
      <c r="H33" s="287">
        <v>334.6800733973717</v>
      </c>
      <c r="I33" s="287">
        <v>354.30205291915456</v>
      </c>
      <c r="K33" s="545"/>
      <c r="L33" s="545"/>
      <c r="M33" s="545" t="s">
        <v>97</v>
      </c>
    </row>
    <row r="34" spans="2:13" ht="15.05" customHeight="1">
      <c r="B34" s="408">
        <v>45047</v>
      </c>
      <c r="C34" s="287">
        <v>508.48</v>
      </c>
      <c r="D34" s="287">
        <v>507.03</v>
      </c>
      <c r="E34" s="287">
        <v>501</v>
      </c>
      <c r="F34" s="287">
        <v>366.34388675802626</v>
      </c>
      <c r="G34" s="287">
        <v>606.36459782134057</v>
      </c>
      <c r="H34" s="287">
        <v>342.57886882561615</v>
      </c>
      <c r="I34" s="287">
        <v>355.54877477380393</v>
      </c>
      <c r="K34" s="545"/>
      <c r="L34" s="545"/>
      <c r="M34" s="545"/>
    </row>
    <row r="35" spans="2:13" ht="15.05" customHeight="1">
      <c r="B35" s="408">
        <v>45078</v>
      </c>
      <c r="C35" s="287">
        <v>512.16999999999996</v>
      </c>
      <c r="D35" s="287">
        <v>510.63</v>
      </c>
      <c r="E35" s="287">
        <v>503.03</v>
      </c>
      <c r="F35" s="287">
        <v>354.13150470284756</v>
      </c>
      <c r="G35" s="287">
        <v>608.1794989183212</v>
      </c>
      <c r="H35" s="287">
        <v>343.60423667701764</v>
      </c>
      <c r="I35" s="287">
        <v>355.31039242696056</v>
      </c>
      <c r="K35" s="545"/>
      <c r="L35" s="545"/>
      <c r="M35" s="545"/>
    </row>
    <row r="36" spans="2:13" ht="15.05" customHeight="1">
      <c r="B36" s="408">
        <v>45108</v>
      </c>
      <c r="C36" s="287">
        <v>536.61</v>
      </c>
      <c r="D36" s="287">
        <v>536.39</v>
      </c>
      <c r="E36" s="287">
        <v>526.39</v>
      </c>
      <c r="F36" s="287">
        <v>355.29101263513564</v>
      </c>
      <c r="G36" s="287">
        <v>629.87171397919269</v>
      </c>
      <c r="H36" s="287">
        <v>355.85972541197327</v>
      </c>
      <c r="I36" s="287">
        <v>363.80889172325686</v>
      </c>
      <c r="K36" s="545"/>
      <c r="L36" s="545"/>
      <c r="M36" s="545"/>
    </row>
    <row r="37" spans="2:13" ht="15.05" customHeight="1">
      <c r="B37" s="408">
        <v>45139</v>
      </c>
      <c r="C37" s="287">
        <v>607.80999999999995</v>
      </c>
      <c r="D37" s="287">
        <v>608.16</v>
      </c>
      <c r="E37" s="287">
        <v>599.45000000000005</v>
      </c>
      <c r="F37" s="287">
        <v>389.70935848049379</v>
      </c>
      <c r="G37" s="287">
        <v>654.16776598657998</v>
      </c>
      <c r="H37" s="287">
        <v>369.58630846699435</v>
      </c>
      <c r="I37" s="287">
        <v>401.06450255106211</v>
      </c>
      <c r="K37" s="545"/>
      <c r="L37" s="545"/>
      <c r="M37" s="545"/>
    </row>
    <row r="38" spans="2:13" ht="15.05" customHeight="1">
      <c r="B38" s="408">
        <v>45170</v>
      </c>
      <c r="C38" s="287">
        <v>626.42999999999995</v>
      </c>
      <c r="D38" s="287">
        <v>625.92999999999995</v>
      </c>
      <c r="E38" s="287">
        <v>582.47</v>
      </c>
      <c r="F38" s="287">
        <v>420.48300873879384</v>
      </c>
      <c r="G38" s="287">
        <v>650.58607227601726</v>
      </c>
      <c r="H38" s="287">
        <v>367.56275269831485</v>
      </c>
      <c r="I38" s="287">
        <v>431.58297125264079</v>
      </c>
      <c r="K38" s="545"/>
      <c r="L38" s="545"/>
      <c r="M38" s="545"/>
    </row>
    <row r="39" spans="2:13" ht="15.05" customHeight="1">
      <c r="B39" s="408">
        <v>45200</v>
      </c>
      <c r="C39" s="287">
        <v>591.9</v>
      </c>
      <c r="D39" s="287">
        <v>591.54999999999995</v>
      </c>
      <c r="E39" s="287">
        <v>578.03</v>
      </c>
      <c r="F39" s="287">
        <v>418.84816753926702</v>
      </c>
      <c r="G39" s="287">
        <v>689.42998086025307</v>
      </c>
      <c r="H39" s="287">
        <v>389.50846376285483</v>
      </c>
      <c r="I39" s="287">
        <v>444.56450356818641</v>
      </c>
      <c r="K39" s="545"/>
      <c r="L39" s="545"/>
      <c r="M39" s="545"/>
    </row>
    <row r="40" spans="2:13" ht="15.05" customHeight="1">
      <c r="B40" s="408">
        <v>45231</v>
      </c>
      <c r="C40" s="287">
        <v>591</v>
      </c>
      <c r="D40" s="287">
        <v>589.52</v>
      </c>
      <c r="E40" s="287">
        <v>578.04</v>
      </c>
      <c r="F40" s="287"/>
      <c r="G40" s="287">
        <v>714.01864562231378</v>
      </c>
      <c r="H40" s="287">
        <v>403.40036475836939</v>
      </c>
      <c r="I40" s="287">
        <v>450.41146924629879</v>
      </c>
      <c r="K40" s="545"/>
      <c r="L40" s="545"/>
      <c r="M40" s="545"/>
    </row>
    <row r="41" spans="2:13" ht="15.05" customHeight="1">
      <c r="B41" s="408">
        <v>45261</v>
      </c>
      <c r="C41" s="287">
        <v>641.32000000000005</v>
      </c>
      <c r="D41" s="287">
        <v>640.13</v>
      </c>
      <c r="E41" s="287">
        <v>623.84</v>
      </c>
      <c r="F41" s="287"/>
      <c r="G41" s="287">
        <v>684.71653860158892</v>
      </c>
      <c r="H41" s="287">
        <v>386.84550203479597</v>
      </c>
      <c r="I41" s="287">
        <v>461.52799571799699</v>
      </c>
      <c r="K41" s="545"/>
      <c r="L41" s="545"/>
      <c r="M41" s="545"/>
    </row>
    <row r="42" spans="2:13" ht="15.05" customHeight="1">
      <c r="B42" s="408">
        <v>45292</v>
      </c>
      <c r="C42" s="287">
        <v>660.4</v>
      </c>
      <c r="D42" s="287">
        <v>658.7</v>
      </c>
      <c r="E42" s="287">
        <v>639.53330000000005</v>
      </c>
      <c r="F42" s="287"/>
      <c r="G42" s="287">
        <v>683.13833141429575</v>
      </c>
      <c r="H42" s="287">
        <v>385.9538595560993</v>
      </c>
      <c r="I42" s="287">
        <v>469.39751335606553</v>
      </c>
      <c r="K42" s="545"/>
      <c r="L42" s="545"/>
      <c r="M42" s="545"/>
    </row>
    <row r="43" spans="2:13" ht="15.05" customHeight="1">
      <c r="B43" s="408">
        <v>45323</v>
      </c>
      <c r="C43" s="287">
        <v>631.5172</v>
      </c>
      <c r="D43" s="287">
        <v>630.2758</v>
      </c>
      <c r="E43" s="287">
        <v>614.79309999999998</v>
      </c>
      <c r="F43" s="287"/>
      <c r="G43" s="287">
        <v>726.40336317265451</v>
      </c>
      <c r="H43" s="287">
        <v>410.39738032353364</v>
      </c>
      <c r="I43" s="287">
        <v>438.42952193580379</v>
      </c>
      <c r="K43" s="545"/>
      <c r="L43" s="545"/>
      <c r="M43" s="545"/>
    </row>
    <row r="44" spans="2:13" ht="15.05" customHeight="1">
      <c r="B44" s="408">
        <v>45352</v>
      </c>
      <c r="C44" s="287">
        <v>619.19349999999997</v>
      </c>
      <c r="D44" s="287">
        <v>618.06449999999995</v>
      </c>
      <c r="E44" s="287">
        <v>603.54830000000004</v>
      </c>
      <c r="F44" s="287">
        <v>413.32017811205361</v>
      </c>
      <c r="G44" s="287">
        <v>748.48790539399999</v>
      </c>
      <c r="H44" s="287">
        <v>422.87452282146893</v>
      </c>
      <c r="I44" s="287">
        <v>419.63389643228072</v>
      </c>
      <c r="K44" s="545"/>
      <c r="L44" s="774" t="s">
        <v>97</v>
      </c>
      <c r="M44" s="545"/>
    </row>
    <row r="45" spans="2:13" ht="15.05" customHeight="1">
      <c r="B45" s="408">
        <v>45383</v>
      </c>
      <c r="C45" s="287">
        <v>593.96659999999997</v>
      </c>
      <c r="D45" s="287">
        <v>592.66660000000002</v>
      </c>
      <c r="E45" s="287">
        <v>579</v>
      </c>
      <c r="F45" s="287">
        <v>423.86579040556592</v>
      </c>
      <c r="G45" s="287">
        <v>761.40733662423781</v>
      </c>
      <c r="H45" s="287">
        <v>430.17363651086879</v>
      </c>
      <c r="I45" s="287">
        <v>425.61323839811791</v>
      </c>
      <c r="K45" s="545"/>
      <c r="L45" s="545"/>
      <c r="M45" s="545"/>
    </row>
    <row r="46" spans="2:13" ht="15.05" customHeight="1">
      <c r="B46" s="408">
        <v>45413</v>
      </c>
      <c r="C46" s="287">
        <v>628.2903</v>
      </c>
      <c r="D46" s="287">
        <v>626.80640000000005</v>
      </c>
      <c r="E46" s="287">
        <v>610.22580000000005</v>
      </c>
      <c r="F46" s="287">
        <v>458.18994541418726</v>
      </c>
      <c r="G46" s="287">
        <v>777.74318582916635</v>
      </c>
      <c r="H46" s="287">
        <v>439.40292984698664</v>
      </c>
      <c r="I46" s="287">
        <v>456.3200295802107</v>
      </c>
      <c r="K46" s="545"/>
      <c r="L46" s="545"/>
      <c r="M46" s="545"/>
    </row>
    <row r="47" spans="2:13" ht="15.05" customHeight="1">
      <c r="B47" s="408">
        <v>45444</v>
      </c>
      <c r="C47" s="287">
        <v>637.5</v>
      </c>
      <c r="D47" s="287">
        <v>628.03330000000005</v>
      </c>
      <c r="E47" s="287">
        <v>617.79999999999995</v>
      </c>
      <c r="F47" s="287">
        <v>460.30868463487678</v>
      </c>
      <c r="G47" s="287">
        <v>803.73413849694009</v>
      </c>
      <c r="H47" s="287">
        <v>454.0870838965763</v>
      </c>
      <c r="I47" s="287">
        <v>465.08055581558602</v>
      </c>
      <c r="K47" s="545"/>
      <c r="L47" s="545"/>
      <c r="M47" s="545"/>
    </row>
    <row r="48" spans="2:13" ht="15.05" customHeight="1">
      <c r="B48" s="408">
        <v>45474</v>
      </c>
      <c r="C48" s="287">
        <v>593.2903</v>
      </c>
      <c r="D48" s="287">
        <v>592.2903</v>
      </c>
      <c r="E48" s="287">
        <v>576.61289999999997</v>
      </c>
      <c r="F48" s="287">
        <v>465.55420453091006</v>
      </c>
      <c r="G48" s="287">
        <v>791.03581334837338</v>
      </c>
      <c r="H48" s="287">
        <v>446.9128888973861</v>
      </c>
      <c r="I48" s="287">
        <v>466.27859127344317</v>
      </c>
      <c r="K48" s="545"/>
      <c r="L48" s="545"/>
      <c r="M48" s="545"/>
    </row>
    <row r="49" spans="2:15" ht="24.05" customHeight="1">
      <c r="B49" s="1076" t="s">
        <v>669</v>
      </c>
      <c r="C49" s="1076"/>
      <c r="D49" s="1076"/>
      <c r="E49" s="1076"/>
      <c r="F49" s="1076"/>
      <c r="G49" s="1076"/>
      <c r="H49" s="1076"/>
      <c r="I49" s="1076"/>
      <c r="O49" s="60" t="s">
        <v>97</v>
      </c>
    </row>
    <row r="50" spans="2:15" ht="24.25" customHeight="1">
      <c r="B50" s="1076"/>
      <c r="C50" s="1076"/>
      <c r="D50" s="1076"/>
      <c r="E50" s="1076"/>
      <c r="F50" s="1076"/>
      <c r="G50" s="1076"/>
      <c r="H50" s="1076"/>
      <c r="I50" s="1076"/>
    </row>
    <row r="51" spans="2:15" ht="15.05" customHeight="1"/>
    <row r="52" spans="2:15" ht="15.05" customHeight="1">
      <c r="O52" s="60" t="s">
        <v>97</v>
      </c>
    </row>
    <row r="53" spans="2:15" ht="15.05" customHeight="1"/>
    <row r="54" spans="2:15" ht="15.05" customHeight="1"/>
    <row r="55" spans="2:15" ht="15.05" customHeight="1"/>
    <row r="56" spans="2:15" ht="15.05" customHeight="1"/>
    <row r="57" spans="2:15" ht="15.05" customHeight="1"/>
    <row r="58" spans="2:15" ht="15.05" customHeight="1"/>
    <row r="59" spans="2:15" ht="15.05" customHeight="1"/>
    <row r="60" spans="2:15" ht="13.75" customHeight="1"/>
    <row r="61" spans="2:15" ht="13.75" customHeight="1"/>
    <row r="62" spans="2:15" ht="13.75" customHeight="1"/>
    <row r="63" spans="2:15" ht="13.75" customHeight="1"/>
    <row r="64" spans="2:15" ht="13.75" customHeight="1"/>
    <row r="65" spans="2:9" ht="29.95" hidden="1" customHeight="1"/>
    <row r="66" spans="2:9" ht="11.3" hidden="1" customHeight="1"/>
    <row r="67" spans="2:9" ht="11.3" hidden="1" customHeight="1"/>
    <row r="68" spans="2:9" ht="11.95" hidden="1" customHeight="1"/>
    <row r="69" spans="2:9" ht="19" customHeight="1">
      <c r="B69" s="880" t="s">
        <v>670</v>
      </c>
      <c r="C69" s="880"/>
      <c r="D69" s="880"/>
      <c r="E69" s="880"/>
      <c r="F69" s="880"/>
      <c r="G69" s="880"/>
      <c r="H69" s="880"/>
      <c r="I69" s="880"/>
    </row>
    <row r="70" spans="2:9">
      <c r="B70" s="880"/>
      <c r="C70" s="880"/>
      <c r="D70" s="880"/>
      <c r="E70" s="880"/>
      <c r="F70" s="880"/>
      <c r="G70" s="880"/>
      <c r="H70" s="880"/>
      <c r="I70" s="880"/>
    </row>
  </sheetData>
  <mergeCells count="5">
    <mergeCell ref="B1:I1"/>
    <mergeCell ref="B3:I3"/>
    <mergeCell ref="B4:I4"/>
    <mergeCell ref="B49:I50"/>
    <mergeCell ref="B69:I70"/>
  </mergeCells>
  <printOptions horizontalCentered="1" verticalCentered="1"/>
  <pageMargins left="0.59055118110236227" right="0.59055118110236227" top="0" bottom="0.23622047244094491" header="0" footer="0.23622047244094491"/>
  <pageSetup scale="75" firstPageNumber="0" orientation="portrait" r:id="rId1"/>
  <headerFooter alignWithMargins="0">
    <oddFooter>&amp;C&amp;10&amp;A</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6381-2B63-4EA1-9882-FF8F5B6D6BCE}">
  <sheetPr>
    <pageSetUpPr fitToPage="1"/>
  </sheetPr>
  <dimension ref="B1:L70"/>
  <sheetViews>
    <sheetView zoomScale="90" zoomScaleNormal="90" zoomScaleSheetLayoutView="75" workbookViewId="0">
      <selection activeCell="L48" sqref="L48"/>
    </sheetView>
  </sheetViews>
  <sheetFormatPr baseColWidth="10" defaultColWidth="10.9140625" defaultRowHeight="11.8"/>
  <cols>
    <col min="1" max="1" width="1.33203125" style="60" customWidth="1"/>
    <col min="2" max="3" width="6.83203125" style="4" customWidth="1"/>
    <col min="4" max="4" width="8.33203125" style="1" customWidth="1"/>
    <col min="5" max="5" width="8.75" style="1" customWidth="1"/>
    <col min="6" max="6" width="8.08203125" style="1" customWidth="1"/>
    <col min="7" max="7" width="8.25" style="1" customWidth="1"/>
    <col min="8" max="8" width="7.83203125" style="1" customWidth="1"/>
    <col min="9" max="9" width="9.25" style="1" customWidth="1"/>
    <col min="10" max="10" width="1.75" style="1" customWidth="1"/>
    <col min="11" max="11" width="10.9140625" style="1" hidden="1" customWidth="1"/>
    <col min="12" max="12" width="10.9140625" style="60" customWidth="1"/>
    <col min="13" max="16384" width="10.9140625" style="60"/>
  </cols>
  <sheetData>
    <row r="1" spans="2:11" s="251" customFormat="1" ht="13.1">
      <c r="B1" s="791" t="s">
        <v>250</v>
      </c>
      <c r="C1" s="791"/>
      <c r="D1" s="791"/>
      <c r="E1" s="791"/>
      <c r="F1" s="791"/>
      <c r="G1" s="791"/>
      <c r="H1" s="791"/>
      <c r="I1" s="791"/>
      <c r="J1" s="18"/>
      <c r="K1" s="18"/>
    </row>
    <row r="2" spans="2:11" s="251" customFormat="1" ht="6.55" customHeight="1">
      <c r="B2" s="17"/>
      <c r="C2" s="17"/>
      <c r="D2" s="15"/>
      <c r="E2" s="15"/>
      <c r="F2" s="15"/>
      <c r="G2" s="15"/>
      <c r="H2" s="15"/>
      <c r="I2" s="15"/>
      <c r="J2" s="18"/>
      <c r="K2" s="18"/>
    </row>
    <row r="3" spans="2:11" s="251" customFormat="1" ht="13.1">
      <c r="B3" s="791" t="s">
        <v>660</v>
      </c>
      <c r="C3" s="791"/>
      <c r="D3" s="791"/>
      <c r="E3" s="791"/>
      <c r="F3" s="791"/>
      <c r="G3" s="791"/>
      <c r="H3" s="791"/>
      <c r="I3" s="791"/>
      <c r="J3" s="18"/>
      <c r="K3" s="18"/>
    </row>
    <row r="4" spans="2:11" s="251" customFormat="1" ht="13.1">
      <c r="B4" s="791" t="s">
        <v>736</v>
      </c>
      <c r="C4" s="791"/>
      <c r="D4" s="791"/>
      <c r="E4" s="791"/>
      <c r="F4" s="791"/>
      <c r="G4" s="791"/>
      <c r="H4" s="791"/>
      <c r="I4" s="791"/>
      <c r="J4" s="18"/>
      <c r="K4" s="18"/>
    </row>
    <row r="5" spans="2:11" s="251" customFormat="1" ht="78.75" customHeight="1">
      <c r="B5" s="406" t="s">
        <v>211</v>
      </c>
      <c r="C5" s="407" t="s">
        <v>662</v>
      </c>
      <c r="D5" s="407" t="s">
        <v>663</v>
      </c>
      <c r="E5" s="407" t="s">
        <v>664</v>
      </c>
      <c r="F5" s="412" t="s">
        <v>665</v>
      </c>
      <c r="G5" s="412" t="s">
        <v>666</v>
      </c>
      <c r="H5" s="412" t="s">
        <v>667</v>
      </c>
      <c r="I5" s="412" t="s">
        <v>668</v>
      </c>
      <c r="J5" s="18"/>
      <c r="K5" s="734" t="s">
        <v>740</v>
      </c>
    </row>
    <row r="6" spans="2:11" ht="15.75" customHeight="1">
      <c r="B6" s="408">
        <v>44197</v>
      </c>
      <c r="C6" s="287">
        <f>IF(('57A'!C6*'57B'!$K6/10)&gt;0,('57A'!C6*'57B'!$K6/10),"-")</f>
        <v>38934.763599999998</v>
      </c>
      <c r="D6" s="287">
        <f>IF(('57A'!D6*'57B'!$K6/10)&gt;0,('57A'!D6*'57B'!$K6/10),"-")</f>
        <v>38670.664199999999</v>
      </c>
      <c r="E6" s="287">
        <f>IF(('57A'!E6*'57B'!$K6/10)&gt;0,('57A'!E6*'57B'!$K6/10),"-")</f>
        <v>38352.297799999993</v>
      </c>
      <c r="F6" s="287"/>
      <c r="G6" s="287">
        <f>IF(('57A'!G6*'57B'!$K6/10)&gt;0,('57A'!G6*'57B'!$K6/10),"-")</f>
        <v>37936.585134182031</v>
      </c>
      <c r="H6" s="287">
        <f>IF(('57A'!H6*'57B'!$K6/10)&gt;0,('57A'!H6*'57B'!$K6/10),"-")</f>
        <v>21433.098945865557</v>
      </c>
      <c r="I6" s="287">
        <f>IF(('57A'!I6*'57B'!$K6/10)&gt;0,('57A'!I6*'57B'!$K6/10),"-")</f>
        <v>25659.741935483871</v>
      </c>
      <c r="K6" s="287">
        <v>723.56</v>
      </c>
    </row>
    <row r="7" spans="2:11" ht="15.75" customHeight="1">
      <c r="B7" s="408">
        <v>44228</v>
      </c>
      <c r="C7" s="287">
        <f>IF(('57A'!C7*'57B'!$K7/10)&gt;0,('57A'!C7*'57B'!$K7/10),"-")</f>
        <v>40279.396200000003</v>
      </c>
      <c r="D7" s="287">
        <f>IF(('57A'!D7*'57B'!$K7/10)&gt;0,('57A'!D7*'57B'!$K7/10),"-")</f>
        <v>40008.409949999994</v>
      </c>
      <c r="E7" s="287">
        <f>IF(('57A'!E7*'57B'!$K7/10)&gt;0,('57A'!E7*'57B'!$K7/10),"-")</f>
        <v>39657.934399999998</v>
      </c>
      <c r="F7" s="287"/>
      <c r="G7" s="287">
        <f>IF(('57A'!G7*'57B'!$K7/10)&gt;0,('57A'!G7*'57B'!$K7/10),"-")</f>
        <v>41199.929467466012</v>
      </c>
      <c r="H7" s="287">
        <f>IF(('57A'!H7*'57B'!$K7/10)&gt;0,('57A'!H7*'57B'!$K7/10),"-")</f>
        <v>23276.796309302834</v>
      </c>
      <c r="I7" s="287">
        <f>IF(('57A'!I7*'57B'!$K7/10)&gt;0,('57A'!I7*'57B'!$K7/10),"-")</f>
        <v>25049.666666666668</v>
      </c>
      <c r="K7" s="287">
        <v>722.63</v>
      </c>
    </row>
    <row r="8" spans="2:11" ht="15.05" customHeight="1">
      <c r="B8" s="408">
        <v>44256</v>
      </c>
      <c r="C8" s="287">
        <f>IF(('57A'!C8*'57B'!$K8/10)&gt;0,('57A'!C8*'57B'!$K8/10),"-")</f>
        <v>38567.341520000002</v>
      </c>
      <c r="D8" s="287">
        <f>IF(('57A'!D8*'57B'!$K8/10)&gt;0,('57A'!D8*'57B'!$K8/10),"-")</f>
        <v>38459.838759999999</v>
      </c>
      <c r="E8" s="287">
        <f>IF(('57A'!E8*'57B'!$K8/10)&gt;0,('57A'!E8*'57B'!$K8/10),"-")</f>
        <v>38257.907900000006</v>
      </c>
      <c r="F8" s="287">
        <f>IF(('57A'!F8*'57B'!$K8/10)&gt;0,('57A'!F8*'57B'!$K8/10)," ")</f>
        <v>23269.999999999996</v>
      </c>
      <c r="G8" s="287">
        <f>IF(('57A'!G8*'57B'!$K8/10)&gt;0,('57A'!G8*'57B'!$K8/10),"-")</f>
        <v>41786.334101153028</v>
      </c>
      <c r="H8" s="287">
        <f>IF(('57A'!H8*'57B'!$K8/10)&gt;0,('57A'!H8*'57B'!$K8/10),"-")</f>
        <v>23608.098362233352</v>
      </c>
      <c r="I8" s="287">
        <f>IF(('57A'!I8*'57B'!$K8/10)&gt;0,('57A'!I8*'57B'!$K8/10),"-")</f>
        <v>23509.458333333332</v>
      </c>
      <c r="K8" s="287">
        <v>726.37</v>
      </c>
    </row>
    <row r="9" spans="2:11" ht="15.05" customHeight="1">
      <c r="B9" s="408">
        <v>44287</v>
      </c>
      <c r="C9" s="287">
        <f>IF(('57A'!C9*'57B'!$K9/10)&gt;0,('57A'!C9*'57B'!$K9/10),"-")</f>
        <v>35382.590100000001</v>
      </c>
      <c r="D9" s="287">
        <f>IF(('57A'!D9*'57B'!$K9/10)&gt;0,('57A'!D9*'57B'!$K9/10),"-")</f>
        <v>35129.887650000004</v>
      </c>
      <c r="E9" s="287">
        <f>IF(('57A'!E9*'57B'!$K9/10)&gt;0,('57A'!E9*'57B'!$K9/10),"-")</f>
        <v>34940.8917</v>
      </c>
      <c r="F9" s="287">
        <f>IF(('57A'!F9*'57B'!$K9/10)&gt;0,('57A'!F9*'57B'!$K9/10)," ")</f>
        <v>23063.333333333328</v>
      </c>
      <c r="G9" s="287">
        <f>IF(('57A'!G9*'57B'!$K9/10)&gt;0,('57A'!G9*'57B'!$K9/10),"-")</f>
        <v>42181.426890922696</v>
      </c>
      <c r="H9" s="287">
        <f>IF(('57A'!H9*'57B'!$K9/10)&gt;0,('57A'!H9*'57B'!$K9/10),"-")</f>
        <v>23831.314627639942</v>
      </c>
      <c r="I9" s="287">
        <f>IF(('57A'!I9*'57B'!$K9/10)&gt;0,('57A'!I9*'57B'!$K9/10),"-")</f>
        <v>22921.120000000003</v>
      </c>
      <c r="K9" s="287">
        <v>707.85</v>
      </c>
    </row>
    <row r="10" spans="2:11" ht="15.05" customHeight="1">
      <c r="B10" s="408">
        <v>44317</v>
      </c>
      <c r="C10" s="287">
        <f>IF(('57A'!C10*'57B'!$K10/10)&gt;0,('57A'!C10*'57B'!$K10/10),"-")</f>
        <v>35127.950939999995</v>
      </c>
      <c r="D10" s="287">
        <f>IF(('57A'!D10*'57B'!$K10/10)&gt;0,('57A'!D10*'57B'!$K10/10),"-")</f>
        <v>34904.301299999999</v>
      </c>
      <c r="E10" s="287">
        <f>IF(('57A'!E10*'57B'!$K10/10)&gt;0,('57A'!E10*'57B'!$K10/10),"-")</f>
        <v>34727.660820000005</v>
      </c>
      <c r="F10" s="287">
        <f>IF(('57A'!F10*'57B'!$K10/10)&gt;0,('57A'!F10*'57B'!$K10/10)," ")</f>
        <v>22538.709677419356</v>
      </c>
      <c r="G10" s="287">
        <f>IF(('57A'!G10*'57B'!$K10/10)&gt;0,('57A'!G10*'57B'!$K10/10),"-")</f>
        <v>39204.210193242805</v>
      </c>
      <c r="H10" s="287">
        <f>IF(('57A'!H10*'57B'!$K10/10)&gt;0,('57A'!H10*'57B'!$K10/10),"-")</f>
        <v>22149.271295617404</v>
      </c>
      <c r="I10" s="287">
        <f>IF(('57A'!I10*'57B'!$K10/10)&gt;0,('57A'!I10*'57B'!$K10/10),"-")</f>
        <v>22360.935483870962</v>
      </c>
      <c r="K10" s="287">
        <v>712.26</v>
      </c>
    </row>
    <row r="11" spans="2:11" ht="15.05" customHeight="1">
      <c r="B11" s="408">
        <v>44348</v>
      </c>
      <c r="C11" s="287">
        <f>IF(('57A'!C11*'57B'!$K11/10)&gt;0,('57A'!C11*'57B'!$K11/10),"-")</f>
        <v>34484.494559999999</v>
      </c>
      <c r="D11" s="287">
        <f>IF(('57A'!D11*'57B'!$K11/10)&gt;0,('57A'!D11*'57B'!$K11/10),"-")</f>
        <v>34273.797959999996</v>
      </c>
      <c r="E11" s="287">
        <f>IF(('57A'!E11*'57B'!$K11/10)&gt;0,('57A'!E11*'57B'!$K11/10),"-")</f>
        <v>34038.398999999998</v>
      </c>
      <c r="F11" s="287">
        <f>IF(('57A'!F11*'57B'!$K11/10)&gt;0,('57A'!F11*'57B'!$K11/10)," ")</f>
        <v>22743.333333333336</v>
      </c>
      <c r="G11" s="287">
        <f>IF(('57A'!G11*'57B'!$K11/10)&gt;0,('57A'!G11*'57B'!$K11/10),"-")</f>
        <v>45647.621787242068</v>
      </c>
      <c r="H11" s="287">
        <f>IF(('57A'!H11*'57B'!$K11/10)&gt;0,('57A'!H11*'57B'!$K11/10),"-")</f>
        <v>25789.616828950318</v>
      </c>
      <c r="I11" s="287">
        <f>IF(('57A'!I11*'57B'!$K11/10)&gt;0,('57A'!I11*'57B'!$K11/10),"-")</f>
        <v>22596.766666666666</v>
      </c>
      <c r="K11" s="287">
        <v>726.54</v>
      </c>
    </row>
    <row r="12" spans="2:11" ht="15.05" customHeight="1">
      <c r="B12" s="408">
        <v>44378</v>
      </c>
      <c r="C12" s="287">
        <f>IF(('57A'!C12*'57B'!$K12/10)&gt;0,('57A'!C12*'57B'!$K12/10),"-")</f>
        <v>31556.002</v>
      </c>
      <c r="D12" s="287">
        <f>IF(('57A'!D12*'57B'!$K12/10)&gt;0,('57A'!D12*'57B'!$K12/10),"-")</f>
        <v>31330.870000000003</v>
      </c>
      <c r="E12" s="287">
        <f>IF(('57A'!E12*'57B'!$K12/10)&gt;0,('57A'!E12*'57B'!$K12/10),"-")</f>
        <v>31297.100200000004</v>
      </c>
      <c r="F12" s="287">
        <f>IF(('57A'!F12*'57B'!$K12/10)&gt;0,('57A'!F12*'57B'!$K12/10)," ")</f>
        <v>22799.999999999996</v>
      </c>
      <c r="G12" s="287">
        <f>IF(('57A'!G12*'57B'!$K12/10)&gt;0,('57A'!G12*'57B'!$K12/10),"-")</f>
        <v>44277.186888127551</v>
      </c>
      <c r="H12" s="287">
        <f>IF(('57A'!H12*'57B'!$K12/10)&gt;0,('57A'!H12*'57B'!$K12/10),"-")</f>
        <v>25015.359823800878</v>
      </c>
      <c r="I12" s="287">
        <f>IF(('57A'!I12*'57B'!$K12/10)&gt;0,('57A'!I12*'57B'!$K12/10),"-")</f>
        <v>23008.870967741936</v>
      </c>
      <c r="K12" s="287">
        <v>750.44</v>
      </c>
    </row>
    <row r="13" spans="2:11" ht="15.05" customHeight="1">
      <c r="B13" s="408">
        <v>44409</v>
      </c>
      <c r="C13" s="287">
        <f>IF(('57A'!C13*'57B'!$K13/10)&gt;0,('57A'!C13*'57B'!$K13/10),"-")</f>
        <v>31370.221409999998</v>
      </c>
      <c r="D13" s="287">
        <f>IF(('57A'!D13*'57B'!$K13/10)&gt;0,('57A'!D13*'57B'!$K13/10),"-")</f>
        <v>31136.272409999998</v>
      </c>
      <c r="E13" s="287">
        <f>IF(('57A'!E13*'57B'!$K13/10)&gt;0,('57A'!E13*'57B'!$K13/10),"-")</f>
        <v>30970.16862</v>
      </c>
      <c r="F13" s="287">
        <f>IF(('57A'!F13*'57B'!$K13/10)&gt;0,('57A'!F13*'57B'!$K13/10)," ")</f>
        <v>23570</v>
      </c>
      <c r="G13" s="287">
        <f>IF(('57A'!G13*'57B'!$K13/10)&gt;0,('57A'!G13*'57B'!$K13/10),"-")</f>
        <v>47007.551477507484</v>
      </c>
      <c r="H13" s="287">
        <f>IF(('57A'!H13*'57B'!$K13/10)&gt;0,('57A'!H13*'57B'!$K13/10),"-")</f>
        <v>26557.938687857335</v>
      </c>
      <c r="I13" s="287">
        <f>IF(('57A'!I13*'57B'!$K13/10)&gt;0,('57A'!I13*'57B'!$K13/10),"-")</f>
        <v>23772.137931034482</v>
      </c>
      <c r="K13" s="287">
        <v>779.83</v>
      </c>
    </row>
    <row r="14" spans="2:11" ht="15.05" customHeight="1">
      <c r="B14" s="408">
        <v>44440</v>
      </c>
      <c r="C14" s="287">
        <f>IF(('57A'!C14*'57B'!$K14/10)&gt;0,('57A'!C14*'57B'!$K14/10),"-")</f>
        <v>31416.510330000001</v>
      </c>
      <c r="D14" s="287">
        <f>IF(('57A'!D14*'57B'!$K14/10)&gt;0,('57A'!D14*'57B'!$K14/10),"-")</f>
        <v>31181.421330000001</v>
      </c>
      <c r="E14" s="287">
        <f>IF(('57A'!E14*'57B'!$K14/10)&gt;0,('57A'!E14*'57B'!$K14/10),"-")</f>
        <v>31042.718819999998</v>
      </c>
      <c r="F14" s="287"/>
      <c r="G14" s="287">
        <f>IF(('57A'!G14*'57B'!$K14/10)&gt;0,('57A'!G14*'57B'!$K14/10),"-")</f>
        <v>46138.286581242937</v>
      </c>
      <c r="H14" s="287">
        <f>IF(('57A'!H14*'57B'!$K14/10)&gt;0,('57A'!H14*'57B'!$K14/10),"-")</f>
        <v>26066.82857697341</v>
      </c>
      <c r="I14" s="287">
        <f>IF(('57A'!I14*'57B'!$K14/10)&gt;0,('57A'!I14*'57B'!$K14/10),"-")</f>
        <v>23537.566666666666</v>
      </c>
      <c r="K14" s="287">
        <v>783.63</v>
      </c>
    </row>
    <row r="15" spans="2:11" ht="15.05" customHeight="1">
      <c r="B15" s="408">
        <v>44470</v>
      </c>
      <c r="C15" s="287">
        <f>IF(('57A'!C15*'57B'!$K15/10)&gt;0,('57A'!C15*'57B'!$K15/10),"-")</f>
        <v>32558</v>
      </c>
      <c r="D15" s="287">
        <f>IF(('57A'!D15*'57B'!$K15/10)&gt;0,('57A'!D15*'57B'!$K15/10),"-")</f>
        <v>32313.815000000002</v>
      </c>
      <c r="E15" s="287">
        <f>IF(('57A'!E15*'57B'!$K15/10)&gt;0,('57A'!E15*'57B'!$K15/10),"-")</f>
        <v>32259.280349999997</v>
      </c>
      <c r="F15" s="287"/>
      <c r="G15" s="287">
        <f>IF(('57A'!G15*'57B'!$K15/10)&gt;0,('57A'!G15*'57B'!$K15/10),"-")</f>
        <v>46067.465008250125</v>
      </c>
      <c r="H15" s="287">
        <f>IF(('57A'!H15*'57B'!$K15/10)&gt;0,('57A'!H15*'57B'!$K15/10),"-")</f>
        <v>26026.816388841879</v>
      </c>
      <c r="I15" s="287">
        <f>IF(('57A'!I15*'57B'!$K15/10)&gt;0,('57A'!I15*'57B'!$K15/10),"-")</f>
        <v>24002.258064516129</v>
      </c>
      <c r="K15" s="287">
        <v>813.95</v>
      </c>
    </row>
    <row r="16" spans="2:11" ht="15.05" customHeight="1">
      <c r="B16" s="408">
        <v>44501</v>
      </c>
      <c r="C16" s="287">
        <f>IF(('57A'!C16*'57B'!$K16/10)&gt;0,('57A'!C16*'57B'!$K16/10),"-")</f>
        <v>32508.863099999999</v>
      </c>
      <c r="D16" s="287">
        <f>IF(('57A'!D16*'57B'!$K16/10)&gt;0,('57A'!D16*'57B'!$K16/10),"-")</f>
        <v>32265.077100000002</v>
      </c>
      <c r="E16" s="287">
        <f>IF(('57A'!E16*'57B'!$K16/10)&gt;0,('57A'!E16*'57B'!$K16/10),"-")</f>
        <v>32268.327580000001</v>
      </c>
      <c r="F16" s="287"/>
      <c r="G16" s="287">
        <f>IF(('57A'!G16*'57B'!$K16/10)&gt;0,('57A'!G16*'57B'!$K16/10),"-")</f>
        <v>48883.519899324303</v>
      </c>
      <c r="H16" s="287">
        <f>IF(('57A'!H16*'57B'!$K16/10)&gt;0,('57A'!H16*'57B'!$K16/10),"-")</f>
        <v>27617.807852725597</v>
      </c>
      <c r="I16" s="287">
        <f>IF(('57A'!I16*'57B'!$K16/10)&gt;0,('57A'!I16*'57B'!$K16/10),"-")</f>
        <v>22313.858150569507</v>
      </c>
      <c r="K16" s="287">
        <v>812.62</v>
      </c>
    </row>
    <row r="17" spans="2:12" ht="15.05" customHeight="1">
      <c r="B17" s="408">
        <v>44531</v>
      </c>
      <c r="C17" s="287">
        <f>IF(('57A'!C17*'57B'!$K17/10)&gt;0,('57A'!C17*'57B'!$K17/10),"-")</f>
        <v>33926.589599999999</v>
      </c>
      <c r="D17" s="287">
        <f>IF(('57A'!D17*'57B'!$K17/10)&gt;0,('57A'!D17*'57B'!$K17/10),"-")</f>
        <v>33694.779839999996</v>
      </c>
      <c r="E17" s="287">
        <f>IF(('57A'!E17*'57B'!$K17/10)&gt;0,('57A'!E17*'57B'!$K17/10),"-")</f>
        <v>33629.397600000004</v>
      </c>
      <c r="F17" s="287"/>
      <c r="G17" s="287">
        <f>IF(('57A'!G17*'57B'!$K17/10)&gt;0,('57A'!G17*'57B'!$K17/10),"-")</f>
        <v>50135.988953756736</v>
      </c>
      <c r="H17" s="287">
        <f>IF(('57A'!H17*'57B'!$K17/10)&gt;0,('57A'!H17*'57B'!$K17/10),"-")</f>
        <v>28325.417487998155</v>
      </c>
      <c r="I17" s="287">
        <f>IF(('57A'!I17*'57B'!$K17/10)&gt;0,('57A'!I17*'57B'!$K17/10),"-")</f>
        <v>23369.677419354837</v>
      </c>
      <c r="K17" s="287">
        <v>849.12</v>
      </c>
    </row>
    <row r="18" spans="2:12" ht="15.05" customHeight="1">
      <c r="B18" s="408">
        <v>44562</v>
      </c>
      <c r="C18" s="287">
        <f>IF(('57A'!C18*'57B'!$K18/10)&gt;0,('57A'!C18*'57B'!$K18/10),"-")</f>
        <v>34623.923949999997</v>
      </c>
      <c r="D18" s="287">
        <f>IF(('57A'!D18*'57B'!$K18/10)&gt;0,('57A'!D18*'57B'!$K18/10),"-")</f>
        <v>34388.817649999997</v>
      </c>
      <c r="E18" s="287">
        <f>IF(('57A'!E18*'57B'!$K18/10)&gt;0,('57A'!E18*'57B'!$K18/10),"-")</f>
        <v>34306.612649999995</v>
      </c>
      <c r="F18" s="287"/>
      <c r="G18" s="287">
        <f>IF(('57A'!G18*'57B'!$K18/10)&gt;0,('57A'!G18*'57B'!$K18/10),"-")</f>
        <v>45892.621102928504</v>
      </c>
      <c r="H18" s="287">
        <f>IF(('57A'!H18*'57B'!$K18/10)&gt;0,('57A'!H18*'57B'!$K18/10),"-")</f>
        <v>25928.034521428533</v>
      </c>
      <c r="I18" s="287">
        <f>IF(('57A'!I18*'57B'!$K18/10)&gt;0,('57A'!I18*'57B'!$K18/10),"-")</f>
        <v>21899.566666666666</v>
      </c>
      <c r="K18" s="287">
        <v>822.05</v>
      </c>
    </row>
    <row r="19" spans="2:12" ht="15.05" customHeight="1">
      <c r="B19" s="408">
        <v>44593</v>
      </c>
      <c r="C19" s="287">
        <f>IF(('57A'!C19*'57B'!$K19/10)&gt;0,('57A'!C19*'57B'!$K19/10),"-")</f>
        <v>34849.282600000006</v>
      </c>
      <c r="D19" s="287">
        <f>IF(('57A'!D19*'57B'!$K19/10)&gt;0,('57A'!D19*'57B'!$K19/10),"-")</f>
        <v>34607.161600000007</v>
      </c>
      <c r="E19" s="287">
        <f>IF(('57A'!E19*'57B'!$K19/10)&gt;0,('57A'!E19*'57B'!$K19/10),"-")</f>
        <v>34591.020200000006</v>
      </c>
      <c r="F19" s="287"/>
      <c r="G19" s="287">
        <f>IF(('57A'!G19*'57B'!$K19/10)&gt;0,('57A'!G19*'57B'!$K19/10),"-")</f>
        <v>44090.643927203404</v>
      </c>
      <c r="H19" s="287">
        <f>IF(('57A'!H19*'57B'!$K19/10)&gt;0,('57A'!H19*'57B'!$K19/10),"-")</f>
        <v>24909.9683204539</v>
      </c>
      <c r="I19" s="287">
        <f>IF(('57A'!I19*'57B'!$K19/10)&gt;0,('57A'!I19*'57B'!$K19/10),"-")</f>
        <v>22133</v>
      </c>
      <c r="K19" s="287">
        <v>807.07</v>
      </c>
    </row>
    <row r="20" spans="2:12" ht="15.05" customHeight="1">
      <c r="B20" s="408">
        <v>44621</v>
      </c>
      <c r="C20" s="287">
        <f>IF(('57A'!C20*'57B'!$K20/10)&gt;0,('57A'!C20*'57B'!$K20/10),"-")</f>
        <v>33621.923300000002</v>
      </c>
      <c r="D20" s="287">
        <f>IF(('57A'!D20*'57B'!$K20/10)&gt;0,('57A'!D20*'57B'!$K20/10),"-")</f>
        <v>33382.166299999997</v>
      </c>
      <c r="E20" s="287">
        <f>IF(('57A'!E20*'57B'!$K20/10)&gt;0,('57A'!E20*'57B'!$K20/10),"-")</f>
        <v>33486.061000000002</v>
      </c>
      <c r="F20" s="287"/>
      <c r="G20" s="287">
        <f>IF(('57A'!G20*'57B'!$K20/10)&gt;0,('57A'!G20*'57B'!$K20/10),"-")</f>
        <v>43620.37463586808</v>
      </c>
      <c r="H20" s="287">
        <f>IF(('57A'!H20*'57B'!$K20/10)&gt;0,('57A'!H20*'57B'!$K20/10),"-")</f>
        <v>24644.279455292701</v>
      </c>
      <c r="I20" s="287">
        <f>IF(('57A'!I20*'57B'!$K20/10)&gt;0,('57A'!I20*'57B'!$K20/10),"-")</f>
        <v>23528.290322580644</v>
      </c>
      <c r="K20" s="287">
        <v>799.19</v>
      </c>
    </row>
    <row r="21" spans="2:12" ht="15.05" customHeight="1">
      <c r="B21" s="408">
        <v>44652</v>
      </c>
      <c r="C21" s="287">
        <f>IF(('57A'!C21*'57B'!$K21/10)&gt;0,('57A'!C21*'57B'!$K21/10),"-")</f>
        <v>35001.252800000002</v>
      </c>
      <c r="D21" s="287">
        <f>IF(('57A'!D21*'57B'!$K21/10)&gt;0,('57A'!D21*'57B'!$K21/10),"-")</f>
        <v>34756.716800000002</v>
      </c>
      <c r="E21" s="287">
        <f>IF(('57A'!E21*'57B'!$K21/10)&gt;0,('57A'!E21*'57B'!$K21/10),"-")</f>
        <v>34927.892</v>
      </c>
      <c r="F21" s="287">
        <f>IF(('57A'!F21*'57B'!$K21/10)&gt;0,('57A'!F21*'57B'!$K21/10)," ")</f>
        <v>25836.666666666664</v>
      </c>
      <c r="G21" s="287">
        <f>IF(('57A'!G21*'57B'!$K21/10)&gt;0,('57A'!G21*'57B'!$K21/10),"-")</f>
        <v>44809.149477638864</v>
      </c>
      <c r="H21" s="287">
        <f>IF(('57A'!H21*'57B'!$K21/10)&gt;0,('57A'!H21*'57B'!$K21/10),"-")</f>
        <v>25315.903659682976</v>
      </c>
      <c r="I21" s="287">
        <f>IF(('57A'!I21*'57B'!$K21/10)&gt;0,('57A'!I21*'57B'!$K21/10),"-")</f>
        <v>24813.696162693675</v>
      </c>
      <c r="K21" s="287">
        <v>815.12</v>
      </c>
    </row>
    <row r="22" spans="2:12" ht="15.05" customHeight="1">
      <c r="B22" s="408">
        <v>44682</v>
      </c>
      <c r="C22" s="287">
        <f>IF(('57A'!C22*'57B'!$K22/10)&gt;0,('57A'!C22*'57B'!$K22/10),"-")</f>
        <v>39083.831460000001</v>
      </c>
      <c r="D22" s="287">
        <f>IF(('57A'!D22*'57B'!$K22/10)&gt;0,('57A'!D22*'57B'!$K22/10),"-")</f>
        <v>38829.014459999999</v>
      </c>
      <c r="E22" s="287">
        <f>IF(('57A'!E22*'57B'!$K22/10)&gt;0,('57A'!E22*'57B'!$K22/10),"-")</f>
        <v>38812.876049999999</v>
      </c>
      <c r="F22" s="287">
        <f>IF(('57A'!F22*'57B'!$K22/10)&gt;0,('57A'!F22*'57B'!$K22/10)," ")</f>
        <v>26700.000000000007</v>
      </c>
      <c r="G22" s="287">
        <f>IF(('57A'!G22*'57B'!$K22/10)&gt;0,('57A'!G22*'57B'!$K22/10),"-")</f>
        <v>47974.941378325937</v>
      </c>
      <c r="H22" s="287">
        <f>IF(('57A'!H22*'57B'!$K22/10)&gt;0,('57A'!H22*'57B'!$K22/10),"-")</f>
        <v>27104.486654421431</v>
      </c>
      <c r="I22" s="287">
        <f>IF(('57A'!I22*'57B'!$K22/10)&gt;0,('57A'!I22*'57B'!$K22/10),"-")</f>
        <v>25178.87020352346</v>
      </c>
      <c r="K22" s="287">
        <v>849.39</v>
      </c>
      <c r="L22" s="225"/>
    </row>
    <row r="23" spans="2:12" ht="15.05" customHeight="1">
      <c r="B23" s="408">
        <v>44713</v>
      </c>
      <c r="C23" s="287">
        <f>IF(('57A'!C23*'57B'!$K23/10)&gt;0,('57A'!C23*'57B'!$K23/10),"-")</f>
        <v>38494.144289999997</v>
      </c>
      <c r="D23" s="287">
        <f>IF(('57A'!D23*'57B'!$K23/10)&gt;0,('57A'!D23*'57B'!$K23/10),"-")</f>
        <v>38244.533219999998</v>
      </c>
      <c r="E23" s="287">
        <f>IF(('57A'!E23*'57B'!$K23/10)&gt;0,('57A'!E23*'57B'!$K23/10),"-")</f>
        <v>38326.879139999997</v>
      </c>
      <c r="F23" s="287">
        <f>IF(('57A'!F23*'57B'!$K23/10)&gt;0,('57A'!F23*'57B'!$K23/10)," ")</f>
        <v>25713.333333333328</v>
      </c>
      <c r="G23" s="287">
        <f>IF(('57A'!G23*'57B'!$K23/10)&gt;0,('57A'!G23*'57B'!$K23/10),"-")</f>
        <v>48416.081536202983</v>
      </c>
      <c r="H23" s="287">
        <f>IF(('57A'!H23*'57B'!$K23/10)&gt;0,('57A'!H23*'57B'!$K23/10),"-")</f>
        <v>27353.718382035579</v>
      </c>
      <c r="I23" s="287">
        <f>IF(('57A'!I23*'57B'!$K23/10)&gt;0,('57A'!I23*'57B'!$K23/10),"-")</f>
        <v>25243.643647927856</v>
      </c>
      <c r="K23" s="287">
        <v>857.77</v>
      </c>
      <c r="L23" s="225" t="s">
        <v>97</v>
      </c>
    </row>
    <row r="24" spans="2:12" ht="15.05" customHeight="1">
      <c r="B24" s="408">
        <v>44743</v>
      </c>
      <c r="C24" s="287">
        <f>IF(('57A'!C24*'57B'!$K24/10)&gt;0,('57A'!C24*'57B'!$K24/10),"-")</f>
        <v>40051.051449999999</v>
      </c>
      <c r="D24" s="287">
        <f>IF(('57A'!D24*'57B'!$K24/10)&gt;0,('57A'!D24*'57B'!$K24/10),"-")</f>
        <v>39910.856080000005</v>
      </c>
      <c r="E24" s="287">
        <f>IF(('57A'!E24*'57B'!$K24/10)&gt;0,('57A'!E24*'57B'!$K24/10),"-")</f>
        <v>39792.596040000004</v>
      </c>
      <c r="F24" s="287">
        <f>IF(('57A'!F24*'57B'!$K24/10)&gt;0,('57A'!F24*'57B'!$K24/10)," ")</f>
        <v>27838.06451612903</v>
      </c>
      <c r="G24" s="287">
        <f>IF(('57A'!G24*'57B'!$K24/10)&gt;0,('57A'!G24*'57B'!$K24/10),"-")</f>
        <v>55091.838230356727</v>
      </c>
      <c r="H24" s="287">
        <f>IF(('57A'!H24*'57B'!$K24/10)&gt;0,('57A'!H24*'57B'!$K24/10),"-")</f>
        <v>31125.332333534869</v>
      </c>
      <c r="I24" s="287">
        <f>IF(('57A'!I24*'57B'!$K24/10)&gt;0,('57A'!I24*'57B'!$K24/10),"-")</f>
        <v>27855.376396058222</v>
      </c>
      <c r="K24" s="287">
        <v>953.71</v>
      </c>
      <c r="L24" s="225"/>
    </row>
    <row r="25" spans="2:12" ht="15.05" customHeight="1">
      <c r="B25" s="408">
        <v>44774</v>
      </c>
      <c r="C25" s="287">
        <f>IF(('57A'!C25*'57B'!$K25/10)&gt;0,('57A'!C25*'57B'!$K25/10),"-")</f>
        <v>38749.588800000005</v>
      </c>
      <c r="D25" s="287">
        <f>IF(('57A'!D25*'57B'!$K25/10)&gt;0,('57A'!D25*'57B'!$K25/10),"-")</f>
        <v>38639.258099999999</v>
      </c>
      <c r="E25" s="287">
        <f>IF(('57A'!E25*'57B'!$K25/10)&gt;0,('57A'!E25*'57B'!$K25/10),"-")</f>
        <v>38352.579149999998</v>
      </c>
      <c r="F25" s="287">
        <f>IF(('57A'!F25*'57B'!$K25/10)&gt;0,('57A'!F25*'57B'!$K25/10)," ")</f>
        <v>26968.75</v>
      </c>
      <c r="G25" s="287">
        <f>IF(('57A'!G25*'57B'!$K25/10)&gt;0,('57A'!G25*'57B'!$K25/10),"-")</f>
        <v>51131.045346841813</v>
      </c>
      <c r="H25" s="287">
        <f>IF(('57A'!H25*'57B'!$K25/10)&gt;0,('57A'!H25*'57B'!$K25/10),"-")</f>
        <v>28887.596241153566</v>
      </c>
      <c r="I25" s="287">
        <f>IF(('57A'!I25*'57B'!$K25/10)&gt;0,('57A'!I25*'57B'!$K25/10),"-")</f>
        <v>26735.258162712627</v>
      </c>
      <c r="K25" s="287">
        <v>904.35</v>
      </c>
      <c r="L25" s="225"/>
    </row>
    <row r="26" spans="2:12" ht="15.05" customHeight="1">
      <c r="B26" s="408">
        <v>44805</v>
      </c>
      <c r="C26" s="287">
        <f>IF(('57A'!C26*'57B'!$K26/10)&gt;0,('57A'!C26*'57B'!$K26/10),"-")</f>
        <v>40252.742050000001</v>
      </c>
      <c r="D26" s="287">
        <f>IF(('57A'!D26*'57B'!$K26/10)&gt;0,('57A'!D26*'57B'!$K26/10),"-")</f>
        <v>40160.641049999998</v>
      </c>
      <c r="E26" s="287">
        <f>IF(('57A'!E26*'57B'!$K26/10)&gt;0,('57A'!E26*'57B'!$K26/10),"-")</f>
        <v>39720.398269999998</v>
      </c>
      <c r="F26" s="287">
        <f>IF(('57A'!F26*'57B'!$K26/10)&gt;0,('57A'!F26*'57B'!$K26/10)," ")</f>
        <v>26300</v>
      </c>
      <c r="G26" s="287">
        <f>IF(('57A'!G26*'57B'!$K26/10)&gt;0,('57A'!G26*'57B'!$K26/10),"-")</f>
        <v>52301.999254465409</v>
      </c>
      <c r="H26" s="287">
        <f>IF(('57A'!H26*'57B'!$K26/10)&gt;0,('57A'!H26*'57B'!$K26/10),"-")</f>
        <v>29549.152121166895</v>
      </c>
      <c r="I26" s="287">
        <f>IF(('57A'!I26*'57B'!$K26/10)&gt;0,('57A'!I26*'57B'!$K26/10),"-")</f>
        <v>27056.39502912496</v>
      </c>
      <c r="K26" s="287">
        <v>921.01</v>
      </c>
      <c r="L26" s="225"/>
    </row>
    <row r="27" spans="2:12" ht="15.05" customHeight="1">
      <c r="B27" s="408">
        <v>44835</v>
      </c>
      <c r="C27" s="287">
        <f>IF(('57A'!C27*'57B'!$K27/10)&gt;0,('57A'!C27*'57B'!$K27/10),"-")</f>
        <v>41503.787909999999</v>
      </c>
      <c r="D27" s="287">
        <f>IF(('57A'!D27*'57B'!$K27/10)&gt;0,('57A'!D27*'57B'!$K27/10),"-")</f>
        <v>41394.816449999998</v>
      </c>
      <c r="E27" s="287">
        <f>IF(('57A'!E27*'57B'!$K27/10)&gt;0,('57A'!E27*'57B'!$K27/10),"-")</f>
        <v>41012.460449999999</v>
      </c>
      <c r="F27" s="287"/>
      <c r="G27" s="287">
        <f>IF(('57A'!G27*'57B'!$K27/10)&gt;0,('57A'!G27*'57B'!$K27/10),"-")</f>
        <v>53298.000086906672</v>
      </c>
      <c r="H27" s="287">
        <f>IF(('57A'!H27*'57B'!$K27/10)&gt;0,('57A'!H27*'57B'!$K27/10),"-")</f>
        <v>30111.864455879473</v>
      </c>
      <c r="I27" s="287">
        <f>IF(('57A'!I27*'57B'!$K27/10)&gt;0,('57A'!I27*'57B'!$K27/10),"-")</f>
        <v>29684.974409583403</v>
      </c>
      <c r="K27" s="287">
        <v>955.89</v>
      </c>
      <c r="L27" s="225"/>
    </row>
    <row r="28" spans="2:12" ht="15.05" customHeight="1">
      <c r="B28" s="408">
        <v>44866</v>
      </c>
      <c r="C28" s="287">
        <f>IF(('57A'!C28*'57B'!$K28/10)&gt;0,('57A'!C28*'57B'!$K28/10),"-")</f>
        <v>39712.850250000003</v>
      </c>
      <c r="D28" s="287">
        <f>IF(('57A'!D28*'57B'!$K28/10)&gt;0,('57A'!D28*'57B'!$K28/10),"-")</f>
        <v>39591.799650000001</v>
      </c>
      <c r="E28" s="287">
        <f>IF(('57A'!E28*'57B'!$K28/10)&gt;0,('57A'!E28*'57B'!$K28/10),"-")</f>
        <v>39295.592499999999</v>
      </c>
      <c r="F28" s="287"/>
      <c r="G28" s="287">
        <f>IF(('57A'!G28*'57B'!$K28/10)&gt;0,('57A'!G28*'57B'!$K28/10),"-")</f>
        <v>52186.35780701333</v>
      </c>
      <c r="H28" s="287">
        <f>IF(('57A'!H28*'57B'!$K28/10)&gt;0,('57A'!H28*'57B'!$K28/10),"-")</f>
        <v>29483.817970064025</v>
      </c>
      <c r="I28" s="287">
        <f>IF(('57A'!I28*'57B'!$K28/10)&gt;0,('57A'!I28*'57B'!$K28/10),"-")</f>
        <v>29689.900993764575</v>
      </c>
      <c r="K28" s="287">
        <v>917.05</v>
      </c>
      <c r="L28" s="225"/>
    </row>
    <row r="29" spans="2:12" ht="15.05" customHeight="1">
      <c r="B29" s="408">
        <v>44896</v>
      </c>
      <c r="C29" s="287">
        <f>IF(('57A'!C29*'57B'!$K29/10)&gt;0,('57A'!C29*'57B'!$K29/10),"-")</f>
        <v>40774.232239999998</v>
      </c>
      <c r="D29" s="287">
        <f>IF(('57A'!D29*'57B'!$K29/10)&gt;0,('57A'!D29*'57B'!$K29/10),"-")</f>
        <v>40626.245699999999</v>
      </c>
      <c r="E29" s="287">
        <f>IF(('57A'!E29*'57B'!$K29/10)&gt;0,('57A'!E29*'57B'!$K29/10),"-")</f>
        <v>40248.836239999997</v>
      </c>
      <c r="F29" s="287"/>
      <c r="G29" s="287">
        <f>IF(('57A'!G29*'57B'!$K29/10)&gt;0,('57A'!G29*'57B'!$K29/10),"-")</f>
        <v>52179.308955590299</v>
      </c>
      <c r="H29" s="287">
        <f>IF(('57A'!H29*'57B'!$K29/10)&gt;0,('57A'!H29*'57B'!$K29/10),"-")</f>
        <v>29479.835568130111</v>
      </c>
      <c r="I29" s="287">
        <f>IF(('57A'!I29*'57B'!$K29/10)&gt;0,('57A'!I29*'57B'!$K29/10),"-")</f>
        <v>29497.807600766013</v>
      </c>
      <c r="K29" s="287">
        <v>875.66</v>
      </c>
      <c r="L29" s="225"/>
    </row>
    <row r="30" spans="2:12" ht="15.05" customHeight="1">
      <c r="B30" s="408">
        <v>44927</v>
      </c>
      <c r="C30" s="287">
        <f>IF(('57A'!C30*'57B'!$K30/10)&gt;0,('57A'!C30*'57B'!$K30/10),"-")</f>
        <v>41883.86924</v>
      </c>
      <c r="D30" s="287">
        <f>IF(('57A'!D30*'57B'!$K30/10)&gt;0,('57A'!D30*'57B'!$K30/10),"-")</f>
        <v>41801.235240000002</v>
      </c>
      <c r="E30" s="287">
        <f>IF(('57A'!E30*'57B'!$K30/10)&gt;0,('57A'!E30*'57B'!$K30/10),"-")</f>
        <v>41429.382239999999</v>
      </c>
      <c r="F30" s="287"/>
      <c r="G30" s="287">
        <f>IF(('57A'!G30*'57B'!$K30/10)&gt;0,('57A'!G30*'57B'!$K30/10),"-")</f>
        <v>48040.53849428278</v>
      </c>
      <c r="H30" s="287">
        <f>IF(('57A'!H30*'57B'!$K30/10)&gt;0,('57A'!H30*'57B'!$K30/10),"-")</f>
        <v>27141.547171911177</v>
      </c>
      <c r="I30" s="287">
        <f>IF(('57A'!I30*'57B'!$K30/10)&gt;0,('57A'!I30*'57B'!$K30/10),"-")</f>
        <v>28494.279660073495</v>
      </c>
      <c r="K30" s="287">
        <v>826.34</v>
      </c>
      <c r="L30" s="225"/>
    </row>
    <row r="31" spans="2:12" ht="15.05" customHeight="1">
      <c r="B31" s="408">
        <v>44958</v>
      </c>
      <c r="C31" s="287">
        <f>IF(('57A'!C31*'57B'!$K31/10)&gt;0,('57A'!C31*'57B'!$K31/10),"-")</f>
        <v>39414.087500000001</v>
      </c>
      <c r="D31" s="287">
        <f>IF(('57A'!D31*'57B'!$K31/10)&gt;0,('57A'!D31*'57B'!$K31/10),"-")</f>
        <v>39274.392</v>
      </c>
      <c r="E31" s="287">
        <f>IF(('57A'!E31*'57B'!$K31/10)&gt;0,('57A'!E31*'57B'!$K31/10),"-")</f>
        <v>38971.851459999998</v>
      </c>
      <c r="F31" s="287"/>
      <c r="G31" s="287">
        <f>IF(('57A'!G31*'57B'!$K31/10)&gt;0,('57A'!G31*'57B'!$K31/10),"-")</f>
        <v>49107.432528758014</v>
      </c>
      <c r="H31" s="287">
        <f>IF(('57A'!H31*'57B'!$K31/10)&gt;0,('57A'!H31*'57B'!$K31/10),"-")</f>
        <v>27744.312163140119</v>
      </c>
      <c r="I31" s="287">
        <f>IF(('57A'!I31*'57B'!$K31/10)&gt;0,('57A'!I31*'57B'!$K31/10),"-")</f>
        <v>27629.836012114596</v>
      </c>
      <c r="K31" s="287">
        <v>798.26</v>
      </c>
      <c r="L31" s="545"/>
    </row>
    <row r="32" spans="2:12" ht="15.05" customHeight="1">
      <c r="B32" s="408">
        <v>44986</v>
      </c>
      <c r="C32" s="287">
        <f>IF(('57A'!C32*'57B'!$K32/10)&gt;0,('57A'!C32*'57B'!$K32/10),"-")</f>
        <v>38398.6325</v>
      </c>
      <c r="D32" s="287">
        <f>IF(('57A'!D32*'57B'!$K32/10)&gt;0,('57A'!D32*'57B'!$K32/10),"-")</f>
        <v>38263.446000000004</v>
      </c>
      <c r="E32" s="287">
        <f>IF(('57A'!E32*'57B'!$K32/10)&gt;0,('57A'!E32*'57B'!$K32/10),"-")</f>
        <v>38025.453000000001</v>
      </c>
      <c r="F32" s="287"/>
      <c r="G32" s="287">
        <f>IF(('57A'!G32*'57B'!$K32/10)&gt;0,('57A'!G32*'57B'!$K32/10),"-")</f>
        <v>47580.42224435314</v>
      </c>
      <c r="H32" s="287">
        <f>IF(('57A'!H32*'57B'!$K32/10)&gt;0,('57A'!H32*'57B'!$K32/10),"-")</f>
        <v>26881.594488335104</v>
      </c>
      <c r="I32" s="287">
        <f>IF(('57A'!I32*'57B'!$K32/10)&gt;0,('57A'!I32*'57B'!$K32/10),"-")</f>
        <v>28192.695952995935</v>
      </c>
      <c r="K32" s="287">
        <v>809.5</v>
      </c>
      <c r="L32" s="545"/>
    </row>
    <row r="33" spans="2:12" ht="15.05" customHeight="1">
      <c r="B33" s="408">
        <v>45017</v>
      </c>
      <c r="C33" s="287">
        <f>IF(('57A'!C33*'57B'!$K33/10)&gt;0,('57A'!C33*'57B'!$K33/10),"-")</f>
        <v>40197.626880000003</v>
      </c>
      <c r="D33" s="287">
        <f>IF(('57A'!D33*'57B'!$K33/10)&gt;0,('57A'!D33*'57B'!$K33/10),"-")</f>
        <v>40097.950720000001</v>
      </c>
      <c r="E33" s="287">
        <f>IF(('57A'!E33*'57B'!$K33/10)&gt;0,('57A'!E33*'57B'!$K33/10),"-")</f>
        <v>39725.772799999999</v>
      </c>
      <c r="F33" s="287">
        <f>IF(('57A'!F33*'57B'!$K33/10)&gt;0,('57A'!F33*'57B'!$K33/10)," ")</f>
        <v>29808.75</v>
      </c>
      <c r="G33" s="287">
        <f>IF(('57A'!G33*'57B'!$K33/10)&gt;0,('57A'!G33*'57B'!$K33/10),"-")</f>
        <v>47618.173745354565</v>
      </c>
      <c r="H33" s="287">
        <f>IF(('57A'!H33*'57B'!$K33/10)&gt;0,('57A'!H33*'57B'!$K33/10),"-")</f>
        <v>26902.923019974329</v>
      </c>
      <c r="I33" s="287">
        <f>IF(('57A'!I33*'57B'!$K33/10)&gt;0,('57A'!I33*'57B'!$K33/10),"-")</f>
        <v>28480.216221853323</v>
      </c>
      <c r="K33" s="287">
        <v>803.84</v>
      </c>
      <c r="L33" s="545"/>
    </row>
    <row r="34" spans="2:12" ht="15.05" customHeight="1">
      <c r="B34" s="408">
        <v>45047</v>
      </c>
      <c r="C34" s="287">
        <f>IF(('57A'!C34*'57B'!$K34/10)&gt;0,('57A'!C34*'57B'!$K34/10),"-")</f>
        <v>40609.246720000003</v>
      </c>
      <c r="D34" s="287">
        <f>IF(('57A'!D34*'57B'!$K34/10)&gt;0,('57A'!D34*'57B'!$K34/10),"-")</f>
        <v>40493.443919999998</v>
      </c>
      <c r="E34" s="287">
        <f>IF(('57A'!E34*'57B'!$K34/10)&gt;0,('57A'!E34*'57B'!$K34/10),"-")</f>
        <v>40011.864000000001</v>
      </c>
      <c r="F34" s="287">
        <f>IF(('57A'!F34*'57B'!$K34/10)&gt;0,('57A'!F34*'57B'!$K34/10)," ")</f>
        <v>29257.68817204301</v>
      </c>
      <c r="G34" s="287">
        <f>IF(('57A'!G34*'57B'!$K34/10)&gt;0,('57A'!G34*'57B'!$K34/10),"-")</f>
        <v>48426.702240403545</v>
      </c>
      <c r="H34" s="287">
        <f>IF(('57A'!H34*'57B'!$K34/10)&gt;0,('57A'!H34*'57B'!$K34/10),"-")</f>
        <v>27359.718779889005</v>
      </c>
      <c r="I34" s="287">
        <f>IF(('57A'!I34*'57B'!$K34/10)&gt;0,('57A'!I34*'57B'!$K34/10),"-")</f>
        <v>28395.547348535078</v>
      </c>
      <c r="K34" s="287">
        <v>798.64</v>
      </c>
      <c r="L34" s="545"/>
    </row>
    <row r="35" spans="2:12" ht="15.05" customHeight="1">
      <c r="B35" s="408">
        <v>45078</v>
      </c>
      <c r="C35" s="287">
        <f>IF(('57A'!C35*'57B'!$K35/10)&gt;0,('57A'!C35*'57B'!$K35/10),"-")</f>
        <v>40966.941789999997</v>
      </c>
      <c r="D35" s="287">
        <f>IF(('57A'!D35*'57B'!$K35/10)&gt;0,('57A'!D35*'57B'!$K35/10),"-")</f>
        <v>40843.761810000004</v>
      </c>
      <c r="E35" s="287">
        <f>IF(('57A'!E35*'57B'!$K35/10)&gt;0,('57A'!E35*'57B'!$K35/10),"-")</f>
        <v>40235.860609999996</v>
      </c>
      <c r="F35" s="287">
        <f>IF(('57A'!F35*'57B'!$K35/10)&gt;0,('57A'!F35*'57B'!$K35/10)," ")</f>
        <v>28325.916666666668</v>
      </c>
      <c r="G35" s="287">
        <f>IF(('57A'!G35*'57B'!$K35/10)&gt;0,('57A'!G35*'57B'!$K35/10),"-")</f>
        <v>48646.45357997976</v>
      </c>
      <c r="H35" s="287">
        <f>IF(('57A'!H35*'57B'!$K35/10)&gt;0,('57A'!H35*'57B'!$K35/10),"-")</f>
        <v>27483.872079084609</v>
      </c>
      <c r="I35" s="287">
        <f>IF(('57A'!I35*'57B'!$K35/10)&gt;0,('57A'!I35*'57B'!$K35/10),"-")</f>
        <v>28420.212359055295</v>
      </c>
      <c r="K35" s="287">
        <v>799.87</v>
      </c>
      <c r="L35" s="545"/>
    </row>
    <row r="36" spans="2:12" ht="15.05" customHeight="1">
      <c r="B36" s="408">
        <v>45108</v>
      </c>
      <c r="C36" s="287">
        <f>IF(('57A'!C36*'57B'!$K36/10)&gt;0,('57A'!C36*'57B'!$K36/10),"-")</f>
        <v>43647.857400000001</v>
      </c>
      <c r="D36" s="287">
        <f>IF(('57A'!D36*'57B'!$K36/10)&gt;0,('57A'!D36*'57B'!$K36/10),"-")</f>
        <v>43629.962599999999</v>
      </c>
      <c r="E36" s="287">
        <f>IF(('57A'!E36*'57B'!$K36/10)&gt;0,('57A'!E36*'57B'!$K36/10),"-")</f>
        <v>42816.562599999997</v>
      </c>
      <c r="F36" s="287">
        <f>IF(('57A'!F36*'57B'!$K36/10)&gt;0,('57A'!F36*'57B'!$K36/10)," ")</f>
        <v>28899.370967741932</v>
      </c>
      <c r="G36" s="287">
        <f>IF(('57A'!G36*'57B'!$K36/10)&gt;0,('57A'!G36*'57B'!$K36/10),"-")</f>
        <v>51233.765215067528</v>
      </c>
      <c r="H36" s="287">
        <f>IF(('57A'!H36*'57B'!$K36/10)&gt;0,('57A'!H36*'57B'!$K36/10),"-")</f>
        <v>28945.630065009907</v>
      </c>
      <c r="I36" s="287">
        <f>IF(('57A'!I36*'57B'!$K36/10)&gt;0,('57A'!I36*'57B'!$K36/10),"-")</f>
        <v>29592.215252769714</v>
      </c>
      <c r="K36" s="287">
        <v>813.4</v>
      </c>
      <c r="L36" s="545"/>
    </row>
    <row r="37" spans="2:12" ht="15.05" customHeight="1">
      <c r="B37" s="408">
        <v>45139</v>
      </c>
      <c r="C37" s="287">
        <f>IF(('57A'!C37*'57B'!$K37/10)&gt;0,('57A'!C37*'57B'!$K37/10),"-")</f>
        <v>52007.870459999991</v>
      </c>
      <c r="D37" s="287">
        <f>IF(('57A'!D37*'57B'!$K37/10)&gt;0,('57A'!D37*'57B'!$K37/10),"-")</f>
        <v>52037.81856</v>
      </c>
      <c r="E37" s="287">
        <f>IF(('57A'!E37*'57B'!$K37/10)&gt;0,('57A'!E37*'57B'!$K37/10),"-")</f>
        <v>51292.538700000005</v>
      </c>
      <c r="F37" s="287">
        <f>IF(('57A'!F37*'57B'!$K37/10)&gt;0,('57A'!F37*'57B'!$K37/10)," ")</f>
        <v>33345.870967741925</v>
      </c>
      <c r="G37" s="287">
        <f>IF(('57A'!G37*'57B'!$K37/10)&gt;0,('57A'!G37*'57B'!$K37/10),"-")</f>
        <v>55974.519064407701</v>
      </c>
      <c r="H37" s="287">
        <f>IF(('57A'!H37*'57B'!$K37/10)&gt;0,('57A'!H37*'57B'!$K37/10),"-")</f>
        <v>31624.022070286836</v>
      </c>
      <c r="I37" s="287">
        <f>IF(('57A'!I37*'57B'!$K37/10)&gt;0,('57A'!I37*'57B'!$K37/10),"-")</f>
        <v>34317.485225284181</v>
      </c>
      <c r="K37" s="287">
        <v>855.66</v>
      </c>
      <c r="L37" s="545"/>
    </row>
    <row r="38" spans="2:12" ht="15.05" customHeight="1">
      <c r="B38" s="408">
        <v>45170</v>
      </c>
      <c r="C38" s="287">
        <f>IF(('57A'!C38*'57B'!$K38/10)&gt;0,('57A'!C38*'57B'!$K38/10),"-")</f>
        <v>55401.469199999992</v>
      </c>
      <c r="D38" s="287">
        <f>IF(('57A'!D38*'57B'!$K38/10)&gt;0,('57A'!D38*'57B'!$K38/10),"-")</f>
        <v>55357.249199999998</v>
      </c>
      <c r="E38" s="287">
        <f>IF(('57A'!E38*'57B'!$K38/10)&gt;0,('57A'!E38*'57B'!$K38/10),"-")</f>
        <v>51513.646800000002</v>
      </c>
      <c r="F38" s="287">
        <f>IF(('57A'!F38*'57B'!$K38/10)&gt;0,('57A'!F38*'57B'!$K38/10)," ")</f>
        <v>37187.517292858931</v>
      </c>
      <c r="G38" s="287">
        <f>IF(('57A'!G38*'57B'!$K38/10)&gt;0,('57A'!G38*'57B'!$K38/10),"-")</f>
        <v>57537.832232090972</v>
      </c>
      <c r="H38" s="287">
        <f>IF(('57A'!H38*'57B'!$K38/10)&gt;0,('57A'!H38*'57B'!$K38/10),"-")</f>
        <v>32507.249848638963</v>
      </c>
      <c r="I38" s="287">
        <f>IF(('57A'!I38*'57B'!$K38/10)&gt;0,('57A'!I38*'57B'!$K38/10),"-")</f>
        <v>38169.19797758355</v>
      </c>
      <c r="K38" s="287">
        <v>884.4</v>
      </c>
      <c r="L38" s="545"/>
    </row>
    <row r="39" spans="2:12" ht="15.05" customHeight="1">
      <c r="B39" s="408">
        <v>45200</v>
      </c>
      <c r="C39" s="287">
        <f>IF(('57A'!C39*'57B'!$K39/10)&gt;0,('57A'!C39*'57B'!$K39/10),"-")</f>
        <v>54830.656499999997</v>
      </c>
      <c r="D39" s="287">
        <f>IF(('57A'!D39*'57B'!$K39/10)&gt;0,('57A'!D39*'57B'!$K39/10),"-")</f>
        <v>54798.234250000001</v>
      </c>
      <c r="E39" s="287">
        <f>IF(('57A'!E39*'57B'!$K39/10)&gt;0,('57A'!E39*'57B'!$K39/10),"-")</f>
        <v>53545.809049999996</v>
      </c>
      <c r="F39" s="287">
        <f>IF(('57A'!F39*'57B'!$K39/10)&gt;0,('57A'!F39*'57B'!$K39/10)," ")</f>
        <v>38800</v>
      </c>
      <c r="G39" s="287">
        <f>IF(('57A'!G39*'57B'!$K39/10)&gt;0,('57A'!G39*'57B'!$K39/10),"-")</f>
        <v>63865.346276989541</v>
      </c>
      <c r="H39" s="287">
        <f>IF(('57A'!H39*'57B'!$K39/10)&gt;0,('57A'!H39*'57B'!$K39/10),"-")</f>
        <v>36082.116540672061</v>
      </c>
      <c r="I39" s="287">
        <f>IF(('57A'!I39*'57B'!$K39/10)&gt;0,('57A'!I39*'57B'!$K39/10),"-")</f>
        <v>41182.232788038949</v>
      </c>
      <c r="K39" s="287">
        <v>926.35</v>
      </c>
      <c r="L39" s="545"/>
    </row>
    <row r="40" spans="2:12" ht="15.05" customHeight="1">
      <c r="B40" s="408">
        <v>45231</v>
      </c>
      <c r="C40" s="287">
        <f>IF(('57A'!C40*'57B'!$K40/10)&gt;0,('57A'!C40*'57B'!$K40/10),"-")</f>
        <v>52398.650999999998</v>
      </c>
      <c r="D40" s="287">
        <f>IF(('57A'!D40*'57B'!$K40/10)&gt;0,('57A'!D40*'57B'!$K40/10),"-")</f>
        <v>52267.432719999997</v>
      </c>
      <c r="E40" s="287">
        <f>IF(('57A'!E40*'57B'!$K40/10)&gt;0,('57A'!E40*'57B'!$K40/10),"-")</f>
        <v>51249.604439999996</v>
      </c>
      <c r="F40" s="287"/>
      <c r="G40" s="287">
        <f>IF(('57A'!G40*'57B'!$K40/10)&gt;0,('57A'!G40*'57B'!$K40/10),"-")</f>
        <v>63305.607139519961</v>
      </c>
      <c r="H40" s="287">
        <f>IF(('57A'!H40*'57B'!$K40/10)&gt;0,('57A'!H40*'57B'!$K40/10),"-")</f>
        <v>35765.879739841788</v>
      </c>
      <c r="I40" s="287">
        <f>IF(('57A'!I40*'57B'!$K40/10)&gt;0,('57A'!I40*'57B'!$K40/10),"-")</f>
        <v>39933.931274846094</v>
      </c>
      <c r="K40" s="287">
        <v>886.61</v>
      </c>
      <c r="L40" s="545"/>
    </row>
    <row r="41" spans="2:12" ht="15.05" customHeight="1">
      <c r="B41" s="408">
        <v>45261</v>
      </c>
      <c r="C41" s="287">
        <f>IF(('57A'!C41*'57B'!$K41/10)&gt;0,('57A'!C41*'57B'!$K41/10),"-")</f>
        <v>56094.336439999999</v>
      </c>
      <c r="D41" s="287">
        <f>IF(('57A'!D41*'57B'!$K41/10)&gt;0,('57A'!D41*'57B'!$K41/10),"-")</f>
        <v>55990.250709999993</v>
      </c>
      <c r="E41" s="287">
        <f>IF(('57A'!E41*'57B'!$K41/10)&gt;0,('57A'!E41*'57B'!$K41/10),"-")</f>
        <v>54565.413280000001</v>
      </c>
      <c r="F41" s="287"/>
      <c r="G41" s="287">
        <f>IF(('57A'!G41*'57B'!$K41/10)&gt;0,('57A'!G41*'57B'!$K41/10),"-")</f>
        <v>59890.101481865175</v>
      </c>
      <c r="H41" s="287">
        <f>IF(('57A'!H41*'57B'!$K41/10)&gt;0,('57A'!H41*'57B'!$K41/10),"-")</f>
        <v>33836.215526477499</v>
      </c>
      <c r="I41" s="287">
        <f>IF(('57A'!I41*'57B'!$K41/10)&gt;0,('57A'!I41*'57B'!$K41/10),"-")</f>
        <v>40368.46920146604</v>
      </c>
      <c r="K41" s="287">
        <v>874.67</v>
      </c>
      <c r="L41" s="545"/>
    </row>
    <row r="42" spans="2:12" ht="15.05" customHeight="1">
      <c r="B42" s="408">
        <v>45292</v>
      </c>
      <c r="C42" s="287">
        <f>IF(('57A'!C42*'57B'!$K42/10)&gt;0,('57A'!C42*'57B'!$K42/10),"-")</f>
        <v>59963.659599999999</v>
      </c>
      <c r="D42" s="287">
        <f>IF(('57A'!D42*'57B'!$K42/10)&gt;0,('57A'!D42*'57B'!$K42/10),"-")</f>
        <v>59809.301300000006</v>
      </c>
      <c r="E42" s="287">
        <f>IF(('57A'!E42*'57B'!$K42/10)&gt;0,('57A'!E42*'57B'!$K42/10),"-")</f>
        <v>58068.984106700009</v>
      </c>
      <c r="F42" s="287"/>
      <c r="G42" s="287">
        <f>IF(('57A'!G42*'57B'!$K42/10)&gt;0,('57A'!G42*'57B'!$K42/10),"-")</f>
        <v>62028.277354086647</v>
      </c>
      <c r="H42" s="287">
        <f>IF(('57A'!H42*'57B'!$K42/10)&gt;0,('57A'!H42*'57B'!$K42/10),"-")</f>
        <v>35044.224493834263</v>
      </c>
      <c r="I42" s="287">
        <f>IF(('57A'!I42*'57B'!$K42/10)&gt;0,('57A'!I42*'57B'!$K42/10),"-")</f>
        <v>42620.824815217391</v>
      </c>
      <c r="K42" s="287">
        <v>907.99</v>
      </c>
      <c r="L42" s="545"/>
    </row>
    <row r="43" spans="2:12" ht="15.05" customHeight="1">
      <c r="B43" s="408">
        <v>45323</v>
      </c>
      <c r="C43" s="287">
        <f>IF(('57A'!C43*'57B'!$K43/10)&gt;0,('57A'!C43*'57B'!$K43/10),"-")</f>
        <v>60842.893116799998</v>
      </c>
      <c r="D43" s="287">
        <f>IF(('57A'!D43*'57B'!$K43/10)&gt;0,('57A'!D43*'57B'!$K43/10),"-")</f>
        <v>60723.291675200002</v>
      </c>
      <c r="E43" s="287">
        <f>IF(('57A'!E43*'57B'!$K43/10)&gt;0,('57A'!E43*'57B'!$K43/10),"-")</f>
        <v>59231.626426399998</v>
      </c>
      <c r="F43" s="287"/>
      <c r="G43" s="287">
        <f>IF(('57A'!G43*'57B'!$K43/10)&gt;0,('57A'!G43*'57B'!$K43/10),"-")</f>
        <v>69984.605621506227</v>
      </c>
      <c r="H43" s="287">
        <f>IF(('57A'!H43*'57B'!$K43/10)&gt;0,('57A'!H43*'57B'!$K43/10),"-")</f>
        <v>39539.325209890529</v>
      </c>
      <c r="I43" s="287">
        <f>IF(('57A'!I43*'57B'!$K43/10)&gt;0,('57A'!I43*'57B'!$K43/10),"-")</f>
        <v>42240.053861383079</v>
      </c>
      <c r="K43" s="287">
        <v>963.44</v>
      </c>
      <c r="L43" s="545"/>
    </row>
    <row r="44" spans="2:12" ht="15.05" customHeight="1">
      <c r="B44" s="408">
        <v>45352</v>
      </c>
      <c r="C44" s="287">
        <f>IF(('57A'!C44*'57B'!$K44/10)&gt;0,('57A'!C44*'57B'!$K44/10),"-")</f>
        <v>59933.596445499992</v>
      </c>
      <c r="D44" s="287">
        <f>IF(('57A'!D44*'57B'!$K44/10)&gt;0,('57A'!D44*'57B'!$K44/10),"-")</f>
        <v>59824.317148499991</v>
      </c>
      <c r="E44" s="287">
        <f>IF(('57A'!E44*'57B'!$K44/10)&gt;0,('57A'!E44*'57B'!$K44/10),"-")</f>
        <v>58419.250601899999</v>
      </c>
      <c r="F44" s="287">
        <f>IF(('57A'!F44*'57B'!$K44/10)&gt;0,('57A'!F44*'57B'!$K44/10)," ")</f>
        <v>40006.500000000007</v>
      </c>
      <c r="G44" s="287">
        <f>IF(('57A'!G44*'57B'!$K44/10)&gt;0,('57A'!G44*'57B'!$K44/10),"-")</f>
        <v>72448.389826801445</v>
      </c>
      <c r="H44" s="287">
        <f>IF(('57A'!H44*'57B'!$K44/10)&gt;0,('57A'!H44*'57B'!$K44/10),"-")</f>
        <v>40931.293687458441</v>
      </c>
      <c r="I44" s="287">
        <f>IF(('57A'!I44*'57B'!$K44/10)&gt;0,('57A'!I44*'57B'!$K44/10),"-")</f>
        <v>40617.623737369744</v>
      </c>
      <c r="K44" s="287">
        <v>967.93</v>
      </c>
      <c r="L44" s="545"/>
    </row>
    <row r="45" spans="2:12" ht="15.05" customHeight="1">
      <c r="B45" s="408">
        <v>45383</v>
      </c>
      <c r="C45" s="287">
        <f>IF(('57A'!C45*'57B'!$K45/10)&gt;0,('57A'!C45*'57B'!$K45/10),"-")</f>
        <v>57029.109132399994</v>
      </c>
      <c r="D45" s="287">
        <f>IF(('57A'!D45*'57B'!$K45/10)&gt;0,('57A'!D45*'57B'!$K45/10),"-")</f>
        <v>56904.290932399999</v>
      </c>
      <c r="E45" s="287">
        <f>IF(('57A'!E45*'57B'!$K45/10)&gt;0,('57A'!E45*'57B'!$K45/10),"-")</f>
        <v>55592.105999999992</v>
      </c>
      <c r="F45" s="287">
        <f>IF(('57A'!F45*'57B'!$K45/10)&gt;0,('57A'!F45*'57B'!$K45/10)," ")</f>
        <v>40697.050000000003</v>
      </c>
      <c r="G45" s="287">
        <f>IF(('57A'!G45*'57B'!$K45/10)&gt;0,('57A'!G45*'57B'!$K45/10),"-")</f>
        <v>73105.764018639573</v>
      </c>
      <c r="H45" s="287">
        <f>IF(('57A'!H45*'57B'!$K45/10)&gt;0,('57A'!H45*'57B'!$K45/10),"-")</f>
        <v>41302.691535954553</v>
      </c>
      <c r="I45" s="287">
        <f>IF(('57A'!I45*'57B'!$K45/10)&gt;0,('57A'!I45*'57B'!$K45/10),"-")</f>
        <v>40864.829471556892</v>
      </c>
      <c r="K45" s="287">
        <v>960.14</v>
      </c>
      <c r="L45" s="545"/>
    </row>
    <row r="46" spans="2:12" ht="15.05" customHeight="1">
      <c r="B46" s="408">
        <v>45413</v>
      </c>
      <c r="C46" s="287">
        <f>IF(('57A'!C46*'57B'!$K46/10)&gt;0,('57A'!C46*'57B'!$K46/10),"-")</f>
        <v>57669.510056399995</v>
      </c>
      <c r="D46" s="287">
        <f>IF(('57A'!D46*'57B'!$K46/10)&gt;0,('57A'!D46*'57B'!$K46/10),"-")</f>
        <v>57533.305843199996</v>
      </c>
      <c r="E46" s="287">
        <f>IF(('57A'!E46*'57B'!$K46/10)&gt;0,('57A'!E46*'57B'!$K46/10),"-")</f>
        <v>56011.405730400002</v>
      </c>
      <c r="F46" s="287">
        <f>IF(('57A'!F46*'57B'!$K46/10)&gt;0,('57A'!F46*'57B'!$K46/10)," ")</f>
        <v>42056.338709677417</v>
      </c>
      <c r="G46" s="287">
        <f>IF(('57A'!G46*'57B'!$K46/10)&gt;0,('57A'!G46*'57B'!$K46/10),"-")</f>
        <v>71387.491540887524</v>
      </c>
      <c r="H46" s="287">
        <f>IF(('57A'!H46*'57B'!$K46/10)&gt;0,('57A'!H46*'57B'!$K46/10),"-")</f>
        <v>40331.916124795207</v>
      </c>
      <c r="I46" s="287">
        <f>IF(('57A'!I46*'57B'!$K46/10)&gt;0,('57A'!I46*'57B'!$K46/10),"-")</f>
        <v>41884.702875108385</v>
      </c>
      <c r="K46" s="287">
        <v>917.88</v>
      </c>
      <c r="L46" s="545"/>
    </row>
    <row r="47" spans="2:12" ht="15.05" customHeight="1">
      <c r="B47" s="408">
        <v>45444</v>
      </c>
      <c r="C47" s="287">
        <f>IF(('57A'!C47*'57B'!$K47/10)&gt;0,('57A'!C47*'57B'!$K47/10),"-")</f>
        <v>59037.599999999999</v>
      </c>
      <c r="D47" s="287">
        <f>IF(('57A'!D47*'57B'!$K47/10)&gt;0,('57A'!D47*'57B'!$K47/10),"-")</f>
        <v>58160.907846400005</v>
      </c>
      <c r="E47" s="287">
        <f>IF(('57A'!E47*'57B'!$K47/10)&gt;0,('57A'!E47*'57B'!$K47/10),"-")</f>
        <v>57213.222399999991</v>
      </c>
      <c r="F47" s="287">
        <f>IF(('57A'!F47*'57B'!$K47/10)&gt;0,('57A'!F47*'57B'!$K47/10)," ")</f>
        <v>42628.26666666667</v>
      </c>
      <c r="G47" s="287">
        <f>IF(('57A'!G47*'57B'!$K47/10)&gt;0,('57A'!G47*'57B'!$K47/10),"-")</f>
        <v>74432.211097924635</v>
      </c>
      <c r="H47" s="287">
        <f>IF(('57A'!H47*'57B'!$K47/10)&gt;0,('57A'!H47*'57B'!$K47/10),"-")</f>
        <v>42052.096665494137</v>
      </c>
      <c r="I47" s="287">
        <f>IF(('57A'!I47*'57B'!$K47/10)&gt;0,('57A'!I47*'57B'!$K47/10),"-")</f>
        <v>43070.180112969792</v>
      </c>
      <c r="K47" s="287">
        <v>926.08</v>
      </c>
      <c r="L47" s="545"/>
    </row>
    <row r="48" spans="2:12" ht="15.05" customHeight="1">
      <c r="B48" s="408">
        <v>45474</v>
      </c>
      <c r="C48" s="287">
        <f>IF(('57A'!C48*'57B'!$K48/10)&gt;0,('57A'!C48*'57B'!$K48/10),"-")</f>
        <v>55624.5253668</v>
      </c>
      <c r="D48" s="287">
        <f>IF(('57A'!D48*'57B'!$K48/10)&gt;0,('57A'!D48*'57B'!$K48/10),"-")</f>
        <v>55530.769366799992</v>
      </c>
      <c r="E48" s="287">
        <f>IF(('57A'!E48*'57B'!$K48/10)&gt;0,('57A'!E48*'57B'!$K48/10),"-")</f>
        <v>54060.919052400001</v>
      </c>
      <c r="F48" s="287">
        <f>IF(('57A'!F48*'57B'!$K48/10)&gt;0,('57A'!F48*'57B'!$K48/10)," ")</f>
        <v>43648.5</v>
      </c>
      <c r="G48" s="287">
        <f>IF(('57A'!G48*'57B'!$K48/10)&gt;0,('57A'!G48*'57B'!$K48/10),"-")</f>
        <v>74164.35371629009</v>
      </c>
      <c r="H48" s="287">
        <f>IF(('57A'!H48*'57B'!$K48/10)&gt;0,('57A'!H48*'57B'!$K48/10),"-")</f>
        <v>41900.764811463327</v>
      </c>
      <c r="I48" s="287">
        <f>IF(('57A'!I48*'57B'!$K48/10)&gt;0,('57A'!I48*'57B'!$K48/10),"-")</f>
        <v>43716.415603432935</v>
      </c>
      <c r="K48" s="1081">
        <v>937.56</v>
      </c>
      <c r="L48" s="545"/>
    </row>
    <row r="49" spans="2:9" ht="24.05" customHeight="1">
      <c r="B49" s="1076" t="s">
        <v>669</v>
      </c>
      <c r="C49" s="1076"/>
      <c r="D49" s="1076"/>
      <c r="E49" s="1076"/>
      <c r="F49" s="1076"/>
      <c r="G49" s="1076"/>
      <c r="H49" s="1076"/>
      <c r="I49" s="1076"/>
    </row>
    <row r="50" spans="2:9" ht="24.25" customHeight="1">
      <c r="B50" s="1076"/>
      <c r="C50" s="1076"/>
      <c r="D50" s="1076"/>
      <c r="E50" s="1076"/>
      <c r="F50" s="1076"/>
      <c r="G50" s="1076"/>
      <c r="H50" s="1076"/>
      <c r="I50" s="1076"/>
    </row>
    <row r="51" spans="2:9" ht="15.05" customHeight="1"/>
    <row r="52" spans="2:9" ht="15.05" customHeight="1"/>
    <row r="53" spans="2:9" ht="15.05" customHeight="1"/>
    <row r="54" spans="2:9" ht="15.05" customHeight="1"/>
    <row r="55" spans="2:9" ht="15.05" customHeight="1"/>
    <row r="56" spans="2:9" ht="15.05" customHeight="1"/>
    <row r="57" spans="2:9" ht="15.05" customHeight="1"/>
    <row r="58" spans="2:9" ht="15.05" customHeight="1"/>
    <row r="59" spans="2:9" ht="15.05" customHeight="1"/>
    <row r="60" spans="2:9" ht="13.75" customHeight="1"/>
    <row r="61" spans="2:9" ht="13.75" customHeight="1"/>
    <row r="62" spans="2:9" ht="13.75" customHeight="1"/>
    <row r="63" spans="2:9" ht="13.75" customHeight="1"/>
    <row r="64" spans="2:9" ht="13.75" customHeight="1"/>
    <row r="65" spans="2:9" ht="29.95" hidden="1" customHeight="1"/>
    <row r="66" spans="2:9" ht="11.3" hidden="1" customHeight="1"/>
    <row r="67" spans="2:9" ht="11.3" hidden="1" customHeight="1"/>
    <row r="68" spans="2:9" ht="11.95" hidden="1" customHeight="1"/>
    <row r="69" spans="2:9" ht="19" customHeight="1">
      <c r="B69" s="880" t="s">
        <v>670</v>
      </c>
      <c r="C69" s="880"/>
      <c r="D69" s="880"/>
      <c r="E69" s="880"/>
      <c r="F69" s="880"/>
      <c r="G69" s="880"/>
      <c r="H69" s="880"/>
      <c r="I69" s="880"/>
    </row>
    <row r="70" spans="2:9">
      <c r="B70" s="880"/>
      <c r="C70" s="880"/>
      <c r="D70" s="880"/>
      <c r="E70" s="880"/>
      <c r="F70" s="880"/>
      <c r="G70" s="880"/>
      <c r="H70" s="880"/>
      <c r="I70" s="880"/>
    </row>
  </sheetData>
  <mergeCells count="5">
    <mergeCell ref="B1:I1"/>
    <mergeCell ref="B3:I3"/>
    <mergeCell ref="B4:I4"/>
    <mergeCell ref="B49:I50"/>
    <mergeCell ref="B69:I70"/>
  </mergeCells>
  <printOptions horizontalCentered="1" verticalCentered="1"/>
  <pageMargins left="0.59055118110236227" right="0.59055118110236227" top="0" bottom="0.23622047244094491" header="0" footer="0.23622047244094491"/>
  <pageSetup scale="74" firstPageNumber="0" orientation="portrait" r:id="rId1"/>
  <headerFooter alignWithMargins="0">
    <oddFooter>&amp;C&amp;10&amp;A</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F1:BB165"/>
  <sheetViews>
    <sheetView zoomScale="80" zoomScaleNormal="80" workbookViewId="0">
      <pane ySplit="1" topLeftCell="A2" activePane="bottomLeft" state="frozen"/>
      <selection pane="bottomLeft" activeCell="H17" sqref="H17"/>
    </sheetView>
  </sheetViews>
  <sheetFormatPr baseColWidth="10" defaultColWidth="10.9140625" defaultRowHeight="12.45"/>
  <cols>
    <col min="1" max="1" width="8" style="275" customWidth="1"/>
    <col min="2" max="4" width="10.9140625" style="275"/>
    <col min="5" max="5" width="21.33203125" style="275" customWidth="1"/>
    <col min="6" max="6" width="10.9140625" style="343"/>
    <col min="7" max="7" width="10.9140625" style="275" customWidth="1"/>
    <col min="8" max="8" width="15.08203125" style="275" bestFit="1" customWidth="1"/>
    <col min="9" max="12" width="10.9140625" style="275" hidden="1" customWidth="1"/>
    <col min="13" max="24" width="0" style="275" hidden="1" customWidth="1"/>
    <col min="25" max="34" width="10.9140625" style="275"/>
    <col min="35" max="54" width="10.9140625" style="343"/>
    <col min="55" max="16384" width="10.9140625" style="275"/>
  </cols>
  <sheetData>
    <row r="1" spans="7:33">
      <c r="H1" s="275" t="s">
        <v>671</v>
      </c>
      <c r="I1" s="417">
        <v>44378</v>
      </c>
      <c r="J1" s="417">
        <v>44440</v>
      </c>
      <c r="K1" s="417">
        <v>44501</v>
      </c>
      <c r="L1" s="417">
        <v>44562</v>
      </c>
      <c r="M1" s="417">
        <v>44621</v>
      </c>
      <c r="N1" s="417">
        <v>44682</v>
      </c>
      <c r="O1" s="417">
        <v>44743</v>
      </c>
      <c r="P1" s="417">
        <v>44805</v>
      </c>
      <c r="Q1" s="417">
        <v>44866</v>
      </c>
      <c r="R1" s="417">
        <v>44927</v>
      </c>
      <c r="S1" s="417">
        <v>44986</v>
      </c>
      <c r="T1" s="417">
        <v>45047</v>
      </c>
      <c r="U1" s="417">
        <v>45108</v>
      </c>
      <c r="V1" s="417">
        <v>45170</v>
      </c>
      <c r="W1" s="417">
        <v>45231</v>
      </c>
      <c r="X1" s="417">
        <v>45292</v>
      </c>
      <c r="Y1" s="417">
        <v>45352</v>
      </c>
      <c r="Z1" s="417">
        <v>45413</v>
      </c>
      <c r="AA1" s="417">
        <v>45474</v>
      </c>
      <c r="AB1" s="417">
        <v>45536</v>
      </c>
      <c r="AC1" s="417">
        <v>45597</v>
      </c>
      <c r="AD1" s="417">
        <v>45658</v>
      </c>
      <c r="AE1" s="417">
        <v>45717</v>
      </c>
      <c r="AF1" s="417">
        <v>45778</v>
      </c>
      <c r="AG1" s="417">
        <v>45839</v>
      </c>
    </row>
    <row r="2" spans="7:33">
      <c r="G2" s="617">
        <v>44340</v>
      </c>
      <c r="H2" s="275" t="s">
        <v>294</v>
      </c>
      <c r="I2" s="618">
        <v>289.90811125416673</v>
      </c>
      <c r="J2" s="618">
        <v>295.4196723046262</v>
      </c>
      <c r="K2" s="618">
        <v>298.39591527187429</v>
      </c>
      <c r="L2" s="618">
        <v>302.80516411224181</v>
      </c>
      <c r="M2" s="618">
        <v>302.80516411224181</v>
      </c>
      <c r="N2" s="618">
        <v>302.80516411224181</v>
      </c>
      <c r="O2" s="618">
        <v>302.80516411224181</v>
      </c>
    </row>
    <row r="3" spans="7:33">
      <c r="G3" s="617">
        <v>44348</v>
      </c>
      <c r="H3" s="275" t="s">
        <v>295</v>
      </c>
      <c r="I3" s="618">
        <v>292.88435422141481</v>
      </c>
      <c r="J3" s="618">
        <v>298.61637771389263</v>
      </c>
      <c r="K3" s="618">
        <v>301.37215823912237</v>
      </c>
      <c r="L3" s="618">
        <v>305.1200197534348</v>
      </c>
      <c r="M3" s="618">
        <v>305.230250974444</v>
      </c>
      <c r="N3" s="618">
        <v>305.230250974444</v>
      </c>
      <c r="O3" s="618">
        <v>305.230250974444</v>
      </c>
    </row>
    <row r="4" spans="7:33">
      <c r="G4" s="617">
        <v>44354</v>
      </c>
      <c r="H4" s="275" t="s">
        <v>296</v>
      </c>
      <c r="I4" s="618">
        <v>292.55366055838726</v>
      </c>
      <c r="J4" s="618">
        <v>298.94707137692023</v>
      </c>
      <c r="K4" s="618">
        <v>302.36423922820507</v>
      </c>
      <c r="L4" s="618">
        <v>306.44279440554504</v>
      </c>
      <c r="M4" s="618">
        <v>306.77348806857265</v>
      </c>
      <c r="N4" s="618">
        <v>306.77348806857265</v>
      </c>
      <c r="O4" s="618">
        <v>306.77348806857265</v>
      </c>
    </row>
    <row r="5" spans="7:33">
      <c r="G5" s="617">
        <v>44361</v>
      </c>
      <c r="H5" s="275" t="s">
        <v>297</v>
      </c>
      <c r="I5" s="619">
        <v>275.6882837439814</v>
      </c>
      <c r="J5" s="619">
        <v>281.86123212049591</v>
      </c>
      <c r="K5" s="619">
        <v>286.93186828691864</v>
      </c>
      <c r="L5" s="619">
        <v>292.00250445334132</v>
      </c>
      <c r="M5" s="619">
        <v>292.44342933737806</v>
      </c>
      <c r="N5" s="619">
        <v>292.44342933737806</v>
      </c>
      <c r="O5" s="619">
        <v>292.44342933737806</v>
      </c>
    </row>
    <row r="6" spans="7:33">
      <c r="G6" s="617">
        <v>44368</v>
      </c>
      <c r="H6" s="275" t="s">
        <v>298</v>
      </c>
      <c r="I6" s="619">
        <v>280.42822624737647</v>
      </c>
      <c r="J6" s="619">
        <v>287.04209950792779</v>
      </c>
      <c r="K6" s="619">
        <v>291.89227323233212</v>
      </c>
      <c r="L6" s="619">
        <v>296.74244695673644</v>
      </c>
      <c r="M6" s="619">
        <v>297.18337184077319</v>
      </c>
      <c r="N6" s="619">
        <v>297.18337184077319</v>
      </c>
      <c r="O6" s="619">
        <v>297.18337184077319</v>
      </c>
    </row>
    <row r="7" spans="7:33">
      <c r="G7" s="617">
        <v>44375</v>
      </c>
      <c r="H7" s="275" t="s">
        <v>299</v>
      </c>
      <c r="I7" s="619">
        <v>290.01834247517593</v>
      </c>
      <c r="J7" s="619">
        <v>296.74244695673644</v>
      </c>
      <c r="K7" s="619">
        <v>302.14377678618666</v>
      </c>
      <c r="L7" s="619">
        <v>306.1121007425175</v>
      </c>
      <c r="M7" s="619">
        <v>307.65533783664614</v>
      </c>
      <c r="N7" s="619">
        <v>307.65533783664614</v>
      </c>
      <c r="O7" s="619">
        <v>307.65533783664614</v>
      </c>
    </row>
    <row r="8" spans="7:33">
      <c r="G8" s="617">
        <v>44383</v>
      </c>
      <c r="H8" s="275" t="s">
        <v>300</v>
      </c>
      <c r="I8" s="619">
        <v>276.01897740700895</v>
      </c>
      <c r="J8" s="619">
        <v>282.63285066756026</v>
      </c>
      <c r="K8" s="619">
        <v>287.37279317095539</v>
      </c>
      <c r="L8" s="619">
        <v>292.55366055838726</v>
      </c>
      <c r="M8" s="619">
        <v>297.84475916682834</v>
      </c>
      <c r="N8" s="619">
        <v>297.84475916682834</v>
      </c>
      <c r="O8" s="619">
        <v>297.84475916682834</v>
      </c>
    </row>
    <row r="9" spans="7:33">
      <c r="G9" s="617">
        <v>44389</v>
      </c>
      <c r="H9" s="275" t="s">
        <v>302</v>
      </c>
      <c r="I9" s="619">
        <v>279.10545159526623</v>
      </c>
      <c r="J9" s="619">
        <v>284.28631898269811</v>
      </c>
      <c r="K9" s="619">
        <v>289.35695514912078</v>
      </c>
      <c r="L9" s="619">
        <v>293.65597276847916</v>
      </c>
      <c r="M9" s="619">
        <v>297.51406550380079</v>
      </c>
      <c r="N9" s="619">
        <v>297.51406550380079</v>
      </c>
      <c r="O9" s="619">
        <v>297.51406550380079</v>
      </c>
    </row>
    <row r="10" spans="7:33">
      <c r="G10" s="617">
        <v>44396</v>
      </c>
      <c r="H10" s="275" t="s">
        <v>303</v>
      </c>
      <c r="I10" s="619"/>
      <c r="J10" s="619">
        <v>287.48302439196459</v>
      </c>
      <c r="K10" s="619">
        <v>292.66389177939647</v>
      </c>
      <c r="L10" s="619">
        <v>295.97082840967215</v>
      </c>
      <c r="M10" s="619">
        <v>299.27776503994778</v>
      </c>
      <c r="N10" s="619">
        <v>299.27776503994778</v>
      </c>
      <c r="O10" s="619">
        <v>299.27776503994778</v>
      </c>
    </row>
    <row r="11" spans="7:33">
      <c r="G11" s="617">
        <v>44403</v>
      </c>
      <c r="H11" s="275" t="s">
        <v>304</v>
      </c>
      <c r="I11" s="619"/>
      <c r="J11" s="619">
        <v>298.61637771389263</v>
      </c>
      <c r="K11" s="619">
        <v>303.24608899627862</v>
      </c>
      <c r="L11" s="619">
        <v>305.78140707948995</v>
      </c>
      <c r="M11" s="619">
        <v>308.09626272068289</v>
      </c>
      <c r="N11" s="619">
        <v>308.09626272068289</v>
      </c>
      <c r="O11" s="619">
        <v>308.09626272068289</v>
      </c>
    </row>
    <row r="12" spans="7:33">
      <c r="G12" s="617">
        <v>44410</v>
      </c>
      <c r="H12" s="275" t="s">
        <v>305</v>
      </c>
      <c r="I12" s="619"/>
      <c r="J12" s="619">
        <v>297.51406550380079</v>
      </c>
      <c r="K12" s="619">
        <v>303.68701388031536</v>
      </c>
      <c r="L12" s="619">
        <v>305.67117585848075</v>
      </c>
      <c r="M12" s="619">
        <v>306.44279440554504</v>
      </c>
      <c r="N12" s="619">
        <v>311.18273690894017</v>
      </c>
      <c r="O12" s="619">
        <v>311.18273690894017</v>
      </c>
    </row>
    <row r="13" spans="7:33">
      <c r="G13" s="617">
        <v>44417</v>
      </c>
      <c r="H13" s="275" t="s">
        <v>306</v>
      </c>
      <c r="J13" s="619">
        <v>295.1992098626078</v>
      </c>
      <c r="K13" s="619">
        <v>301.37215823912237</v>
      </c>
      <c r="L13" s="619">
        <v>303.24608899627862</v>
      </c>
      <c r="M13" s="619">
        <v>304.78932609040726</v>
      </c>
      <c r="N13" s="619">
        <v>308.64741882572883</v>
      </c>
      <c r="O13" s="619">
        <v>308.64741882572883</v>
      </c>
    </row>
    <row r="14" spans="7:33">
      <c r="G14" s="617">
        <v>44424</v>
      </c>
      <c r="H14" s="275" t="s">
        <v>307</v>
      </c>
      <c r="J14" s="619">
        <v>298.72660893490183</v>
      </c>
      <c r="K14" s="619">
        <v>304.67909486939806</v>
      </c>
      <c r="L14" s="619">
        <v>307.21441295260939</v>
      </c>
      <c r="M14" s="619">
        <v>308.20649394169209</v>
      </c>
      <c r="N14" s="619">
        <v>310.41111836187588</v>
      </c>
      <c r="O14" s="619">
        <v>312.61574278205961</v>
      </c>
    </row>
    <row r="15" spans="7:33">
      <c r="G15" s="617">
        <v>44431</v>
      </c>
      <c r="H15" s="275" t="s">
        <v>308</v>
      </c>
      <c r="J15" s="619">
        <v>295.1992098626078</v>
      </c>
      <c r="K15" s="619">
        <v>300.60053969205802</v>
      </c>
      <c r="L15" s="619">
        <v>303.02562655426021</v>
      </c>
      <c r="M15" s="619">
        <v>303.68701388031536</v>
      </c>
      <c r="N15" s="619">
        <v>305.78140707948995</v>
      </c>
      <c r="O15" s="619">
        <v>307.98603149967369</v>
      </c>
    </row>
    <row r="16" spans="7:33">
      <c r="G16" s="617">
        <v>44438</v>
      </c>
      <c r="H16" s="275" t="s">
        <v>309</v>
      </c>
      <c r="J16" s="619">
        <v>290.12857369618513</v>
      </c>
      <c r="K16" s="619">
        <v>296.3015220726997</v>
      </c>
      <c r="L16" s="619">
        <v>299.27776503994778</v>
      </c>
      <c r="M16" s="619">
        <v>301.48238946013157</v>
      </c>
      <c r="N16" s="619">
        <v>303.57678265930616</v>
      </c>
      <c r="O16" s="619">
        <v>305.78140707948995</v>
      </c>
    </row>
    <row r="17" spans="7:15">
      <c r="G17" s="617">
        <v>44446</v>
      </c>
      <c r="H17" s="275" t="s">
        <v>310</v>
      </c>
      <c r="J17" s="619">
        <v>288.80579904407489</v>
      </c>
      <c r="K17" s="619">
        <v>293.98666643150671</v>
      </c>
      <c r="L17" s="619">
        <v>298.39591527187429</v>
      </c>
      <c r="M17" s="619">
        <v>302.36423922820507</v>
      </c>
      <c r="N17" s="619">
        <v>304.56886364838886</v>
      </c>
      <c r="O17" s="619">
        <v>306.77348806857265</v>
      </c>
    </row>
    <row r="18" spans="7:15">
      <c r="G18" s="617">
        <v>44452</v>
      </c>
      <c r="H18" s="275" t="s">
        <v>311</v>
      </c>
      <c r="K18" s="619">
        <v>298.72660893490183</v>
      </c>
      <c r="L18" s="619">
        <v>302.58470167022341</v>
      </c>
      <c r="M18" s="619">
        <v>306.66325684756345</v>
      </c>
      <c r="N18" s="619">
        <v>308.86788126774718</v>
      </c>
      <c r="O18" s="619">
        <v>311.07250568793097</v>
      </c>
    </row>
    <row r="19" spans="7:15">
      <c r="G19" s="617">
        <v>44459</v>
      </c>
      <c r="H19" s="275" t="s">
        <v>312</v>
      </c>
      <c r="K19" s="619">
        <v>302.58470167022341</v>
      </c>
      <c r="L19" s="619">
        <v>306.33256318453584</v>
      </c>
      <c r="M19" s="619">
        <v>310.52134958288508</v>
      </c>
      <c r="N19" s="619">
        <v>312.72597400306881</v>
      </c>
      <c r="O19" s="619">
        <v>314.9305984232526</v>
      </c>
    </row>
    <row r="20" spans="7:15">
      <c r="G20" s="617">
        <v>44466</v>
      </c>
      <c r="H20" s="275" t="s">
        <v>313</v>
      </c>
      <c r="K20" s="619">
        <v>308.53718760471969</v>
      </c>
      <c r="L20" s="619">
        <v>313.16689888710556</v>
      </c>
      <c r="M20" s="619">
        <v>316.0329106333445</v>
      </c>
      <c r="N20" s="619">
        <v>318.12730383251909</v>
      </c>
      <c r="O20" s="619">
        <v>320.33192825270288</v>
      </c>
    </row>
    <row r="21" spans="7:15">
      <c r="G21" s="617">
        <v>44473</v>
      </c>
      <c r="H21" s="275" t="s">
        <v>314</v>
      </c>
      <c r="K21" s="619">
        <v>298.50614649288349</v>
      </c>
      <c r="L21" s="619">
        <v>304.34840120637045</v>
      </c>
      <c r="M21" s="619">
        <v>308.09626272068289</v>
      </c>
      <c r="N21" s="619">
        <v>310.74181202490342</v>
      </c>
      <c r="O21" s="619">
        <v>312.94643644508722</v>
      </c>
    </row>
    <row r="22" spans="7:15">
      <c r="G22" s="617">
        <v>44480</v>
      </c>
      <c r="H22" s="275" t="s">
        <v>315</v>
      </c>
      <c r="K22" s="619">
        <v>303.79724510132456</v>
      </c>
      <c r="L22" s="619">
        <v>309.97019347783913</v>
      </c>
      <c r="M22" s="619">
        <v>313.49759255013316</v>
      </c>
      <c r="N22" s="619">
        <v>316.80452918040885</v>
      </c>
      <c r="O22" s="619">
        <v>319.00915360059258</v>
      </c>
    </row>
    <row r="23" spans="7:15">
      <c r="G23" s="617">
        <v>44487</v>
      </c>
      <c r="H23" s="275" t="s">
        <v>316</v>
      </c>
      <c r="K23" s="619">
        <v>305.34048219545315</v>
      </c>
      <c r="L23" s="619">
        <v>311.18273690894017</v>
      </c>
      <c r="M23" s="619">
        <v>314.7101359812342</v>
      </c>
      <c r="N23" s="619">
        <v>317.1352228434364</v>
      </c>
      <c r="O23" s="619">
        <v>319.33984726362013</v>
      </c>
    </row>
    <row r="24" spans="7:15">
      <c r="G24" s="617">
        <v>44494</v>
      </c>
      <c r="H24" s="275" t="s">
        <v>317</v>
      </c>
      <c r="K24" s="619">
        <v>295.4196723046262</v>
      </c>
      <c r="L24" s="619">
        <v>301.37215823912237</v>
      </c>
      <c r="M24" s="619">
        <v>305.67117585848075</v>
      </c>
      <c r="N24" s="619">
        <v>307.98603149967369</v>
      </c>
      <c r="O24" s="619">
        <v>310.19065591985748</v>
      </c>
    </row>
    <row r="25" spans="7:15">
      <c r="G25" s="617">
        <v>44501</v>
      </c>
      <c r="H25" s="275" t="s">
        <v>318</v>
      </c>
      <c r="K25" s="619">
        <v>291.12065468526782</v>
      </c>
      <c r="L25" s="619">
        <v>297.07314061976399</v>
      </c>
      <c r="M25" s="619">
        <v>301.81308312315912</v>
      </c>
      <c r="N25" s="619">
        <v>304.12793876435211</v>
      </c>
      <c r="O25" s="619">
        <v>306.33256318453584</v>
      </c>
    </row>
    <row r="26" spans="7:15">
      <c r="G26" s="617">
        <v>44508</v>
      </c>
      <c r="H26" s="275" t="s">
        <v>319</v>
      </c>
      <c r="L26" s="619">
        <v>299.71868992398453</v>
      </c>
      <c r="M26" s="619">
        <v>304.45863242737965</v>
      </c>
      <c r="N26" s="619">
        <v>308.20649394169209</v>
      </c>
      <c r="O26" s="619">
        <v>311.29296812994937</v>
      </c>
    </row>
    <row r="27" spans="7:15">
      <c r="G27" s="617">
        <v>44515</v>
      </c>
      <c r="H27" s="275" t="s">
        <v>320</v>
      </c>
      <c r="L27" s="619">
        <v>311.95435545600452</v>
      </c>
      <c r="M27" s="619">
        <v>316.0329106333445</v>
      </c>
      <c r="N27" s="619">
        <v>318.89892237958338</v>
      </c>
      <c r="O27" s="619">
        <v>319.56030970563853</v>
      </c>
    </row>
    <row r="28" spans="7:15">
      <c r="G28" s="617">
        <v>44522</v>
      </c>
      <c r="H28" s="275" t="s">
        <v>321</v>
      </c>
      <c r="L28" s="619">
        <v>320.66262191573043</v>
      </c>
      <c r="M28" s="619">
        <v>325.6230268611439</v>
      </c>
      <c r="N28" s="619">
        <v>328.48903860738284</v>
      </c>
      <c r="O28" s="619">
        <v>329.15042593343793</v>
      </c>
    </row>
    <row r="29" spans="7:15">
      <c r="G29" s="617">
        <v>44529</v>
      </c>
      <c r="H29" s="275" t="s">
        <v>322</v>
      </c>
      <c r="L29" s="619">
        <v>315.15106086527095</v>
      </c>
      <c r="M29" s="619">
        <v>320.44215947371202</v>
      </c>
      <c r="N29" s="619">
        <v>323.52863366196937</v>
      </c>
      <c r="O29" s="619">
        <v>324.85140831407961</v>
      </c>
    </row>
    <row r="30" spans="7:15">
      <c r="G30" s="617">
        <v>44536</v>
      </c>
      <c r="H30" s="275" t="s">
        <v>323</v>
      </c>
      <c r="L30" s="619">
        <v>309.19857493077478</v>
      </c>
      <c r="M30" s="619">
        <v>315.04082964426181</v>
      </c>
      <c r="N30" s="619">
        <v>318.89892237958338</v>
      </c>
      <c r="O30" s="619">
        <v>320.22169703169368</v>
      </c>
    </row>
    <row r="31" spans="7:15">
      <c r="G31" s="617">
        <v>44543</v>
      </c>
      <c r="H31" s="275" t="s">
        <v>324</v>
      </c>
      <c r="L31" s="619">
        <v>303.68701388031536</v>
      </c>
      <c r="M31" s="619">
        <v>309.41903737279318</v>
      </c>
      <c r="N31" s="619">
        <v>313.71805499215151</v>
      </c>
      <c r="O31" s="619">
        <v>315.15106086527095</v>
      </c>
    </row>
    <row r="32" spans="7:15">
      <c r="G32" s="617">
        <v>44550</v>
      </c>
      <c r="H32" s="275" t="s">
        <v>325</v>
      </c>
      <c r="L32" s="619">
        <v>301.15169579710397</v>
      </c>
      <c r="M32" s="619">
        <v>305.8916383004991</v>
      </c>
      <c r="N32" s="619">
        <v>310.19065591985748</v>
      </c>
      <c r="O32" s="619">
        <v>314.37944231820666</v>
      </c>
    </row>
    <row r="33" spans="7:19">
      <c r="G33" s="617">
        <v>44557</v>
      </c>
      <c r="H33" s="275" t="s">
        <v>326</v>
      </c>
      <c r="L33" s="619">
        <v>316.1431418543537</v>
      </c>
      <c r="M33" s="619">
        <v>319.56030970563853</v>
      </c>
      <c r="N33" s="619">
        <v>323.08770877793262</v>
      </c>
      <c r="O33" s="619">
        <v>325.51279564013475</v>
      </c>
    </row>
    <row r="34" spans="7:19">
      <c r="G34" s="617">
        <v>44564</v>
      </c>
      <c r="H34" s="275" t="s">
        <v>327</v>
      </c>
      <c r="L34" s="619">
        <v>318.23753505352829</v>
      </c>
      <c r="M34" s="619">
        <v>322.64678389389582</v>
      </c>
      <c r="N34" s="619">
        <v>325.9537205241715</v>
      </c>
      <c r="O34" s="619">
        <v>327.71742006031849</v>
      </c>
    </row>
    <row r="35" spans="7:19">
      <c r="G35" s="617">
        <v>44571</v>
      </c>
      <c r="H35" s="275" t="s">
        <v>328</v>
      </c>
      <c r="M35" s="619">
        <v>321.43424046279472</v>
      </c>
      <c r="N35" s="619">
        <v>325.40256441912555</v>
      </c>
      <c r="O35" s="619">
        <v>326.72533907123579</v>
      </c>
      <c r="P35" s="619"/>
      <c r="Q35" s="619"/>
      <c r="R35" s="619"/>
    </row>
    <row r="36" spans="7:19">
      <c r="G36" s="617">
        <v>44579</v>
      </c>
      <c r="H36" s="275" t="s">
        <v>329</v>
      </c>
      <c r="M36" s="619">
        <v>320.11146581068448</v>
      </c>
      <c r="N36" s="619">
        <v>324.41048343004286</v>
      </c>
      <c r="O36" s="619">
        <v>326.9458015132542</v>
      </c>
      <c r="P36" s="619">
        <v>314.7101359812342</v>
      </c>
      <c r="Q36" s="619">
        <v>314.7101359812342</v>
      </c>
      <c r="R36" s="619">
        <v>318.12730383251909</v>
      </c>
    </row>
    <row r="37" spans="7:19">
      <c r="G37" s="617">
        <v>44585</v>
      </c>
      <c r="H37" s="275" t="s">
        <v>330</v>
      </c>
      <c r="M37" s="619">
        <v>330.25273814352988</v>
      </c>
      <c r="N37" s="619">
        <v>334.33129332086986</v>
      </c>
      <c r="O37" s="619">
        <v>336.53591774105365</v>
      </c>
      <c r="P37" s="619">
        <v>318.78869115857424</v>
      </c>
      <c r="Q37" s="619">
        <v>318.78869115857424</v>
      </c>
      <c r="R37" s="619">
        <v>322.20585900985907</v>
      </c>
    </row>
    <row r="38" spans="7:19">
      <c r="G38" s="617">
        <v>44592</v>
      </c>
      <c r="H38" s="275" t="s">
        <v>331</v>
      </c>
      <c r="M38" s="619">
        <v>332.01643767967687</v>
      </c>
      <c r="N38" s="619">
        <v>336.756380183072</v>
      </c>
      <c r="O38" s="619">
        <v>338.96100460325579</v>
      </c>
      <c r="P38" s="619">
        <v>317.68637894848234</v>
      </c>
      <c r="Q38" s="619">
        <v>321.10354679976717</v>
      </c>
      <c r="R38" s="619">
        <v>324.52071465105206</v>
      </c>
    </row>
    <row r="39" spans="7:19">
      <c r="G39" s="617">
        <v>44599</v>
      </c>
      <c r="H39" s="275" t="s">
        <v>332</v>
      </c>
      <c r="M39" s="619">
        <v>340.61447291839363</v>
      </c>
      <c r="N39" s="619">
        <v>346.12603396885305</v>
      </c>
      <c r="O39" s="619">
        <v>348.99204571509193</v>
      </c>
      <c r="P39" s="619">
        <v>326.17418296618985</v>
      </c>
      <c r="Q39" s="619">
        <v>329.59135081747473</v>
      </c>
      <c r="R39" s="619">
        <v>333.00851866875956</v>
      </c>
    </row>
    <row r="40" spans="7:19">
      <c r="G40" s="617">
        <v>44606</v>
      </c>
      <c r="H40" s="275" t="s">
        <v>333</v>
      </c>
      <c r="M40" s="619">
        <v>331.79597523765852</v>
      </c>
      <c r="N40" s="619">
        <v>337.41776750912715</v>
      </c>
      <c r="O40" s="619">
        <v>340.28377925536603</v>
      </c>
      <c r="P40" s="619">
        <v>322.53655267288667</v>
      </c>
      <c r="Q40" s="619">
        <v>325.9537205241715</v>
      </c>
      <c r="R40" s="619">
        <v>326.50487662921745</v>
      </c>
    </row>
    <row r="41" spans="7:19">
      <c r="G41" s="617">
        <v>44613</v>
      </c>
      <c r="H41" s="275" t="s">
        <v>334</v>
      </c>
      <c r="M41" s="619">
        <v>333.33921233178717</v>
      </c>
      <c r="N41" s="619">
        <v>339.62239192931094</v>
      </c>
      <c r="O41" s="619">
        <v>342.70886611756822</v>
      </c>
      <c r="P41" s="619">
        <v>328.48903860738284</v>
      </c>
      <c r="Q41" s="619">
        <v>331.90620645866767</v>
      </c>
      <c r="R41" s="619">
        <v>332.45736256371362</v>
      </c>
    </row>
    <row r="42" spans="7:19">
      <c r="G42" s="617">
        <v>44620</v>
      </c>
      <c r="H42" s="275" t="s">
        <v>335</v>
      </c>
      <c r="M42" s="619">
        <v>338.74054216123739</v>
      </c>
      <c r="N42" s="619">
        <v>345.7953403058255</v>
      </c>
      <c r="O42" s="619">
        <v>349.87389548316548</v>
      </c>
      <c r="P42" s="619">
        <v>334.33129332086986</v>
      </c>
      <c r="Q42" s="619">
        <v>337.74846117215469</v>
      </c>
      <c r="R42" s="619">
        <v>338.29961727720064</v>
      </c>
    </row>
    <row r="43" spans="7:19" ht="14.4">
      <c r="G43" s="617">
        <v>44627</v>
      </c>
      <c r="H43" s="620" t="s">
        <v>336</v>
      </c>
      <c r="M43" s="619"/>
      <c r="N43" s="619">
        <v>358.25146827986384</v>
      </c>
      <c r="O43" s="619">
        <v>362.33002345720377</v>
      </c>
      <c r="P43" s="619">
        <v>341.93724757050387</v>
      </c>
      <c r="Q43" s="619">
        <v>345.02372175876116</v>
      </c>
      <c r="R43" s="619">
        <v>348.77158327307359</v>
      </c>
    </row>
    <row r="44" spans="7:19" ht="14.4">
      <c r="G44" s="617">
        <v>44634</v>
      </c>
      <c r="H44" s="620" t="s">
        <v>337</v>
      </c>
      <c r="N44" s="619">
        <v>354.94453164958821</v>
      </c>
      <c r="O44" s="619">
        <v>360.45609270004763</v>
      </c>
      <c r="P44" s="619">
        <v>347.77950228399089</v>
      </c>
      <c r="Q44" s="619">
        <v>350.53528280922063</v>
      </c>
      <c r="R44" s="619">
        <v>354.28314432353301</v>
      </c>
      <c r="S44" s="619"/>
    </row>
    <row r="45" spans="7:19" ht="14.4">
      <c r="G45" s="617">
        <v>44641</v>
      </c>
      <c r="H45" s="620" t="s">
        <v>338</v>
      </c>
      <c r="N45" s="619">
        <v>351.19667013527572</v>
      </c>
      <c r="O45" s="619">
        <v>357.03892484876275</v>
      </c>
      <c r="P45" s="619">
        <v>349.54320182013794</v>
      </c>
      <c r="Q45" s="619">
        <v>351.19667013527572</v>
      </c>
      <c r="R45" s="619">
        <v>355.4956877546341</v>
      </c>
      <c r="S45" s="619">
        <v>356.26730630169845</v>
      </c>
    </row>
    <row r="46" spans="7:19" ht="14.4">
      <c r="G46" s="617">
        <v>44648</v>
      </c>
      <c r="H46" s="620" t="s">
        <v>339</v>
      </c>
      <c r="N46" s="619">
        <v>351.85805746133087</v>
      </c>
      <c r="O46" s="619">
        <v>357.47984973279949</v>
      </c>
      <c r="P46" s="619">
        <v>351.63759501931253</v>
      </c>
      <c r="Q46" s="619">
        <v>353.40129455545951</v>
      </c>
      <c r="R46" s="619">
        <v>357.7003121748179</v>
      </c>
      <c r="S46" s="619">
        <v>358.47193072188225</v>
      </c>
    </row>
    <row r="47" spans="7:19" ht="14.4">
      <c r="G47" s="617">
        <v>44655</v>
      </c>
      <c r="H47" s="620" t="s">
        <v>340</v>
      </c>
      <c r="N47" s="619">
        <v>351.96828868234007</v>
      </c>
      <c r="O47" s="619">
        <v>358.25146827986384</v>
      </c>
      <c r="P47" s="619">
        <v>353.51152577646872</v>
      </c>
      <c r="Q47" s="619">
        <v>354.94453164958821</v>
      </c>
      <c r="R47" s="619">
        <v>356.26730630169845</v>
      </c>
      <c r="S47" s="619">
        <v>357.03892484876275</v>
      </c>
    </row>
    <row r="48" spans="7:19" ht="14.4">
      <c r="G48" s="617">
        <v>44662</v>
      </c>
      <c r="H48" s="620" t="s">
        <v>341</v>
      </c>
      <c r="N48" s="619">
        <v>344.47256565371521</v>
      </c>
      <c r="O48" s="619">
        <v>351.52736379830333</v>
      </c>
      <c r="P48" s="619">
        <v>351.30690135628492</v>
      </c>
      <c r="Q48" s="619">
        <v>353.62175699747786</v>
      </c>
      <c r="R48" s="619">
        <v>355.38545653362496</v>
      </c>
      <c r="S48" s="619">
        <v>356.15707508068925</v>
      </c>
    </row>
    <row r="49" spans="7:21" ht="14.4">
      <c r="G49" s="617">
        <v>44669</v>
      </c>
      <c r="H49" s="620" t="s">
        <v>342</v>
      </c>
      <c r="N49" s="619">
        <v>364.86534154041516</v>
      </c>
      <c r="O49" s="619">
        <v>372.14060212702162</v>
      </c>
      <c r="P49" s="619">
        <v>369.27459038078268</v>
      </c>
      <c r="Q49" s="619">
        <v>371.47921480096653</v>
      </c>
      <c r="R49" s="619">
        <v>373.68383922115027</v>
      </c>
      <c r="S49" s="619">
        <v>374.45545776821456</v>
      </c>
    </row>
    <row r="50" spans="7:21" ht="14.4">
      <c r="G50" s="617">
        <v>44676</v>
      </c>
      <c r="H50" s="620" t="s">
        <v>343</v>
      </c>
      <c r="N50" s="619">
        <v>359.35378048995574</v>
      </c>
      <c r="O50" s="619">
        <v>367.4006596236265</v>
      </c>
      <c r="P50" s="619">
        <v>371.36898357995727</v>
      </c>
      <c r="Q50" s="619">
        <v>372.14060212702162</v>
      </c>
      <c r="R50" s="619">
        <v>374.12476410518701</v>
      </c>
      <c r="S50" s="619">
        <v>376.3293885253708</v>
      </c>
    </row>
    <row r="51" spans="7:21">
      <c r="G51" s="617">
        <v>44683</v>
      </c>
      <c r="H51" s="530" t="s">
        <v>344</v>
      </c>
      <c r="N51" s="619">
        <v>369.83</v>
      </c>
      <c r="O51" s="619">
        <v>378.42</v>
      </c>
      <c r="P51" s="619">
        <v>379.42</v>
      </c>
      <c r="Q51" s="619">
        <v>380.74</v>
      </c>
      <c r="R51" s="619">
        <v>382.06</v>
      </c>
      <c r="S51" s="619">
        <v>384.27</v>
      </c>
    </row>
    <row r="52" spans="7:21">
      <c r="G52" s="617">
        <v>44690</v>
      </c>
      <c r="H52" s="275" t="s">
        <v>345</v>
      </c>
      <c r="N52" s="619">
        <v>363.65279810931412</v>
      </c>
      <c r="O52" s="619">
        <v>371.47921480096653</v>
      </c>
      <c r="P52" s="619">
        <v>374.45545776821456</v>
      </c>
      <c r="Q52" s="619">
        <v>376.43961974637995</v>
      </c>
      <c r="R52" s="619">
        <v>377.87262561949944</v>
      </c>
      <c r="S52" s="619">
        <v>380.07725003968329</v>
      </c>
    </row>
    <row r="53" spans="7:21">
      <c r="G53" s="617">
        <v>44697</v>
      </c>
      <c r="H53" s="275" t="s">
        <v>346</v>
      </c>
      <c r="N53" s="619">
        <v>392.97430289775832</v>
      </c>
      <c r="O53" s="619">
        <v>393.63569022381347</v>
      </c>
      <c r="P53" s="619">
        <v>394.73800243390536</v>
      </c>
      <c r="Q53" s="619">
        <v>395.28915853895126</v>
      </c>
      <c r="R53" s="619">
        <v>396.9426268540891</v>
      </c>
      <c r="S53" s="619">
        <v>402.45418790454852</v>
      </c>
      <c r="T53" s="619"/>
    </row>
    <row r="54" spans="7:21">
      <c r="G54" s="616">
        <v>44704</v>
      </c>
      <c r="O54" s="619">
        <v>380.73863736573833</v>
      </c>
      <c r="P54" s="619">
        <v>386.2501984161978</v>
      </c>
      <c r="Q54" s="619">
        <v>387.79343551032645</v>
      </c>
      <c r="R54" s="619">
        <v>389.99805993051024</v>
      </c>
      <c r="S54" s="619">
        <v>393.30499656078587</v>
      </c>
      <c r="T54" s="619">
        <v>398.81655761124534</v>
      </c>
    </row>
    <row r="55" spans="7:21">
      <c r="G55" s="616">
        <v>44712</v>
      </c>
      <c r="O55" s="619">
        <v>386.80135452124375</v>
      </c>
      <c r="P55" s="619">
        <v>392.64360923473072</v>
      </c>
      <c r="Q55" s="619">
        <v>394.07661510785022</v>
      </c>
      <c r="R55" s="619">
        <v>396.28123952803401</v>
      </c>
      <c r="S55" s="619">
        <v>398.3756327272086</v>
      </c>
      <c r="T55" s="619">
        <v>403.88719377766802</v>
      </c>
    </row>
    <row r="56" spans="7:21">
      <c r="G56" s="616">
        <v>44718</v>
      </c>
      <c r="O56" s="619">
        <v>379.85678759766483</v>
      </c>
      <c r="P56" s="619">
        <v>386.36042963720701</v>
      </c>
      <c r="Q56" s="619">
        <v>388.12412917335399</v>
      </c>
      <c r="R56" s="619">
        <v>388.23436039436319</v>
      </c>
      <c r="S56" s="619">
        <v>390.43898481454698</v>
      </c>
      <c r="T56" s="619">
        <v>395.95054586500646</v>
      </c>
    </row>
    <row r="57" spans="7:21">
      <c r="G57" s="616">
        <v>44725</v>
      </c>
      <c r="O57" s="619">
        <v>361.12</v>
      </c>
      <c r="P57" s="619">
        <v>368.61</v>
      </c>
      <c r="Q57" s="619">
        <v>372.58</v>
      </c>
      <c r="R57" s="619">
        <v>376</v>
      </c>
      <c r="S57" s="619">
        <v>381.18</v>
      </c>
      <c r="T57" s="619">
        <v>386.69</v>
      </c>
    </row>
    <row r="58" spans="7:21">
      <c r="G58" s="616">
        <v>44733</v>
      </c>
      <c r="O58" s="619">
        <v>355.4956877546341</v>
      </c>
      <c r="P58" s="619">
        <v>363.87326055133241</v>
      </c>
      <c r="Q58" s="619">
        <v>368.28250939170005</v>
      </c>
      <c r="R58" s="619">
        <v>370.92805869592053</v>
      </c>
      <c r="S58" s="619">
        <v>373.24291433711352</v>
      </c>
      <c r="T58" s="619">
        <v>378.75447538757294</v>
      </c>
    </row>
    <row r="59" spans="7:21">
      <c r="G59" s="616">
        <v>44739</v>
      </c>
      <c r="O59" s="619">
        <v>354.50360676555147</v>
      </c>
      <c r="P59" s="619">
        <v>362.55048589922222</v>
      </c>
      <c r="Q59" s="619">
        <v>367.84158450766324</v>
      </c>
      <c r="R59" s="619">
        <v>370.26667136986543</v>
      </c>
      <c r="S59" s="619">
        <v>372.14060212702162</v>
      </c>
      <c r="T59" s="619">
        <v>377.5419319564719</v>
      </c>
    </row>
    <row r="60" spans="7:21">
      <c r="G60" s="616">
        <v>44747</v>
      </c>
      <c r="O60" s="619">
        <v>348.99204571509193</v>
      </c>
      <c r="P60" s="619">
        <v>355.1649940916065</v>
      </c>
      <c r="Q60" s="619">
        <v>360.56632392105678</v>
      </c>
      <c r="R60" s="619">
        <v>363.21187322527737</v>
      </c>
      <c r="S60" s="619">
        <v>365.41649764546111</v>
      </c>
      <c r="T60" s="619">
        <v>370.70759625390218</v>
      </c>
    </row>
    <row r="61" spans="7:21">
      <c r="G61" s="616">
        <v>44753</v>
      </c>
      <c r="O61" s="619">
        <v>359.46401171096488</v>
      </c>
      <c r="P61" s="619">
        <v>364.53464787738761</v>
      </c>
      <c r="Q61" s="619">
        <v>369.93597770683789</v>
      </c>
      <c r="R61" s="619">
        <v>373.02245189509517</v>
      </c>
      <c r="S61" s="619">
        <v>375.44753875729731</v>
      </c>
      <c r="T61" s="619">
        <v>380.73863736573833</v>
      </c>
    </row>
    <row r="62" spans="7:21">
      <c r="G62" s="616">
        <v>44760</v>
      </c>
      <c r="O62" s="619"/>
      <c r="P62" s="619">
        <v>376.3293885253708</v>
      </c>
      <c r="Q62" s="619">
        <v>381.84094957583022</v>
      </c>
      <c r="R62" s="619">
        <v>384.92742376408756</v>
      </c>
      <c r="S62" s="619">
        <v>386.69112330023455</v>
      </c>
      <c r="T62" s="619">
        <v>390.99014091959293</v>
      </c>
    </row>
    <row r="63" spans="7:21">
      <c r="G63" s="616">
        <v>44767</v>
      </c>
      <c r="P63" s="619">
        <v>373.24291433711352</v>
      </c>
      <c r="Q63" s="619">
        <v>378.75447538757294</v>
      </c>
      <c r="R63" s="619">
        <v>381.17956224977507</v>
      </c>
      <c r="S63" s="619">
        <v>383.49441789096807</v>
      </c>
      <c r="T63" s="619">
        <v>387.79343551032645</v>
      </c>
      <c r="U63" s="619"/>
    </row>
    <row r="64" spans="7:21">
      <c r="G64" s="616">
        <v>44774</v>
      </c>
      <c r="P64" s="619">
        <v>367.29042840261729</v>
      </c>
      <c r="Q64" s="619">
        <v>374.12476410518701</v>
      </c>
      <c r="R64" s="619">
        <v>377.10100707243515</v>
      </c>
      <c r="S64" s="619">
        <v>379.41586271362809</v>
      </c>
      <c r="T64" s="619">
        <v>383.71488033298647</v>
      </c>
      <c r="U64" s="619"/>
    </row>
    <row r="65" spans="7:23">
      <c r="G65" s="616">
        <v>44781</v>
      </c>
      <c r="P65" s="619">
        <v>379.08516905060054</v>
      </c>
      <c r="Q65" s="619">
        <v>384.37626765904156</v>
      </c>
      <c r="R65" s="619">
        <v>387.90366673133559</v>
      </c>
      <c r="S65" s="619">
        <v>389.11621016243674</v>
      </c>
      <c r="T65" s="619">
        <v>393.41522778179507</v>
      </c>
      <c r="U65" s="619"/>
    </row>
    <row r="66" spans="7:23">
      <c r="G66" s="616">
        <v>44788</v>
      </c>
      <c r="P66" s="619">
        <v>376.43961974637995</v>
      </c>
      <c r="Q66" s="619">
        <v>382.72279934390372</v>
      </c>
      <c r="R66" s="619">
        <v>386.1399671951886</v>
      </c>
      <c r="S66" s="619">
        <v>387.3525106262897</v>
      </c>
      <c r="T66" s="619">
        <v>391.65152824564808</v>
      </c>
      <c r="U66" s="619"/>
    </row>
    <row r="67" spans="7:23">
      <c r="G67" s="616">
        <v>44795</v>
      </c>
      <c r="P67" s="619">
        <v>377.5419319564719</v>
      </c>
      <c r="Q67" s="619">
        <v>384.04557399601407</v>
      </c>
      <c r="R67" s="619">
        <v>388.01389795234485</v>
      </c>
      <c r="S67" s="619">
        <v>390.43898481454698</v>
      </c>
      <c r="T67" s="619">
        <v>394.73800243390536</v>
      </c>
      <c r="U67" s="619"/>
    </row>
    <row r="68" spans="7:23">
      <c r="G68" s="616">
        <v>44802</v>
      </c>
      <c r="P68" s="619">
        <v>380.95909980775673</v>
      </c>
      <c r="Q68" s="619">
        <v>389.00597894142749</v>
      </c>
      <c r="R68" s="619">
        <v>394.18684632885936</v>
      </c>
      <c r="S68" s="619">
        <v>399.14725127427289</v>
      </c>
      <c r="T68" s="619">
        <v>401.35187569445674</v>
      </c>
      <c r="U68" s="619"/>
    </row>
    <row r="69" spans="7:23">
      <c r="G69" s="616">
        <v>44810</v>
      </c>
      <c r="P69" s="619">
        <v>371.47921480096653</v>
      </c>
      <c r="Q69" s="619">
        <v>377.65216317748104</v>
      </c>
      <c r="R69" s="619">
        <v>382.83303056491297</v>
      </c>
      <c r="S69" s="619">
        <v>388.12412917335399</v>
      </c>
      <c r="T69" s="619">
        <v>391.43106580362968</v>
      </c>
      <c r="U69" s="619"/>
    </row>
    <row r="70" spans="7:23">
      <c r="G70" s="616">
        <v>44816</v>
      </c>
      <c r="P70" s="619">
        <v>384.26603643803242</v>
      </c>
      <c r="Q70" s="619">
        <v>390.21852237252858</v>
      </c>
      <c r="R70" s="619">
        <v>395.84031464399726</v>
      </c>
      <c r="S70" s="619">
        <v>400.80071958941073</v>
      </c>
      <c r="T70" s="619">
        <v>402.67465034656698</v>
      </c>
      <c r="U70" s="619"/>
    </row>
    <row r="71" spans="7:23">
      <c r="G71" s="616">
        <v>44823</v>
      </c>
      <c r="P71" s="619">
        <v>388.7855164994092</v>
      </c>
      <c r="Q71" s="619">
        <v>394.62777121289622</v>
      </c>
      <c r="R71" s="619">
        <v>399.58817615830964</v>
      </c>
      <c r="S71" s="619">
        <v>399.69840737931884</v>
      </c>
      <c r="T71" s="619">
        <v>399.69840737931884</v>
      </c>
      <c r="U71" s="619"/>
    </row>
    <row r="72" spans="7:23">
      <c r="G72" s="616">
        <v>44830</v>
      </c>
      <c r="P72" s="619">
        <v>382.50233690188543</v>
      </c>
      <c r="Q72" s="619">
        <v>388.56505405739074</v>
      </c>
      <c r="R72" s="619">
        <v>393.30499656078587</v>
      </c>
      <c r="S72" s="619">
        <v>394.40730877087776</v>
      </c>
      <c r="T72" s="619">
        <v>394.40730877087776</v>
      </c>
      <c r="U72" s="619"/>
    </row>
    <row r="73" spans="7:23">
      <c r="G73" s="616">
        <v>44837</v>
      </c>
      <c r="P73" s="619">
        <v>373.35314555812266</v>
      </c>
      <c r="Q73" s="619">
        <v>380.62840614472918</v>
      </c>
      <c r="R73" s="619">
        <v>386.58089207922535</v>
      </c>
      <c r="S73" s="619">
        <v>387.68320428931725</v>
      </c>
      <c r="T73" s="619">
        <v>387.79343551032645</v>
      </c>
    </row>
    <row r="74" spans="7:23">
      <c r="G74" s="616">
        <v>44844</v>
      </c>
      <c r="P74" s="619">
        <v>368.50297183371839</v>
      </c>
      <c r="Q74" s="619">
        <v>375.9986948623432</v>
      </c>
      <c r="R74" s="619">
        <v>381.84094957583</v>
      </c>
      <c r="S74" s="619">
        <v>382.94326178592218</v>
      </c>
      <c r="T74" s="619">
        <v>383.05349300693132</v>
      </c>
    </row>
    <row r="75" spans="7:23">
      <c r="G75" s="616">
        <v>44851</v>
      </c>
      <c r="P75" s="619">
        <v>367.51089084463575</v>
      </c>
      <c r="Q75" s="619">
        <v>375.00661387326056</v>
      </c>
      <c r="R75" s="619">
        <v>381.62048713381182</v>
      </c>
      <c r="S75" s="619">
        <v>382.72279934390372</v>
      </c>
      <c r="T75" s="619">
        <v>382.83303056491297</v>
      </c>
    </row>
    <row r="76" spans="7:23">
      <c r="G76" s="616">
        <v>44858</v>
      </c>
      <c r="P76" s="619">
        <v>357.92077461683624</v>
      </c>
      <c r="Q76" s="619">
        <v>365.41649764546111</v>
      </c>
      <c r="R76" s="619">
        <v>372.25083334803082</v>
      </c>
      <c r="S76" s="619">
        <v>378.75447538757294</v>
      </c>
      <c r="T76" s="619">
        <v>385.25811742711511</v>
      </c>
    </row>
    <row r="77" spans="7:23">
      <c r="G77" s="584">
        <v>44865</v>
      </c>
      <c r="R77" s="619">
        <v>374.45545776821456</v>
      </c>
      <c r="S77" s="619">
        <v>381.28979347078433</v>
      </c>
      <c r="T77" s="619">
        <v>385.9195047531702</v>
      </c>
      <c r="U77" s="619">
        <v>391.10037214060213</v>
      </c>
      <c r="V77" s="619">
        <v>353.84221943949626</v>
      </c>
      <c r="W77" s="619">
        <v>334.33129332086986</v>
      </c>
    </row>
    <row r="78" spans="7:23">
      <c r="G78" s="584">
        <v>44872</v>
      </c>
      <c r="R78" s="619">
        <v>392.20268435069397</v>
      </c>
      <c r="S78" s="619">
        <v>398.2654015061994</v>
      </c>
      <c r="T78" s="619">
        <v>401.13141325243828</v>
      </c>
      <c r="U78" s="619">
        <v>402.89511278858527</v>
      </c>
      <c r="V78" s="619">
        <v>359.68447415298328</v>
      </c>
      <c r="W78" s="619">
        <v>340.17354803435683</v>
      </c>
    </row>
    <row r="79" spans="7:23">
      <c r="G79" s="584">
        <v>44879</v>
      </c>
      <c r="R79" s="619">
        <v>395.84031464399726</v>
      </c>
      <c r="S79" s="619">
        <v>401.79280057849348</v>
      </c>
      <c r="T79" s="619">
        <v>404.65881232473237</v>
      </c>
      <c r="U79" s="619">
        <v>406.09181819785181</v>
      </c>
      <c r="V79" s="619">
        <v>358.69239316390059</v>
      </c>
      <c r="W79" s="619">
        <v>339.18146704527413</v>
      </c>
    </row>
    <row r="80" spans="7:23">
      <c r="G80" s="584">
        <v>44886</v>
      </c>
      <c r="R80" s="619">
        <v>392.64360923473072</v>
      </c>
      <c r="S80" s="619">
        <v>398.596095169227</v>
      </c>
      <c r="T80" s="619">
        <v>403.00534400959452</v>
      </c>
      <c r="U80" s="619">
        <v>405.09973720876911</v>
      </c>
      <c r="V80" s="619">
        <v>364.97557276142436</v>
      </c>
      <c r="W80" s="619">
        <v>348.99204571509193</v>
      </c>
    </row>
    <row r="81" spans="7:24">
      <c r="G81" s="584">
        <v>44893</v>
      </c>
      <c r="R81" s="619">
        <v>395.28915853895126</v>
      </c>
      <c r="S81" s="619">
        <v>401.68256935748423</v>
      </c>
      <c r="T81" s="619">
        <v>405.87135575583341</v>
      </c>
      <c r="U81" s="619">
        <v>405.87135575583341</v>
      </c>
      <c r="V81" s="619">
        <v>364.75511031940601</v>
      </c>
      <c r="W81" s="619">
        <v>348.77158327307359</v>
      </c>
    </row>
    <row r="82" spans="7:24">
      <c r="G82" s="584">
        <v>44900</v>
      </c>
      <c r="R82" s="619">
        <v>375.55776997830645</v>
      </c>
      <c r="S82" s="619">
        <v>382.83303056491297</v>
      </c>
      <c r="T82" s="619">
        <v>387.0218169632621</v>
      </c>
      <c r="U82" s="619">
        <v>389.00597894142749</v>
      </c>
      <c r="V82" s="619">
        <v>367.51089084463575</v>
      </c>
      <c r="W82" s="619">
        <v>361.00724880509352</v>
      </c>
    </row>
    <row r="83" spans="7:24">
      <c r="G83" s="584">
        <v>44907</v>
      </c>
      <c r="R83" s="619">
        <v>368.28250939170005</v>
      </c>
      <c r="S83" s="619">
        <v>376.3293885253708</v>
      </c>
      <c r="T83" s="619">
        <v>381.73071835482108</v>
      </c>
      <c r="U83" s="619">
        <v>387.3525106262897</v>
      </c>
      <c r="V83" s="619">
        <v>374.45545776821456</v>
      </c>
      <c r="W83" s="619">
        <v>367.9518157286725</v>
      </c>
    </row>
    <row r="84" spans="7:24">
      <c r="G84" s="584">
        <v>44914</v>
      </c>
      <c r="R84" s="619">
        <v>377.4317007354627</v>
      </c>
      <c r="S84" s="619">
        <v>385.03765498509671</v>
      </c>
      <c r="T84" s="619">
        <v>391.10037214060213</v>
      </c>
      <c r="U84" s="619">
        <v>394.40730877087776</v>
      </c>
      <c r="V84" s="619">
        <v>374.34522654720541</v>
      </c>
      <c r="W84" s="619">
        <v>367.84158450766324</v>
      </c>
    </row>
    <row r="85" spans="7:24">
      <c r="G85" s="584">
        <v>44922</v>
      </c>
      <c r="R85" s="619">
        <v>395.39938975996046</v>
      </c>
      <c r="S85" s="619">
        <v>403.99742499867716</v>
      </c>
      <c r="T85" s="619">
        <v>410.06014215418264</v>
      </c>
      <c r="U85" s="619">
        <v>413.91823488950428</v>
      </c>
      <c r="V85" s="619">
        <v>374.12476410518701</v>
      </c>
      <c r="W85" s="619">
        <v>367.6211220656449</v>
      </c>
    </row>
    <row r="86" spans="7:24">
      <c r="G86" s="584">
        <v>44956</v>
      </c>
      <c r="S86" s="619">
        <v>399.47713596452331</v>
      </c>
      <c r="T86" s="619">
        <v>407.30353680709538</v>
      </c>
      <c r="U86" s="619">
        <v>412.37416270509971</v>
      </c>
      <c r="V86" s="619">
        <v>372.58077250554317</v>
      </c>
      <c r="W86" s="619">
        <v>374.34446847006649</v>
      </c>
      <c r="X86" s="619"/>
    </row>
    <row r="87" spans="7:24">
      <c r="G87" s="584">
        <v>44963</v>
      </c>
      <c r="S87" s="619">
        <v>386.79707000000002</v>
      </c>
      <c r="T87" s="619">
        <v>393.41086999999999</v>
      </c>
      <c r="U87" s="619">
        <v>400.68605000000002</v>
      </c>
      <c r="V87" s="619">
        <v>372.02625</v>
      </c>
      <c r="W87" s="619">
        <v>374.34107999999998</v>
      </c>
      <c r="X87" s="619"/>
    </row>
    <row r="88" spans="7:24">
      <c r="G88" s="584">
        <v>44970</v>
      </c>
      <c r="S88" s="619">
        <v>394.84386000000001</v>
      </c>
      <c r="T88" s="619">
        <v>401.01674000000003</v>
      </c>
      <c r="U88" s="619">
        <v>407.52030999999999</v>
      </c>
      <c r="V88" s="619">
        <v>365.63290999999998</v>
      </c>
      <c r="W88" s="619">
        <v>370.04210999999998</v>
      </c>
      <c r="X88" s="619">
        <v>370.04210999999998</v>
      </c>
    </row>
    <row r="89" spans="7:24">
      <c r="G89" s="584">
        <v>44977</v>
      </c>
      <c r="S89" s="619">
        <v>386.13569000000001</v>
      </c>
      <c r="T89" s="619">
        <v>393.19040999999999</v>
      </c>
      <c r="U89" s="619">
        <v>398.92236999999994</v>
      </c>
      <c r="V89" s="619">
        <v>362.87716</v>
      </c>
      <c r="W89" s="619">
        <v>367.61705000000001</v>
      </c>
      <c r="X89" s="619">
        <v>367.61705000000001</v>
      </c>
    </row>
    <row r="90" spans="7:24">
      <c r="G90" s="584">
        <v>44984</v>
      </c>
      <c r="S90" s="619">
        <v>374.56153999999998</v>
      </c>
      <c r="T90" s="619">
        <v>383.04924999999997</v>
      </c>
      <c r="U90" s="619">
        <v>389.00166999999999</v>
      </c>
      <c r="V90" s="619">
        <v>364.64083999999997</v>
      </c>
      <c r="W90" s="619">
        <v>367.17613</v>
      </c>
      <c r="X90" s="619">
        <v>367.17613</v>
      </c>
    </row>
    <row r="91" spans="7:24">
      <c r="G91" s="584">
        <v>44999</v>
      </c>
      <c r="S91" s="619">
        <v>368.82958000000002</v>
      </c>
      <c r="T91" s="619">
        <v>378.19913000000003</v>
      </c>
      <c r="U91" s="619">
        <v>382.38786999999996</v>
      </c>
      <c r="V91" s="619">
        <v>341.71299999999997</v>
      </c>
      <c r="W91" s="619">
        <v>344.68921</v>
      </c>
      <c r="X91" s="619">
        <v>349.42910000000001</v>
      </c>
    </row>
    <row r="92" spans="7:24">
      <c r="G92" s="584">
        <v>45005</v>
      </c>
      <c r="S92" s="619"/>
      <c r="T92" s="619">
        <v>381.50603000000001</v>
      </c>
      <c r="U92" s="619">
        <v>382.16741000000002</v>
      </c>
      <c r="V92" s="619">
        <v>340.50047000000001</v>
      </c>
      <c r="W92" s="619">
        <v>343.47667999999999</v>
      </c>
      <c r="X92" s="619">
        <v>346.12220000000002</v>
      </c>
    </row>
    <row r="93" spans="7:24">
      <c r="G93" s="617">
        <v>45012</v>
      </c>
      <c r="T93" s="619">
        <v>393.19040999999999</v>
      </c>
      <c r="U93" s="619">
        <v>391.20627000000002</v>
      </c>
      <c r="V93" s="619">
        <v>349.20864</v>
      </c>
      <c r="W93" s="619">
        <v>352.62576999999999</v>
      </c>
      <c r="X93" s="619">
        <v>354.72014000000001</v>
      </c>
    </row>
    <row r="94" spans="7:24">
      <c r="G94" s="617">
        <v>45019</v>
      </c>
      <c r="T94" s="619">
        <v>376.54568</v>
      </c>
      <c r="U94" s="619">
        <v>382.38786999999996</v>
      </c>
      <c r="V94" s="619">
        <v>342.37438000000003</v>
      </c>
      <c r="W94" s="619">
        <v>347.33472999999998</v>
      </c>
      <c r="X94" s="619">
        <v>353.39738</v>
      </c>
    </row>
    <row r="95" spans="7:24">
      <c r="G95" s="617">
        <v>45026</v>
      </c>
      <c r="T95" s="619">
        <v>361.77485999999999</v>
      </c>
      <c r="U95" s="619">
        <v>364.42038000000002</v>
      </c>
      <c r="V95" s="619">
        <v>321.43068</v>
      </c>
      <c r="W95" s="619">
        <v>326.06034</v>
      </c>
      <c r="X95" s="619">
        <v>331.35138000000001</v>
      </c>
    </row>
    <row r="96" spans="7:24">
      <c r="G96" s="617">
        <v>45033</v>
      </c>
      <c r="T96" s="619">
        <v>382.05718000000002</v>
      </c>
      <c r="U96" s="619">
        <v>372.79786000000001</v>
      </c>
      <c r="V96" s="619">
        <v>333.66620999999998</v>
      </c>
      <c r="W96" s="619">
        <v>338.07541000000003</v>
      </c>
      <c r="X96" s="619">
        <v>343.47667999999999</v>
      </c>
    </row>
    <row r="97" spans="7:27">
      <c r="G97" s="617">
        <v>45040</v>
      </c>
      <c r="T97" s="622">
        <v>373.45924000000002</v>
      </c>
      <c r="U97" s="622">
        <v>381.50603000000001</v>
      </c>
      <c r="V97" s="622">
        <v>340.50047000000001</v>
      </c>
      <c r="W97" s="622">
        <v>344.57898</v>
      </c>
      <c r="X97" s="622">
        <v>345.90173999999996</v>
      </c>
    </row>
    <row r="98" spans="7:27">
      <c r="G98" s="617">
        <v>45048</v>
      </c>
      <c r="T98" s="622">
        <v>389.00166999999999</v>
      </c>
      <c r="U98" s="622">
        <v>393.08018000000004</v>
      </c>
      <c r="V98" s="622">
        <v>339.61863</v>
      </c>
      <c r="W98" s="622">
        <v>344.24829</v>
      </c>
      <c r="X98" s="622">
        <v>346.45288999999997</v>
      </c>
      <c r="Y98" s="622">
        <v>350.42116999999996</v>
      </c>
    </row>
    <row r="99" spans="7:27" ht="17.7">
      <c r="G99" s="617">
        <v>45054</v>
      </c>
      <c r="T99" s="622">
        <v>400.13490000000002</v>
      </c>
      <c r="U99" s="622">
        <v>404.87479000000002</v>
      </c>
      <c r="V99" s="622">
        <v>339.83909</v>
      </c>
      <c r="W99" s="623">
        <v>343.91760000000005</v>
      </c>
      <c r="X99" s="622">
        <v>347.77564999999998</v>
      </c>
      <c r="Y99" s="622">
        <v>351.74392999999998</v>
      </c>
    </row>
    <row r="100" spans="7:27">
      <c r="G100" s="617">
        <v>45061</v>
      </c>
      <c r="U100" s="622">
        <v>393.63132999999999</v>
      </c>
      <c r="V100" s="622">
        <v>337.19356999999997</v>
      </c>
      <c r="W100" s="622">
        <v>341.16184999999996</v>
      </c>
      <c r="X100" s="622">
        <v>344.68921</v>
      </c>
      <c r="Y100" s="622">
        <v>348.65749</v>
      </c>
      <c r="Z100" s="622">
        <v>354.16899000000001</v>
      </c>
    </row>
    <row r="101" spans="7:27">
      <c r="G101" s="617">
        <v>45069</v>
      </c>
      <c r="U101" s="622">
        <v>371.14440999999999</v>
      </c>
      <c r="V101" s="622">
        <v>329.58770000000004</v>
      </c>
      <c r="W101" s="622">
        <v>333.77643999999998</v>
      </c>
      <c r="X101" s="622">
        <v>337.63448999999997</v>
      </c>
      <c r="Y101" s="622">
        <v>341.60277000000002</v>
      </c>
      <c r="Z101" s="622">
        <v>347.11427000000003</v>
      </c>
    </row>
    <row r="102" spans="7:27">
      <c r="G102" s="617">
        <v>45075</v>
      </c>
      <c r="U102" s="622">
        <v>376.32522</v>
      </c>
      <c r="V102" s="622">
        <v>324.51711999999998</v>
      </c>
      <c r="W102" s="622">
        <v>328.48540000000003</v>
      </c>
      <c r="X102" s="622">
        <v>333.00483000000003</v>
      </c>
      <c r="Y102" s="622">
        <v>336.97311000000002</v>
      </c>
      <c r="Z102" s="622">
        <v>342.48460999999998</v>
      </c>
    </row>
    <row r="103" spans="7:27">
      <c r="G103" s="617">
        <v>45082</v>
      </c>
      <c r="U103" s="622">
        <v>395.39500999999996</v>
      </c>
      <c r="V103" s="622">
        <v>334.21735999999999</v>
      </c>
      <c r="W103" s="622">
        <v>336.86288000000002</v>
      </c>
      <c r="X103" s="622">
        <v>339.94932</v>
      </c>
      <c r="Y103" s="622">
        <v>343.91760000000005</v>
      </c>
      <c r="Z103" s="622">
        <v>349.42910000000001</v>
      </c>
    </row>
    <row r="104" spans="7:27">
      <c r="G104" s="617">
        <v>45090</v>
      </c>
      <c r="U104" s="622">
        <v>407.07938999999999</v>
      </c>
      <c r="V104" s="622">
        <v>336.75265000000002</v>
      </c>
      <c r="W104" s="622">
        <v>337.52426000000003</v>
      </c>
      <c r="X104" s="622">
        <v>340.39024000000001</v>
      </c>
      <c r="Y104" s="622">
        <v>344.24829</v>
      </c>
      <c r="Z104" s="622">
        <v>349.75979000000001</v>
      </c>
    </row>
    <row r="105" spans="7:27">
      <c r="G105" s="617">
        <v>45099</v>
      </c>
      <c r="U105" s="641">
        <v>388.23005999999998</v>
      </c>
      <c r="V105" s="641">
        <v>346.12220000000002</v>
      </c>
      <c r="W105" s="641">
        <v>346.67334999999997</v>
      </c>
      <c r="X105" s="641">
        <v>349.87002000000001</v>
      </c>
      <c r="Y105" s="641">
        <v>353.72807</v>
      </c>
      <c r="Z105" s="641">
        <v>359.23957000000001</v>
      </c>
      <c r="AA105" s="641"/>
    </row>
    <row r="106" spans="7:27">
      <c r="G106" s="617">
        <v>45103</v>
      </c>
      <c r="U106" s="641">
        <v>395.50524000000001</v>
      </c>
      <c r="V106" s="641">
        <v>346.78357999999997</v>
      </c>
      <c r="W106" s="641">
        <v>346.78357999999997</v>
      </c>
      <c r="X106" s="641">
        <v>349.75979000000001</v>
      </c>
      <c r="Y106" s="641">
        <v>353.61783999999994</v>
      </c>
      <c r="Z106" s="641">
        <v>359.12933999999996</v>
      </c>
      <c r="AA106" s="641"/>
    </row>
    <row r="107" spans="7:27">
      <c r="G107" s="617">
        <v>45110</v>
      </c>
      <c r="U107" s="641">
        <v>397.82007000000004</v>
      </c>
      <c r="V107" s="641">
        <v>330.13884999999999</v>
      </c>
      <c r="W107" s="641">
        <v>333.22528999999997</v>
      </c>
      <c r="X107" s="641">
        <v>337.08334000000002</v>
      </c>
      <c r="Y107" s="641">
        <v>340.94139000000001</v>
      </c>
      <c r="Z107" s="641">
        <v>346.67334999999997</v>
      </c>
      <c r="AA107" s="641"/>
    </row>
    <row r="108" spans="7:27">
      <c r="G108" s="617">
        <v>45117</v>
      </c>
      <c r="U108" s="641">
        <v>421.07859999999999</v>
      </c>
      <c r="V108" s="641">
        <v>328.37516999999997</v>
      </c>
      <c r="W108" s="641">
        <v>330.13884999999999</v>
      </c>
      <c r="X108" s="641">
        <v>333.11505999999997</v>
      </c>
      <c r="Y108" s="641">
        <v>336.97311000000002</v>
      </c>
      <c r="Z108" s="641">
        <v>342.70506999999998</v>
      </c>
      <c r="AA108" s="641"/>
    </row>
    <row r="109" spans="7:27">
      <c r="G109" s="617">
        <v>45124</v>
      </c>
      <c r="U109" s="641"/>
      <c r="V109" s="641">
        <v>338.73678999999998</v>
      </c>
      <c r="W109" s="641">
        <v>340.39024000000001</v>
      </c>
      <c r="X109" s="641">
        <v>343.91760000000005</v>
      </c>
      <c r="Y109" s="641">
        <v>347.77564999999998</v>
      </c>
      <c r="Z109" s="641">
        <v>353.50761</v>
      </c>
      <c r="AA109" s="641">
        <v>361.00324999999998</v>
      </c>
    </row>
    <row r="110" spans="7:27">
      <c r="G110" s="617">
        <v>45131</v>
      </c>
      <c r="V110" s="622">
        <v>357.03</v>
      </c>
      <c r="W110" s="622">
        <v>359.02</v>
      </c>
      <c r="X110" s="622">
        <v>362.33</v>
      </c>
      <c r="Y110" s="622">
        <v>363.76</v>
      </c>
      <c r="Z110" s="622">
        <v>369.49</v>
      </c>
      <c r="AA110" s="622">
        <v>376.99</v>
      </c>
    </row>
    <row r="111" spans="7:27">
      <c r="G111" s="617">
        <v>45138</v>
      </c>
      <c r="V111" s="622">
        <v>341.05162000000001</v>
      </c>
      <c r="W111" s="622">
        <v>345.46082000000001</v>
      </c>
      <c r="X111" s="622">
        <v>349.64956000000001</v>
      </c>
      <c r="Y111" s="622">
        <v>351.08255000000003</v>
      </c>
      <c r="Z111" s="622">
        <v>356.81450999999998</v>
      </c>
      <c r="AA111" s="622">
        <v>364.31014999999996</v>
      </c>
    </row>
    <row r="112" spans="7:27">
      <c r="G112" s="617">
        <v>45145</v>
      </c>
      <c r="V112" s="622">
        <v>350.97231999999997</v>
      </c>
      <c r="W112" s="622">
        <v>354.94060000000002</v>
      </c>
      <c r="X112" s="622">
        <v>358.57819000000001</v>
      </c>
      <c r="Y112" s="622">
        <v>364.19991999999996</v>
      </c>
      <c r="Z112" s="622">
        <v>369.93188000000004</v>
      </c>
      <c r="AA112" s="622">
        <v>377.42752000000002</v>
      </c>
    </row>
    <row r="113" spans="7:29">
      <c r="G113" s="617">
        <v>45152</v>
      </c>
      <c r="V113" s="622">
        <v>344.68921</v>
      </c>
      <c r="W113" s="622">
        <v>349.09841</v>
      </c>
      <c r="X113" s="622">
        <v>353.06668999999999</v>
      </c>
      <c r="Y113" s="622">
        <v>356.59404999999998</v>
      </c>
      <c r="Z113" s="622">
        <v>362.76693</v>
      </c>
      <c r="AA113" s="622">
        <v>368.82958000000002</v>
      </c>
    </row>
    <row r="114" spans="7:29">
      <c r="G114" s="617">
        <v>45159</v>
      </c>
      <c r="V114" s="622">
        <v>342.04369000000003</v>
      </c>
      <c r="W114" s="622">
        <v>348.98818</v>
      </c>
      <c r="X114" s="622">
        <v>354.27922000000001</v>
      </c>
      <c r="Y114" s="622">
        <v>359.46002999999996</v>
      </c>
      <c r="Z114" s="622">
        <v>364.31014999999996</v>
      </c>
      <c r="AA114" s="622">
        <v>369.16027000000003</v>
      </c>
    </row>
    <row r="115" spans="7:29">
      <c r="G115" s="617">
        <v>45173</v>
      </c>
      <c r="V115" s="622">
        <v>366.95567</v>
      </c>
      <c r="W115" s="622">
        <v>365.19199000000003</v>
      </c>
      <c r="X115" s="622">
        <v>369.27049999999997</v>
      </c>
      <c r="Y115" s="622">
        <v>373.01832000000002</v>
      </c>
      <c r="Z115" s="622">
        <v>376.54568</v>
      </c>
      <c r="AA115" s="622">
        <v>381.28557000000001</v>
      </c>
      <c r="AB115" s="622"/>
    </row>
    <row r="116" spans="7:29">
      <c r="G116" s="617">
        <v>45180</v>
      </c>
      <c r="V116" s="622">
        <v>348.65749</v>
      </c>
      <c r="W116" s="622">
        <v>348.21656999999999</v>
      </c>
      <c r="X116" s="622">
        <v>354.27922000000001</v>
      </c>
      <c r="Y116" s="622">
        <v>360.78279000000003</v>
      </c>
      <c r="Z116" s="622">
        <v>364.64083999999997</v>
      </c>
      <c r="AA116" s="622">
        <v>366.29429000000005</v>
      </c>
      <c r="AB116" s="622"/>
    </row>
    <row r="117" spans="7:29">
      <c r="G117" s="617">
        <v>45187</v>
      </c>
      <c r="V117" s="622"/>
      <c r="W117" s="622">
        <v>353.17692</v>
      </c>
      <c r="X117" s="622">
        <v>359.57025999999996</v>
      </c>
      <c r="Y117" s="622">
        <v>365.74313999999998</v>
      </c>
      <c r="Z117" s="622">
        <v>370.59325999999999</v>
      </c>
      <c r="AA117" s="622">
        <v>373.23877999999996</v>
      </c>
      <c r="AB117" s="622">
        <v>340.39024000000001</v>
      </c>
    </row>
    <row r="118" spans="7:29">
      <c r="G118" s="617">
        <v>45194</v>
      </c>
      <c r="V118" s="622"/>
      <c r="W118" s="622">
        <v>349.42910000000001</v>
      </c>
      <c r="X118" s="622">
        <v>356.04289999999997</v>
      </c>
      <c r="Y118" s="622">
        <v>361.33393999999998</v>
      </c>
      <c r="Z118" s="622">
        <v>365.63290999999998</v>
      </c>
      <c r="AA118" s="622">
        <v>368.38866000000002</v>
      </c>
      <c r="AB118" s="622">
        <v>342.15391999999997</v>
      </c>
    </row>
    <row r="119" spans="7:29">
      <c r="G119" s="617">
        <v>45201</v>
      </c>
      <c r="V119" s="622"/>
      <c r="W119" s="622">
        <v>350.09048000000001</v>
      </c>
      <c r="X119" s="622">
        <v>357.14519999999999</v>
      </c>
      <c r="Y119" s="622">
        <v>362.98739</v>
      </c>
      <c r="Z119" s="622">
        <v>367.39658999999995</v>
      </c>
      <c r="AA119" s="622">
        <v>370.15233999999998</v>
      </c>
      <c r="AB119" s="622">
        <v>342.04369000000003</v>
      </c>
    </row>
    <row r="120" spans="7:29">
      <c r="G120" s="617">
        <v>45208</v>
      </c>
      <c r="V120" s="622"/>
      <c r="W120" s="622">
        <v>348.87795</v>
      </c>
      <c r="X120" s="622">
        <v>356.70427999999998</v>
      </c>
      <c r="Y120" s="622">
        <v>363.31808000000001</v>
      </c>
      <c r="Z120" s="622">
        <v>368.82958000000002</v>
      </c>
      <c r="AA120" s="622">
        <v>372.02625</v>
      </c>
      <c r="AB120" s="622">
        <v>337.30380000000002</v>
      </c>
    </row>
    <row r="121" spans="7:29">
      <c r="G121" s="617">
        <v>45215</v>
      </c>
      <c r="V121" s="622"/>
      <c r="W121" s="622">
        <v>348.43702999999999</v>
      </c>
      <c r="X121" s="622">
        <v>356.15313000000003</v>
      </c>
      <c r="Y121" s="622">
        <v>363.42830999999995</v>
      </c>
      <c r="Z121" s="622">
        <v>368.60911999999996</v>
      </c>
      <c r="AA121" s="622">
        <v>372.02625</v>
      </c>
      <c r="AB121" s="622">
        <v>337.30380000000002</v>
      </c>
    </row>
    <row r="122" spans="7:29">
      <c r="G122" s="617">
        <v>45222</v>
      </c>
      <c r="V122" s="622"/>
      <c r="W122" s="622">
        <v>354.83036999999996</v>
      </c>
      <c r="X122" s="622">
        <v>363.31808000000001</v>
      </c>
      <c r="Y122" s="622">
        <v>369.93188000000004</v>
      </c>
      <c r="Z122" s="622">
        <v>374.78199999999998</v>
      </c>
      <c r="AA122" s="622">
        <v>377.97866999999997</v>
      </c>
      <c r="AB122" s="622">
        <v>339.17770999999999</v>
      </c>
    </row>
    <row r="123" spans="7:29">
      <c r="G123" s="617">
        <v>45229</v>
      </c>
      <c r="W123" s="622">
        <v>354.27922000000001</v>
      </c>
      <c r="X123" s="622">
        <v>354.94060000000002</v>
      </c>
      <c r="Y123" s="622">
        <v>362.21578</v>
      </c>
      <c r="Z123" s="622">
        <v>366.95567</v>
      </c>
      <c r="AA123" s="622">
        <v>369.27049999999997</v>
      </c>
      <c r="AB123" s="622">
        <v>339.50839999999999</v>
      </c>
      <c r="AC123" s="622"/>
    </row>
    <row r="124" spans="7:29">
      <c r="G124" s="617">
        <v>45236</v>
      </c>
      <c r="W124" s="622">
        <v>357.58611999999994</v>
      </c>
      <c r="X124" s="622">
        <v>348.43702999999999</v>
      </c>
      <c r="Y124" s="622">
        <v>354.38944999999995</v>
      </c>
      <c r="Z124" s="622">
        <v>358.68842000000001</v>
      </c>
      <c r="AA124" s="622">
        <v>361.22371000000004</v>
      </c>
      <c r="AB124" s="622">
        <v>339.17770999999999</v>
      </c>
      <c r="AC124" s="622"/>
    </row>
    <row r="125" spans="7:29">
      <c r="G125" s="617">
        <v>45243</v>
      </c>
      <c r="W125" s="622">
        <v>371.4751</v>
      </c>
      <c r="X125" s="622">
        <v>369.16027000000003</v>
      </c>
      <c r="Y125" s="622">
        <v>373.90016000000003</v>
      </c>
      <c r="Z125" s="622">
        <v>377.20705999999996</v>
      </c>
      <c r="AA125" s="622">
        <v>379.63211999999999</v>
      </c>
      <c r="AB125" s="622">
        <v>339.17770999999999</v>
      </c>
      <c r="AC125" s="622"/>
    </row>
    <row r="126" spans="7:29">
      <c r="G126" s="617">
        <v>45257</v>
      </c>
      <c r="W126" s="622"/>
      <c r="X126" s="622">
        <v>380.07304000000005</v>
      </c>
      <c r="Y126" s="622">
        <v>384.48223999999999</v>
      </c>
      <c r="Z126" s="622">
        <v>388.56074999999998</v>
      </c>
      <c r="AA126" s="622">
        <v>391.20627000000002</v>
      </c>
      <c r="AB126" s="622">
        <v>341.49254000000002</v>
      </c>
      <c r="AC126" s="622">
        <v>339.06747999999999</v>
      </c>
    </row>
    <row r="127" spans="7:29">
      <c r="G127" s="617">
        <v>45264</v>
      </c>
      <c r="X127" s="622">
        <v>372.57740000000001</v>
      </c>
      <c r="Y127" s="622">
        <v>378.41958999999997</v>
      </c>
      <c r="Z127" s="622">
        <v>380.51396</v>
      </c>
      <c r="AA127" s="622">
        <v>383.60040000000004</v>
      </c>
      <c r="AB127" s="622">
        <v>340.83116000000001</v>
      </c>
      <c r="AC127" s="622">
        <v>340.50047000000001</v>
      </c>
    </row>
    <row r="128" spans="7:29">
      <c r="G128" s="617">
        <v>45271</v>
      </c>
      <c r="X128" s="622">
        <v>376.76614000000001</v>
      </c>
      <c r="Y128" s="622">
        <v>382.05718000000002</v>
      </c>
      <c r="Z128" s="622">
        <v>386.57661000000002</v>
      </c>
      <c r="AA128" s="622">
        <v>388.56074999999998</v>
      </c>
      <c r="AB128" s="622">
        <v>341.16184999999996</v>
      </c>
      <c r="AC128" s="622">
        <v>340.83116000000001</v>
      </c>
    </row>
    <row r="129" spans="7:31">
      <c r="G129" s="617">
        <v>45278</v>
      </c>
      <c r="X129" s="622">
        <v>383.26971000000003</v>
      </c>
      <c r="Y129" s="622">
        <v>389.55282000000005</v>
      </c>
      <c r="Z129" s="622">
        <v>392.96994999999998</v>
      </c>
      <c r="AA129" s="622">
        <v>392.96994999999998</v>
      </c>
      <c r="AB129" s="622">
        <v>342.48460999999998</v>
      </c>
      <c r="AC129" s="622">
        <v>342.15391999999997</v>
      </c>
    </row>
    <row r="130" spans="7:31">
      <c r="G130" s="617">
        <v>45286</v>
      </c>
      <c r="Y130" s="622">
        <v>388.11982999999998</v>
      </c>
      <c r="Z130" s="622">
        <v>391.75741999999997</v>
      </c>
      <c r="AA130" s="622">
        <v>390.65511999999995</v>
      </c>
      <c r="AB130" s="622">
        <v>344.35852</v>
      </c>
      <c r="AC130" s="622">
        <v>344.02782999999999</v>
      </c>
      <c r="AD130" s="622"/>
    </row>
    <row r="131" spans="7:31">
      <c r="G131" s="617">
        <v>45293</v>
      </c>
      <c r="Y131" s="622">
        <v>397.48938000000004</v>
      </c>
      <c r="Z131" s="622">
        <v>402.00880999999998</v>
      </c>
      <c r="AA131" s="622">
        <v>402.11904000000004</v>
      </c>
      <c r="AB131" s="622">
        <v>343.91760000000005</v>
      </c>
      <c r="AC131" s="622">
        <v>345.13013000000001</v>
      </c>
      <c r="AD131" s="622"/>
    </row>
    <row r="132" spans="7:31">
      <c r="G132" s="617">
        <v>45299</v>
      </c>
      <c r="Y132" s="622">
        <v>385.58454000000006</v>
      </c>
      <c r="Z132" s="622">
        <v>390.76535000000001</v>
      </c>
      <c r="AA132" s="622">
        <v>390.54489000000001</v>
      </c>
      <c r="AB132" s="622">
        <v>344.68921</v>
      </c>
      <c r="AC132" s="622">
        <v>345.90173999999996</v>
      </c>
      <c r="AD132" s="622"/>
    </row>
    <row r="133" spans="7:31">
      <c r="G133" s="617">
        <v>45306</v>
      </c>
      <c r="Y133" s="622">
        <v>389.55282000000005</v>
      </c>
      <c r="Z133" s="622">
        <v>394.73363000000001</v>
      </c>
      <c r="AA133" s="622">
        <v>393.30063999999999</v>
      </c>
      <c r="AB133" s="622">
        <v>343.14598999999998</v>
      </c>
      <c r="AC133" s="622">
        <v>344.35852</v>
      </c>
      <c r="AD133" s="622">
        <v>345.46082000000001</v>
      </c>
    </row>
    <row r="134" spans="7:31">
      <c r="G134" s="617">
        <v>45317</v>
      </c>
      <c r="Y134" s="622">
        <v>396.49730999999997</v>
      </c>
      <c r="Z134" s="622">
        <v>402.44972999999999</v>
      </c>
      <c r="AA134" s="622">
        <v>403.00088</v>
      </c>
      <c r="AB134" s="622">
        <v>340.61070000000001</v>
      </c>
      <c r="AC134" s="622">
        <v>343.58690999999999</v>
      </c>
      <c r="AD134" s="622">
        <v>344.68921</v>
      </c>
    </row>
    <row r="135" spans="7:31">
      <c r="G135" s="617">
        <v>45327</v>
      </c>
      <c r="Y135" s="622">
        <v>403.66225999999995</v>
      </c>
      <c r="Z135" s="622">
        <v>409.06352999999996</v>
      </c>
      <c r="AA135" s="622">
        <v>410.71697999999998</v>
      </c>
      <c r="AB135" s="622">
        <v>338.40609999999998</v>
      </c>
      <c r="AC135" s="622">
        <v>339.94932</v>
      </c>
      <c r="AD135" s="622">
        <v>341.71299999999997</v>
      </c>
      <c r="AE135" s="622"/>
    </row>
    <row r="136" spans="7:31">
      <c r="G136" s="617">
        <v>45334</v>
      </c>
      <c r="Y136" s="622">
        <v>410.60674999999998</v>
      </c>
      <c r="Z136" s="622">
        <v>415.45686999999998</v>
      </c>
      <c r="AA136" s="622">
        <v>415.89779000000004</v>
      </c>
      <c r="AB136" s="622">
        <v>333.99689999999998</v>
      </c>
      <c r="AC136" s="622">
        <v>334.10713000000004</v>
      </c>
      <c r="AD136" s="622">
        <v>339.17770999999999</v>
      </c>
      <c r="AE136" s="622"/>
    </row>
    <row r="137" spans="7:31">
      <c r="G137" s="617">
        <v>45341</v>
      </c>
      <c r="Y137" s="622"/>
      <c r="Z137" s="622">
        <v>409.28399000000002</v>
      </c>
      <c r="AA137" s="622">
        <v>409.39422000000002</v>
      </c>
      <c r="AB137" s="622">
        <v>317.90332000000001</v>
      </c>
      <c r="AC137" s="622">
        <v>320.76929999999999</v>
      </c>
      <c r="AD137" s="622">
        <v>324.62734999999998</v>
      </c>
      <c r="AE137" s="622"/>
    </row>
    <row r="138" spans="7:31">
      <c r="G138" s="617">
        <v>45348</v>
      </c>
      <c r="Y138" s="622"/>
      <c r="Z138" s="622">
        <v>411.04766999999998</v>
      </c>
      <c r="AA138" s="622">
        <v>411.37835999999999</v>
      </c>
      <c r="AB138" s="622">
        <v>319.77723000000003</v>
      </c>
      <c r="AC138" s="622">
        <v>321.76137</v>
      </c>
      <c r="AD138" s="622">
        <v>324.40688999999998</v>
      </c>
      <c r="AE138" s="622"/>
    </row>
    <row r="139" spans="7:31">
      <c r="G139" s="617">
        <v>45355</v>
      </c>
      <c r="Y139" s="622"/>
      <c r="Z139" s="622">
        <v>404.21341000000001</v>
      </c>
      <c r="AA139" s="622">
        <v>407.52030999999999</v>
      </c>
      <c r="AB139" s="622">
        <v>317.68286000000001</v>
      </c>
      <c r="AC139" s="622">
        <v>318.67493000000002</v>
      </c>
      <c r="AD139" s="622">
        <v>321.32044999999999</v>
      </c>
      <c r="AE139" s="622"/>
    </row>
    <row r="140" spans="7:31">
      <c r="G140" s="617">
        <v>45358</v>
      </c>
      <c r="Y140" s="622"/>
      <c r="Z140" s="622">
        <v>392.85971999999998</v>
      </c>
      <c r="AA140" s="622">
        <v>397.82007000000004</v>
      </c>
      <c r="AB140" s="622">
        <v>319.88745999999998</v>
      </c>
      <c r="AC140" s="622">
        <v>321.65114</v>
      </c>
      <c r="AD140" s="622">
        <v>323.30459000000002</v>
      </c>
      <c r="AE140" s="622"/>
    </row>
    <row r="141" spans="7:31">
      <c r="G141" s="617">
        <v>45362</v>
      </c>
      <c r="Y141" s="622"/>
      <c r="Z141" s="622">
        <v>393.08018000000004</v>
      </c>
      <c r="AA141" s="622">
        <v>397.82007000000004</v>
      </c>
      <c r="AB141" s="622">
        <v>320.21814999999998</v>
      </c>
      <c r="AC141" s="622">
        <v>321.98183</v>
      </c>
      <c r="AD141" s="622">
        <v>323.96596999999997</v>
      </c>
      <c r="AE141" s="622"/>
    </row>
    <row r="142" spans="7:31">
      <c r="G142" s="617">
        <v>45371</v>
      </c>
      <c r="Y142" s="622"/>
      <c r="Z142" s="622">
        <v>390.10397</v>
      </c>
      <c r="AA142" s="622">
        <v>395.28477999999996</v>
      </c>
      <c r="AB142" s="622">
        <v>321.65114</v>
      </c>
      <c r="AC142" s="622">
        <v>322.86366999999996</v>
      </c>
      <c r="AD142" s="622">
        <v>322.86366999999996</v>
      </c>
      <c r="AE142" s="622">
        <v>324.07620000000003</v>
      </c>
    </row>
    <row r="143" spans="7:31">
      <c r="G143" s="617">
        <v>45383</v>
      </c>
      <c r="Z143" s="622">
        <v>359.23957000000001</v>
      </c>
      <c r="AA143" s="622">
        <v>366.40451999999999</v>
      </c>
      <c r="AB143" s="622">
        <v>321.65114</v>
      </c>
      <c r="AC143" s="622">
        <v>323.52505000000002</v>
      </c>
      <c r="AD143" s="622">
        <v>323.08413000000002</v>
      </c>
      <c r="AE143" s="622">
        <v>322.97390000000001</v>
      </c>
    </row>
    <row r="144" spans="7:31">
      <c r="G144" s="617">
        <v>45390</v>
      </c>
      <c r="Z144" s="622">
        <v>355.27129000000002</v>
      </c>
      <c r="AA144" s="622">
        <v>358.57819000000001</v>
      </c>
      <c r="AB144" s="622">
        <v>320.98975999999999</v>
      </c>
      <c r="AC144" s="622">
        <v>324.73757999999998</v>
      </c>
      <c r="AD144" s="622">
        <v>327.05241000000001</v>
      </c>
      <c r="AE144" s="622">
        <v>329.25700999999998</v>
      </c>
    </row>
    <row r="145" spans="7:33">
      <c r="G145" s="617">
        <v>45398</v>
      </c>
      <c r="Z145" s="622">
        <v>404.87479000000002</v>
      </c>
      <c r="AA145" s="622">
        <v>401.56788999999998</v>
      </c>
      <c r="AB145" s="622">
        <v>328.37516999999997</v>
      </c>
      <c r="AC145" s="622">
        <v>331.13092</v>
      </c>
      <c r="AD145" s="622">
        <v>333.44574999999998</v>
      </c>
      <c r="AE145" s="622">
        <v>333.33552000000003</v>
      </c>
    </row>
    <row r="146" spans="7:33">
      <c r="G146" s="617">
        <v>45404</v>
      </c>
      <c r="Z146" s="622">
        <v>418.10238999999996</v>
      </c>
      <c r="AA146" s="622">
        <v>423.17297000000002</v>
      </c>
      <c r="AB146" s="622">
        <v>332.23322000000002</v>
      </c>
      <c r="AC146" s="622">
        <v>335.87081000000001</v>
      </c>
      <c r="AD146" s="622">
        <v>340.50047000000001</v>
      </c>
      <c r="AE146" s="622">
        <v>344.79944</v>
      </c>
    </row>
    <row r="147" spans="7:33">
      <c r="G147" s="617">
        <v>45407</v>
      </c>
      <c r="Z147" s="622">
        <v>420.74790999999999</v>
      </c>
      <c r="AA147" s="622">
        <v>422.73205000000002</v>
      </c>
      <c r="AB147" s="622">
        <v>332.56391000000002</v>
      </c>
      <c r="AC147" s="622">
        <v>334.76850999999999</v>
      </c>
      <c r="AD147" s="622">
        <v>338.95724999999999</v>
      </c>
      <c r="AE147" s="622">
        <v>341.93345999999997</v>
      </c>
    </row>
    <row r="148" spans="7:33">
      <c r="G148" s="617">
        <v>45411</v>
      </c>
      <c r="AA148" s="622">
        <v>429.01515999999998</v>
      </c>
      <c r="AB148" s="622">
        <v>335.65035</v>
      </c>
      <c r="AC148" s="622">
        <v>338.95724999999999</v>
      </c>
      <c r="AD148" s="622">
        <v>340.39024000000001</v>
      </c>
      <c r="AE148" s="622">
        <v>342.70506999999998</v>
      </c>
      <c r="AF148" s="622"/>
    </row>
    <row r="149" spans="7:33">
      <c r="G149" s="617">
        <v>45418</v>
      </c>
      <c r="AA149" s="622">
        <v>409.28399000000002</v>
      </c>
      <c r="AB149" s="622">
        <v>338.40609999999998</v>
      </c>
      <c r="AC149" s="622">
        <v>338.95724999999999</v>
      </c>
      <c r="AD149" s="622">
        <v>339.17770999999999</v>
      </c>
      <c r="AE149" s="622">
        <v>339.61863</v>
      </c>
      <c r="AF149" s="622"/>
    </row>
    <row r="150" spans="7:33">
      <c r="G150" s="617">
        <v>45425</v>
      </c>
      <c r="AA150" s="622">
        <v>412.81135</v>
      </c>
      <c r="AB150" s="622">
        <v>340.05955</v>
      </c>
      <c r="AC150" s="622">
        <v>340.50047000000001</v>
      </c>
      <c r="AD150" s="622">
        <v>340.28001</v>
      </c>
      <c r="AE150" s="622">
        <v>341.49254000000002</v>
      </c>
      <c r="AF150" s="622"/>
    </row>
    <row r="151" spans="7:33">
      <c r="G151" s="617">
        <v>45436</v>
      </c>
      <c r="AA151" s="622">
        <v>404.32364000000001</v>
      </c>
      <c r="AB151" s="622">
        <v>344.46875</v>
      </c>
      <c r="AC151" s="622">
        <v>346.12220000000002</v>
      </c>
      <c r="AD151" s="622">
        <v>347.44495999999998</v>
      </c>
      <c r="AE151" s="622">
        <v>348.43702999999999</v>
      </c>
      <c r="AF151" s="622">
        <v>353.06668999999999</v>
      </c>
    </row>
    <row r="152" spans="7:33">
      <c r="G152" s="617">
        <v>45443</v>
      </c>
      <c r="AA152" s="622">
        <v>389.55282000000005</v>
      </c>
      <c r="AB152" s="622">
        <v>347.88588000000004</v>
      </c>
      <c r="AC152" s="622">
        <v>349.64956000000001</v>
      </c>
      <c r="AD152" s="622">
        <v>351.52346999999997</v>
      </c>
      <c r="AE152" s="622">
        <v>353.17692</v>
      </c>
      <c r="AF152" s="622">
        <v>357.80658</v>
      </c>
    </row>
    <row r="153" spans="7:33">
      <c r="G153" s="617">
        <v>45450</v>
      </c>
      <c r="AA153" s="622">
        <v>400.57582000000002</v>
      </c>
      <c r="AB153" s="622">
        <v>342.81529999999998</v>
      </c>
      <c r="AC153" s="622">
        <v>345.01990000000001</v>
      </c>
      <c r="AD153" s="622">
        <v>347.66541999999998</v>
      </c>
      <c r="AE153" s="622">
        <v>349.53933000000001</v>
      </c>
      <c r="AF153" s="622">
        <v>354.16899000000001</v>
      </c>
    </row>
    <row r="154" spans="7:33">
      <c r="G154" s="617">
        <v>45457</v>
      </c>
      <c r="AA154" s="622">
        <v>400.90650999999997</v>
      </c>
      <c r="AB154" s="622">
        <v>346.01197000000002</v>
      </c>
      <c r="AC154" s="622">
        <v>348.21656999999999</v>
      </c>
      <c r="AD154" s="622">
        <v>350.09048000000001</v>
      </c>
      <c r="AE154" s="622">
        <v>351.63370000000003</v>
      </c>
      <c r="AF154" s="622">
        <v>356.26335999999998</v>
      </c>
    </row>
    <row r="155" spans="7:33">
      <c r="G155" s="617">
        <v>45463</v>
      </c>
      <c r="AA155" s="622">
        <v>396.71777000000003</v>
      </c>
      <c r="AB155" s="622">
        <v>345.24036000000001</v>
      </c>
      <c r="AC155" s="622">
        <v>347.66541999999998</v>
      </c>
      <c r="AD155" s="622">
        <v>349.98025000000001</v>
      </c>
      <c r="AE155" s="622">
        <v>351.52346999999997</v>
      </c>
      <c r="AF155" s="622">
        <v>356.15313000000003</v>
      </c>
      <c r="AG155" s="622"/>
    </row>
    <row r="156" spans="7:33">
      <c r="G156" s="617">
        <v>45467</v>
      </c>
      <c r="AA156" s="622">
        <v>408.18169</v>
      </c>
      <c r="AB156" s="622">
        <v>342.92552999999998</v>
      </c>
      <c r="AC156" s="622">
        <v>345.46082000000001</v>
      </c>
      <c r="AD156" s="622">
        <v>347.77564999999998</v>
      </c>
      <c r="AE156" s="622">
        <v>349.31887</v>
      </c>
      <c r="AF156" s="622">
        <v>353.94853000000001</v>
      </c>
      <c r="AG156" s="622"/>
    </row>
    <row r="157" spans="7:33">
      <c r="G157" s="617">
        <v>45474</v>
      </c>
      <c r="AA157" s="622">
        <v>373.78993000000003</v>
      </c>
      <c r="AB157" s="622">
        <v>333.22528999999997</v>
      </c>
      <c r="AC157" s="622">
        <v>337.41402999999997</v>
      </c>
      <c r="AD157" s="622">
        <v>342.92552999999998</v>
      </c>
      <c r="AE157" s="622">
        <v>345.90173999999996</v>
      </c>
      <c r="AF157" s="622">
        <v>347.66541999999998</v>
      </c>
      <c r="AG157" s="622"/>
    </row>
    <row r="158" spans="7:33">
      <c r="G158" s="617">
        <v>45481</v>
      </c>
      <c r="AA158" s="622">
        <v>376.21499</v>
      </c>
      <c r="AB158" s="622">
        <v>326.06034</v>
      </c>
      <c r="AC158" s="622">
        <v>331.46161000000001</v>
      </c>
      <c r="AD158" s="622">
        <v>336.64241999999996</v>
      </c>
      <c r="AE158" s="622">
        <v>341.38231000000002</v>
      </c>
      <c r="AF158" s="622">
        <v>345.35059000000001</v>
      </c>
      <c r="AG158" s="622"/>
    </row>
    <row r="159" spans="7:33">
      <c r="G159" s="617">
        <v>45488</v>
      </c>
      <c r="AA159" s="622"/>
      <c r="AB159" s="622">
        <v>324.07620000000003</v>
      </c>
      <c r="AC159" s="622">
        <v>329.36723999999998</v>
      </c>
      <c r="AD159" s="622">
        <v>334.10713000000004</v>
      </c>
      <c r="AE159" s="622">
        <v>338.18563999999998</v>
      </c>
      <c r="AF159" s="622">
        <v>342.15391999999997</v>
      </c>
      <c r="AG159" s="622">
        <v>349.64956000000001</v>
      </c>
    </row>
    <row r="160" spans="7:33">
      <c r="G160" s="617">
        <v>45495</v>
      </c>
      <c r="AA160" s="622"/>
      <c r="AB160" s="622">
        <v>321.8716</v>
      </c>
      <c r="AC160" s="622">
        <v>327.16264000000001</v>
      </c>
      <c r="AD160" s="622">
        <v>332.34345000000002</v>
      </c>
      <c r="AE160" s="622">
        <v>337.30380000000002</v>
      </c>
      <c r="AF160" s="622">
        <v>340.28001</v>
      </c>
      <c r="AG160" s="622">
        <v>342.81529999999998</v>
      </c>
    </row>
    <row r="161" spans="7:33">
      <c r="G161" s="732">
        <v>45502</v>
      </c>
      <c r="AB161" s="622">
        <v>335.31966</v>
      </c>
      <c r="AC161" s="622">
        <v>339.50839999999999</v>
      </c>
      <c r="AD161" s="622">
        <v>344.02782999999999</v>
      </c>
      <c r="AE161" s="622">
        <v>348.10633999999999</v>
      </c>
      <c r="AF161" s="622">
        <v>351.08255000000003</v>
      </c>
      <c r="AG161" s="622">
        <v>342.48460999999998</v>
      </c>
    </row>
    <row r="162" spans="7:33">
      <c r="G162" s="727">
        <v>45509</v>
      </c>
      <c r="AB162" s="622">
        <v>336.75265000000002</v>
      </c>
      <c r="AC162" s="622">
        <v>340.72093000000001</v>
      </c>
      <c r="AD162" s="622">
        <v>344.46875</v>
      </c>
      <c r="AE162" s="622">
        <v>348.98818</v>
      </c>
      <c r="AF162" s="622">
        <v>352.95646000000005</v>
      </c>
      <c r="AG162" s="622">
        <v>342.15391999999997</v>
      </c>
    </row>
    <row r="163" spans="7:33">
      <c r="G163" s="727">
        <v>45516</v>
      </c>
      <c r="AB163" s="622">
        <v>320.43860999999998</v>
      </c>
      <c r="AC163" s="622">
        <v>325.17849999999999</v>
      </c>
      <c r="AD163" s="622">
        <v>330.46953999999999</v>
      </c>
      <c r="AE163" s="622">
        <v>336.31173000000001</v>
      </c>
      <c r="AF163" s="622">
        <v>341.16184999999996</v>
      </c>
      <c r="AG163" s="622">
        <v>330.35930999999999</v>
      </c>
    </row>
    <row r="164" spans="7:33">
      <c r="G164" s="727">
        <v>45523</v>
      </c>
      <c r="AB164" s="622">
        <v>328.26494000000002</v>
      </c>
      <c r="AC164" s="622">
        <v>330.13884999999999</v>
      </c>
      <c r="AD164" s="622">
        <v>334.98896999999999</v>
      </c>
      <c r="AE164" s="622">
        <v>340.05955</v>
      </c>
      <c r="AF164" s="622">
        <v>344.90967000000001</v>
      </c>
      <c r="AG164" s="622">
        <v>330.69</v>
      </c>
    </row>
    <row r="165" spans="7:33">
      <c r="G165" s="727">
        <v>45530</v>
      </c>
      <c r="AB165" s="622">
        <v>332.67413999999997</v>
      </c>
      <c r="AC165" s="622">
        <v>331.68207000000001</v>
      </c>
      <c r="AD165" s="622">
        <v>335.76058</v>
      </c>
      <c r="AE165" s="622">
        <v>341.16184999999996</v>
      </c>
      <c r="AF165" s="622">
        <v>346.01197000000002</v>
      </c>
      <c r="AG165" s="622">
        <v>327.38309999999996</v>
      </c>
    </row>
  </sheetData>
  <phoneticPr fontId="47" type="noConversion"/>
  <pageMargins left="0.70866141732283472" right="0.70866141732283472" top="0.74803149606299213" bottom="0.74803149606299213" header="0.31496062992125984" footer="0.31496062992125984"/>
  <pageSetup scale="89" orientation="portrait" r:id="rId1"/>
  <headerFooter>
    <oddFooter>&amp;C&amp;11&amp;A</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K62"/>
  <sheetViews>
    <sheetView zoomScaleNormal="100" workbookViewId="0">
      <pane ySplit="5" topLeftCell="A6" activePane="bottomLeft" state="frozen"/>
      <selection pane="bottomLeft" activeCell="J61" sqref="J61"/>
    </sheetView>
  </sheetViews>
  <sheetFormatPr baseColWidth="10" defaultColWidth="10.9140625" defaultRowHeight="17.7"/>
  <cols>
    <col min="1" max="1" width="1.4140625" customWidth="1"/>
    <col min="2" max="8" width="8.75" customWidth="1"/>
  </cols>
  <sheetData>
    <row r="1" spans="2:10">
      <c r="B1" s="791" t="s">
        <v>732</v>
      </c>
      <c r="C1" s="791"/>
      <c r="D1" s="791"/>
      <c r="E1" s="791"/>
      <c r="F1" s="791"/>
      <c r="G1" s="791"/>
      <c r="H1" s="791"/>
    </row>
    <row r="2" spans="2:10" ht="35.200000000000003" customHeight="1">
      <c r="B2" s="898" t="s">
        <v>550</v>
      </c>
      <c r="C2" s="898"/>
      <c r="D2" s="898"/>
      <c r="E2" s="898"/>
      <c r="F2" s="898"/>
      <c r="G2" s="898"/>
      <c r="H2" s="898"/>
    </row>
    <row r="3" spans="2:10" ht="18" customHeight="1">
      <c r="B3" s="815" t="s">
        <v>727</v>
      </c>
      <c r="C3" s="815"/>
      <c r="D3" s="815"/>
      <c r="E3" s="815"/>
      <c r="F3" s="815"/>
      <c r="G3" s="815"/>
      <c r="H3" s="815"/>
    </row>
    <row r="4" spans="2:10" ht="18" customHeight="1">
      <c r="B4" s="815" t="s">
        <v>672</v>
      </c>
      <c r="C4" s="815"/>
      <c r="D4" s="815"/>
      <c r="E4" s="815"/>
      <c r="F4" s="815"/>
      <c r="G4" s="815"/>
      <c r="H4" s="815"/>
    </row>
    <row r="5" spans="2:10" ht="60.75" customHeight="1">
      <c r="B5" s="409" t="s">
        <v>673</v>
      </c>
      <c r="C5" s="410" t="s">
        <v>674</v>
      </c>
      <c r="D5" s="410" t="s">
        <v>675</v>
      </c>
      <c r="E5" s="410" t="s">
        <v>676</v>
      </c>
      <c r="F5" s="410" t="s">
        <v>677</v>
      </c>
      <c r="G5" s="410" t="s">
        <v>678</v>
      </c>
      <c r="H5" s="410" t="s">
        <v>679</v>
      </c>
    </row>
    <row r="6" spans="2:10" ht="15.75" customHeight="1">
      <c r="B6" s="408">
        <v>43831</v>
      </c>
      <c r="C6" s="245">
        <v>790</v>
      </c>
      <c r="D6" s="245">
        <v>540</v>
      </c>
      <c r="E6" s="245">
        <v>1350</v>
      </c>
      <c r="F6" s="245">
        <v>1099</v>
      </c>
      <c r="G6" s="245">
        <v>1020</v>
      </c>
      <c r="H6" s="245">
        <v>891</v>
      </c>
      <c r="I6" s="260"/>
      <c r="J6" s="260"/>
    </row>
    <row r="7" spans="2:10" ht="15.75" customHeight="1">
      <c r="B7" s="408">
        <v>43862</v>
      </c>
      <c r="C7" s="245">
        <v>829</v>
      </c>
      <c r="D7" s="245">
        <v>540</v>
      </c>
      <c r="E7" s="245">
        <v>1350</v>
      </c>
      <c r="F7" s="245">
        <v>1190</v>
      </c>
      <c r="G7" s="245">
        <v>1027</v>
      </c>
      <c r="H7" s="245">
        <v>886</v>
      </c>
      <c r="I7" s="260"/>
      <c r="J7" s="260"/>
    </row>
    <row r="8" spans="2:10" ht="15.75" customHeight="1">
      <c r="B8" s="408">
        <v>43891</v>
      </c>
      <c r="C8" s="245">
        <v>890</v>
      </c>
      <c r="D8" s="245">
        <v>575</v>
      </c>
      <c r="E8" s="245">
        <v>1450</v>
      </c>
      <c r="F8" s="245">
        <v>1190</v>
      </c>
      <c r="G8" s="245">
        <v>1046</v>
      </c>
      <c r="H8" s="245">
        <v>912</v>
      </c>
      <c r="I8" s="260"/>
      <c r="J8" s="260"/>
    </row>
    <row r="9" spans="2:10" ht="15.75" customHeight="1">
      <c r="B9" s="408">
        <v>43922</v>
      </c>
      <c r="C9" s="245">
        <v>910</v>
      </c>
      <c r="D9" s="245">
        <v>575</v>
      </c>
      <c r="E9" s="245">
        <v>1450</v>
      </c>
      <c r="F9" s="245">
        <v>1229</v>
      </c>
      <c r="G9" s="245">
        <v>1056</v>
      </c>
      <c r="H9" s="245">
        <v>913</v>
      </c>
      <c r="I9" s="260"/>
      <c r="J9" s="260"/>
    </row>
    <row r="10" spans="2:10" ht="15.75" customHeight="1">
      <c r="B10" s="408">
        <v>43952</v>
      </c>
      <c r="C10" s="245">
        <v>910</v>
      </c>
      <c r="D10" s="245">
        <v>790</v>
      </c>
      <c r="E10" s="245">
        <v>1595</v>
      </c>
      <c r="F10" s="245">
        <v>1190</v>
      </c>
      <c r="G10" s="245">
        <v>1091</v>
      </c>
      <c r="H10" s="245">
        <v>927</v>
      </c>
      <c r="I10" s="260"/>
      <c r="J10" s="260"/>
    </row>
    <row r="11" spans="2:10" ht="15.75" customHeight="1">
      <c r="B11" s="408">
        <v>43983</v>
      </c>
      <c r="C11" s="245">
        <v>910</v>
      </c>
      <c r="D11" s="245">
        <v>799</v>
      </c>
      <c r="E11" s="245">
        <v>1595</v>
      </c>
      <c r="F11" s="245">
        <v>1190</v>
      </c>
      <c r="G11" s="245">
        <v>1072</v>
      </c>
      <c r="H11" s="245">
        <v>914</v>
      </c>
      <c r="I11" s="260"/>
      <c r="J11" s="260"/>
    </row>
    <row r="12" spans="2:10" ht="15.75" customHeight="1">
      <c r="B12" s="408">
        <v>44013</v>
      </c>
      <c r="C12" s="245">
        <v>910</v>
      </c>
      <c r="D12" s="245">
        <v>799</v>
      </c>
      <c r="E12" s="245">
        <v>1595</v>
      </c>
      <c r="F12" s="245">
        <v>1190</v>
      </c>
      <c r="G12" s="245">
        <v>1050</v>
      </c>
      <c r="H12" s="245">
        <v>906</v>
      </c>
      <c r="I12" s="260"/>
      <c r="J12" s="260"/>
    </row>
    <row r="13" spans="2:10" ht="15.75" customHeight="1">
      <c r="B13" s="408">
        <v>44044</v>
      </c>
      <c r="C13" s="245">
        <v>910</v>
      </c>
      <c r="D13" s="245">
        <v>799</v>
      </c>
      <c r="E13" s="245">
        <v>1169</v>
      </c>
      <c r="F13" s="245">
        <v>1079</v>
      </c>
      <c r="G13" s="245">
        <v>1041</v>
      </c>
      <c r="H13" s="245">
        <v>895</v>
      </c>
      <c r="I13" s="260"/>
      <c r="J13" s="260"/>
    </row>
    <row r="14" spans="2:10" ht="15.75" customHeight="1">
      <c r="B14" s="408">
        <v>44075</v>
      </c>
      <c r="C14" s="245">
        <v>910</v>
      </c>
      <c r="D14" s="245">
        <v>699</v>
      </c>
      <c r="E14" s="245">
        <v>1249</v>
      </c>
      <c r="F14" s="245">
        <v>1079</v>
      </c>
      <c r="G14" s="245">
        <v>1051</v>
      </c>
      <c r="H14" s="245">
        <v>901</v>
      </c>
      <c r="I14" s="260"/>
      <c r="J14" s="260"/>
    </row>
    <row r="15" spans="2:10" ht="15.75" customHeight="1">
      <c r="B15" s="408">
        <v>44105</v>
      </c>
      <c r="C15" s="245">
        <v>850</v>
      </c>
      <c r="D15" s="245">
        <v>560</v>
      </c>
      <c r="E15" s="245">
        <v>1249</v>
      </c>
      <c r="F15" s="245">
        <v>1150</v>
      </c>
      <c r="G15" s="245">
        <v>1158</v>
      </c>
      <c r="H15" s="245">
        <v>910</v>
      </c>
      <c r="I15" s="260"/>
      <c r="J15" s="260"/>
    </row>
    <row r="16" spans="2:10" ht="15.75" customHeight="1">
      <c r="B16" s="408">
        <v>44136</v>
      </c>
      <c r="C16" s="245">
        <v>910</v>
      </c>
      <c r="D16" s="245">
        <v>779</v>
      </c>
      <c r="E16" s="245">
        <v>1339</v>
      </c>
      <c r="F16" s="245">
        <v>1150</v>
      </c>
      <c r="G16" s="245">
        <v>1069</v>
      </c>
      <c r="H16" s="245">
        <v>898</v>
      </c>
      <c r="I16" s="260"/>
      <c r="J16" s="260"/>
    </row>
    <row r="17" spans="2:10" ht="15.75" customHeight="1">
      <c r="B17" s="408">
        <v>44166</v>
      </c>
      <c r="C17" s="245">
        <v>910</v>
      </c>
      <c r="D17" s="245">
        <v>699</v>
      </c>
      <c r="E17" s="245">
        <v>1399</v>
      </c>
      <c r="F17" s="245">
        <v>1060</v>
      </c>
      <c r="G17" s="245">
        <v>1063</v>
      </c>
      <c r="H17" s="245">
        <v>896</v>
      </c>
      <c r="I17" s="260"/>
      <c r="J17" s="260"/>
    </row>
    <row r="18" spans="2:10" ht="15.75" customHeight="1">
      <c r="B18" s="408">
        <v>44197</v>
      </c>
      <c r="C18" s="245">
        <v>910</v>
      </c>
      <c r="D18" s="245">
        <v>699</v>
      </c>
      <c r="E18" s="245">
        <v>1139</v>
      </c>
      <c r="F18" s="245">
        <v>1090</v>
      </c>
      <c r="G18" s="245">
        <v>1062</v>
      </c>
      <c r="H18" s="245">
        <v>901</v>
      </c>
      <c r="I18" s="260"/>
      <c r="J18" s="260"/>
    </row>
    <row r="19" spans="2:10" ht="15.75" customHeight="1">
      <c r="B19" s="408">
        <v>44228</v>
      </c>
      <c r="C19" s="245">
        <v>989</v>
      </c>
      <c r="D19" s="245">
        <v>799</v>
      </c>
      <c r="E19" s="245">
        <v>1399</v>
      </c>
      <c r="F19" s="245">
        <v>1039</v>
      </c>
      <c r="G19" s="245">
        <v>1072</v>
      </c>
      <c r="H19" s="245">
        <v>900</v>
      </c>
      <c r="I19" s="260"/>
      <c r="J19" s="260"/>
    </row>
    <row r="20" spans="2:10" ht="15.75" customHeight="1">
      <c r="B20" s="408">
        <v>44256</v>
      </c>
      <c r="C20" s="245">
        <v>989</v>
      </c>
      <c r="D20" s="245">
        <v>790</v>
      </c>
      <c r="E20" s="245">
        <v>1399</v>
      </c>
      <c r="F20" s="245">
        <v>1090</v>
      </c>
      <c r="G20" s="245">
        <v>1070</v>
      </c>
      <c r="H20" s="245">
        <v>911</v>
      </c>
      <c r="I20" s="260"/>
      <c r="J20" s="260"/>
    </row>
    <row r="21" spans="2:10" ht="15.75" customHeight="1">
      <c r="B21" s="408">
        <v>44287</v>
      </c>
      <c r="C21" s="245">
        <v>910</v>
      </c>
      <c r="D21" s="245">
        <v>799</v>
      </c>
      <c r="E21" s="245">
        <v>1399</v>
      </c>
      <c r="F21" s="245">
        <v>1039</v>
      </c>
      <c r="G21" s="245">
        <v>1088</v>
      </c>
      <c r="H21" s="245">
        <v>920</v>
      </c>
      <c r="I21" s="260"/>
      <c r="J21" s="260"/>
    </row>
    <row r="22" spans="2:10" ht="15.75" customHeight="1">
      <c r="B22" s="408">
        <v>44317</v>
      </c>
      <c r="C22" s="245">
        <v>950</v>
      </c>
      <c r="D22" s="245">
        <v>849</v>
      </c>
      <c r="E22" s="245">
        <v>1399</v>
      </c>
      <c r="F22" s="245">
        <v>1039</v>
      </c>
      <c r="G22" s="245">
        <v>1081</v>
      </c>
      <c r="H22" s="245">
        <v>918</v>
      </c>
      <c r="I22" s="260"/>
      <c r="J22" s="260"/>
    </row>
    <row r="23" spans="2:10" ht="15.75" customHeight="1">
      <c r="B23" s="408">
        <v>44348</v>
      </c>
      <c r="C23" s="245">
        <v>950</v>
      </c>
      <c r="D23" s="245">
        <v>849</v>
      </c>
      <c r="E23" s="245">
        <v>1320</v>
      </c>
      <c r="F23" s="245">
        <v>1050</v>
      </c>
      <c r="G23" s="245">
        <v>1057</v>
      </c>
      <c r="H23" s="245">
        <v>911</v>
      </c>
      <c r="I23" s="260"/>
      <c r="J23" s="260"/>
    </row>
    <row r="24" spans="2:10" ht="15.75" customHeight="1">
      <c r="B24" s="408">
        <v>44378</v>
      </c>
      <c r="C24" s="426">
        <v>910</v>
      </c>
      <c r="D24" s="426">
        <v>820</v>
      </c>
      <c r="E24" s="426">
        <v>1320</v>
      </c>
      <c r="F24" s="426">
        <v>1070</v>
      </c>
      <c r="G24" s="426">
        <v>1082</v>
      </c>
      <c r="H24" s="426">
        <v>916</v>
      </c>
      <c r="I24" s="260"/>
      <c r="J24" s="260"/>
    </row>
    <row r="25" spans="2:10" ht="15.75" customHeight="1">
      <c r="B25" s="408">
        <v>44409</v>
      </c>
      <c r="C25" s="426">
        <v>910</v>
      </c>
      <c r="D25" s="426">
        <v>800</v>
      </c>
      <c r="E25" s="426">
        <v>1320</v>
      </c>
      <c r="F25" s="426">
        <v>1110</v>
      </c>
      <c r="G25" s="426">
        <v>1108</v>
      </c>
      <c r="H25" s="426">
        <v>911</v>
      </c>
      <c r="I25" s="260"/>
      <c r="J25" s="260"/>
    </row>
    <row r="26" spans="2:10" ht="15.75" customHeight="1">
      <c r="B26" s="408">
        <v>44440</v>
      </c>
      <c r="C26" s="426">
        <v>850</v>
      </c>
      <c r="D26" s="426">
        <v>790</v>
      </c>
      <c r="E26" s="426">
        <v>1399</v>
      </c>
      <c r="F26" s="426">
        <v>1090</v>
      </c>
      <c r="G26" s="426">
        <v>1130</v>
      </c>
      <c r="H26" s="426">
        <v>913</v>
      </c>
      <c r="I26" s="260"/>
      <c r="J26" s="260"/>
    </row>
    <row r="27" spans="2:10" ht="15.75" customHeight="1">
      <c r="B27" s="408">
        <v>44470</v>
      </c>
      <c r="C27" s="426">
        <v>850</v>
      </c>
      <c r="D27" s="426">
        <v>790</v>
      </c>
      <c r="E27" s="426">
        <v>1399</v>
      </c>
      <c r="F27" s="426">
        <v>1289</v>
      </c>
      <c r="G27" s="426">
        <v>1139</v>
      </c>
      <c r="H27" s="426">
        <v>916</v>
      </c>
      <c r="I27" s="260"/>
      <c r="J27" s="260"/>
    </row>
    <row r="28" spans="2:10" ht="15.75" customHeight="1">
      <c r="B28" s="408">
        <v>44501</v>
      </c>
      <c r="C28" s="426">
        <v>799</v>
      </c>
      <c r="D28" s="426">
        <v>810</v>
      </c>
      <c r="E28" s="426">
        <v>1459</v>
      </c>
      <c r="F28" s="426">
        <v>1090</v>
      </c>
      <c r="G28" s="426">
        <v>1158</v>
      </c>
      <c r="H28" s="426">
        <v>922</v>
      </c>
      <c r="I28" s="260"/>
      <c r="J28" s="260" t="s">
        <v>97</v>
      </c>
    </row>
    <row r="29" spans="2:10" ht="15.75" customHeight="1">
      <c r="B29" s="408">
        <v>44531</v>
      </c>
      <c r="C29" s="426">
        <v>850</v>
      </c>
      <c r="D29" s="426">
        <v>850</v>
      </c>
      <c r="E29" s="426">
        <v>1399</v>
      </c>
      <c r="F29" s="426">
        <v>1359</v>
      </c>
      <c r="G29" s="426">
        <v>1184</v>
      </c>
      <c r="H29" s="426">
        <v>929</v>
      </c>
      <c r="I29" s="260"/>
      <c r="J29" s="260"/>
    </row>
    <row r="30" spans="2:10" ht="15.75" customHeight="1">
      <c r="B30" s="408">
        <v>44562</v>
      </c>
      <c r="C30" s="426">
        <v>980</v>
      </c>
      <c r="D30" s="426">
        <v>830</v>
      </c>
      <c r="E30" s="426">
        <v>1439</v>
      </c>
      <c r="F30" s="426">
        <v>1199</v>
      </c>
      <c r="G30" s="426">
        <v>1195</v>
      </c>
      <c r="H30" s="426">
        <v>901</v>
      </c>
      <c r="I30" s="260"/>
      <c r="J30" s="260"/>
    </row>
    <row r="31" spans="2:10" ht="15.75" customHeight="1">
      <c r="B31" s="408">
        <v>44593</v>
      </c>
      <c r="C31" s="426">
        <v>830</v>
      </c>
      <c r="D31" s="426">
        <v>750</v>
      </c>
      <c r="E31" s="426">
        <v>1399</v>
      </c>
      <c r="F31" s="426">
        <v>1290</v>
      </c>
      <c r="G31" s="426">
        <v>1158</v>
      </c>
      <c r="H31" s="426">
        <v>922</v>
      </c>
      <c r="I31" s="260"/>
      <c r="J31" s="260"/>
    </row>
    <row r="32" spans="2:10" ht="15.75" customHeight="1">
      <c r="B32" s="408">
        <v>44621</v>
      </c>
      <c r="C32" s="426">
        <v>980</v>
      </c>
      <c r="D32" s="426">
        <v>780</v>
      </c>
      <c r="E32" s="426">
        <v>1499</v>
      </c>
      <c r="F32" s="426">
        <v>1280</v>
      </c>
      <c r="G32" s="426">
        <v>1224</v>
      </c>
      <c r="H32" s="426">
        <v>951</v>
      </c>
      <c r="I32" s="260" t="s">
        <v>97</v>
      </c>
      <c r="J32" s="260"/>
    </row>
    <row r="33" spans="2:11" ht="15.75" customHeight="1">
      <c r="B33" s="408">
        <v>44652</v>
      </c>
      <c r="C33" s="426">
        <v>780</v>
      </c>
      <c r="D33" s="426">
        <v>780</v>
      </c>
      <c r="E33" s="426">
        <v>1650</v>
      </c>
      <c r="F33" s="426">
        <v>1090</v>
      </c>
      <c r="G33" s="426">
        <v>1341</v>
      </c>
      <c r="H33" s="426">
        <v>951</v>
      </c>
      <c r="I33" s="260"/>
      <c r="J33" s="260"/>
    </row>
    <row r="34" spans="2:11" ht="15.75" customHeight="1">
      <c r="B34" s="408">
        <v>44682</v>
      </c>
      <c r="C34" s="426">
        <v>1000</v>
      </c>
      <c r="D34" s="426">
        <v>820</v>
      </c>
      <c r="E34" s="426">
        <v>1590</v>
      </c>
      <c r="F34" s="426">
        <v>1349</v>
      </c>
      <c r="G34" s="426">
        <v>1353</v>
      </c>
      <c r="H34" s="426">
        <v>992</v>
      </c>
      <c r="I34" s="260"/>
      <c r="J34" s="260"/>
      <c r="K34" t="s">
        <v>97</v>
      </c>
    </row>
    <row r="35" spans="2:11" ht="15.75" customHeight="1">
      <c r="B35" s="408">
        <v>44713</v>
      </c>
      <c r="C35" s="426">
        <v>1000</v>
      </c>
      <c r="D35" s="426">
        <v>820</v>
      </c>
      <c r="E35" s="426">
        <v>1599</v>
      </c>
      <c r="F35" s="426">
        <v>1650</v>
      </c>
      <c r="G35" s="426">
        <v>1360</v>
      </c>
      <c r="H35" s="426">
        <v>1020</v>
      </c>
      <c r="I35" s="260"/>
      <c r="J35" s="260"/>
    </row>
    <row r="36" spans="2:11" ht="15.75" customHeight="1">
      <c r="B36" s="408">
        <v>44743</v>
      </c>
      <c r="C36" s="426">
        <v>1059</v>
      </c>
      <c r="D36" s="426">
        <v>850</v>
      </c>
      <c r="E36" s="426">
        <v>1569</v>
      </c>
      <c r="F36" s="426">
        <v>1270</v>
      </c>
      <c r="G36" s="426">
        <v>1393</v>
      </c>
      <c r="H36" s="426">
        <v>1000</v>
      </c>
      <c r="I36" s="260"/>
      <c r="J36" s="260" t="s">
        <v>97</v>
      </c>
    </row>
    <row r="37" spans="2:11" ht="15.75" customHeight="1">
      <c r="B37" s="408">
        <v>44774</v>
      </c>
      <c r="C37" s="426">
        <v>999</v>
      </c>
      <c r="D37" s="426">
        <v>750</v>
      </c>
      <c r="E37" s="426">
        <v>1740</v>
      </c>
      <c r="F37" s="426">
        <v>1350</v>
      </c>
      <c r="G37" s="426">
        <v>1431</v>
      </c>
      <c r="H37" s="426">
        <v>1059</v>
      </c>
      <c r="I37" s="260"/>
      <c r="J37" s="260"/>
    </row>
    <row r="38" spans="2:11" ht="15.75" customHeight="1">
      <c r="B38" s="408">
        <v>44805</v>
      </c>
      <c r="C38" s="426">
        <v>1190</v>
      </c>
      <c r="D38" s="426">
        <v>790</v>
      </c>
      <c r="E38" s="426">
        <v>1740</v>
      </c>
      <c r="F38" s="426">
        <v>1569</v>
      </c>
      <c r="G38" s="426">
        <v>1449</v>
      </c>
      <c r="H38" s="426">
        <v>1077</v>
      </c>
      <c r="I38" s="260"/>
      <c r="J38" s="260"/>
    </row>
    <row r="39" spans="2:11" ht="15.75" customHeight="1">
      <c r="B39" s="408">
        <v>44835</v>
      </c>
      <c r="C39" s="426">
        <v>1000</v>
      </c>
      <c r="D39" s="426">
        <v>790</v>
      </c>
      <c r="E39" s="426">
        <v>1880</v>
      </c>
      <c r="F39" s="426">
        <v>1450</v>
      </c>
      <c r="G39" s="426">
        <v>1467</v>
      </c>
      <c r="H39" s="426">
        <v>1120</v>
      </c>
      <c r="I39" s="260"/>
      <c r="J39" s="260"/>
    </row>
    <row r="40" spans="2:11" ht="15.75" customHeight="1">
      <c r="B40" s="408">
        <v>44866</v>
      </c>
      <c r="C40" s="426">
        <v>1000</v>
      </c>
      <c r="D40" s="426">
        <v>830</v>
      </c>
      <c r="E40" s="426">
        <v>1880</v>
      </c>
      <c r="F40" s="426">
        <v>1890</v>
      </c>
      <c r="G40" s="426">
        <v>1496</v>
      </c>
      <c r="H40" s="426">
        <v>1174</v>
      </c>
      <c r="I40" s="260"/>
      <c r="J40" s="260"/>
    </row>
    <row r="41" spans="2:11" ht="15.75" customHeight="1">
      <c r="B41" s="408">
        <v>44896</v>
      </c>
      <c r="C41" s="426">
        <v>1159</v>
      </c>
      <c r="D41" s="426">
        <v>949</v>
      </c>
      <c r="E41" s="426">
        <v>1990</v>
      </c>
      <c r="F41" s="426">
        <v>1600</v>
      </c>
      <c r="G41" s="426">
        <v>1526.902</v>
      </c>
      <c r="H41" s="426">
        <v>1240.8989999999999</v>
      </c>
      <c r="I41" s="260"/>
      <c r="J41" s="260" t="s">
        <v>97</v>
      </c>
    </row>
    <row r="42" spans="2:11" ht="15.75" customHeight="1">
      <c r="B42" s="408">
        <v>44927</v>
      </c>
      <c r="C42" s="426">
        <v>1139</v>
      </c>
      <c r="D42" s="426">
        <v>860</v>
      </c>
      <c r="E42" s="426">
        <v>1999</v>
      </c>
      <c r="F42" s="426">
        <v>1649</v>
      </c>
      <c r="G42" s="426">
        <v>1539.2929999999999</v>
      </c>
      <c r="H42" s="426">
        <v>1260.5730000000001</v>
      </c>
      <c r="I42" s="260"/>
      <c r="J42" s="260"/>
    </row>
    <row r="43" spans="2:11" ht="15.75" customHeight="1">
      <c r="B43" s="408">
        <v>44958</v>
      </c>
      <c r="C43" s="426">
        <v>990</v>
      </c>
      <c r="D43" s="426">
        <v>990</v>
      </c>
      <c r="E43" s="426">
        <v>1999</v>
      </c>
      <c r="F43" s="426">
        <v>1629</v>
      </c>
      <c r="G43" s="426">
        <v>1532.9649999999999</v>
      </c>
      <c r="H43" s="426">
        <v>1253.2049999999999</v>
      </c>
      <c r="I43" s="260"/>
      <c r="J43" s="260"/>
    </row>
    <row r="44" spans="2:11" ht="15.75" customHeight="1">
      <c r="B44" s="408">
        <v>44986</v>
      </c>
      <c r="C44" s="426">
        <v>990</v>
      </c>
      <c r="D44" s="426">
        <v>990</v>
      </c>
      <c r="E44" s="426">
        <v>1999</v>
      </c>
      <c r="F44" s="426">
        <v>1490</v>
      </c>
      <c r="G44" s="426">
        <v>1517.896</v>
      </c>
      <c r="H44" s="426">
        <v>1232.818</v>
      </c>
      <c r="I44" s="260"/>
      <c r="J44" s="260"/>
    </row>
    <row r="45" spans="2:11" ht="15.75" customHeight="1">
      <c r="B45" s="408">
        <v>45017</v>
      </c>
      <c r="C45" s="426">
        <v>1090</v>
      </c>
      <c r="D45" s="426">
        <v>1000</v>
      </c>
      <c r="E45" s="426">
        <v>1820</v>
      </c>
      <c r="F45" s="426">
        <v>1600</v>
      </c>
      <c r="G45" s="426">
        <v>1508</v>
      </c>
      <c r="H45" s="426">
        <v>1220</v>
      </c>
      <c r="I45" s="260"/>
      <c r="J45" s="260"/>
    </row>
    <row r="46" spans="2:11" ht="15.75" customHeight="1">
      <c r="B46" s="408">
        <v>45047</v>
      </c>
      <c r="C46" s="426">
        <v>1000</v>
      </c>
      <c r="D46" s="426">
        <v>990</v>
      </c>
      <c r="E46" s="426">
        <v>1969</v>
      </c>
      <c r="F46" s="426">
        <v>1650</v>
      </c>
      <c r="G46" s="426">
        <v>1510</v>
      </c>
      <c r="H46" s="426">
        <v>1239</v>
      </c>
      <c r="I46" s="260"/>
      <c r="J46" s="260"/>
    </row>
    <row r="47" spans="2:11" ht="15.75" customHeight="1">
      <c r="B47" s="408">
        <v>45078</v>
      </c>
      <c r="C47" s="426">
        <v>990</v>
      </c>
      <c r="D47" s="426">
        <v>950</v>
      </c>
      <c r="E47" s="426">
        <v>2150</v>
      </c>
      <c r="F47" s="426">
        <v>1790</v>
      </c>
      <c r="G47" s="426">
        <v>1532.239</v>
      </c>
      <c r="H47" s="426">
        <v>1257.5419999999999</v>
      </c>
      <c r="I47" s="260"/>
      <c r="J47" s="260"/>
    </row>
    <row r="48" spans="2:11" ht="15.75" customHeight="1">
      <c r="B48" s="408">
        <v>45108</v>
      </c>
      <c r="C48" s="426">
        <v>1000</v>
      </c>
      <c r="D48" s="426">
        <v>899</v>
      </c>
      <c r="E48" s="426">
        <v>2190</v>
      </c>
      <c r="F48" s="426">
        <v>1690</v>
      </c>
      <c r="G48" s="426">
        <v>1614</v>
      </c>
      <c r="H48" s="426">
        <v>1217</v>
      </c>
      <c r="I48" s="260"/>
      <c r="J48" s="260"/>
    </row>
    <row r="49" spans="2:10" ht="15.75" customHeight="1">
      <c r="B49" s="408">
        <v>45139</v>
      </c>
      <c r="C49" s="426">
        <v>1000</v>
      </c>
      <c r="D49" s="426">
        <v>899</v>
      </c>
      <c r="E49" s="426">
        <v>2290</v>
      </c>
      <c r="F49" s="426">
        <v>2150</v>
      </c>
      <c r="G49" s="426">
        <v>1606.0409999999999</v>
      </c>
      <c r="H49" s="426">
        <v>1243.1220000000001</v>
      </c>
      <c r="I49" s="260"/>
      <c r="J49" s="260"/>
    </row>
    <row r="50" spans="2:10" ht="15.75" customHeight="1">
      <c r="B50" s="408">
        <v>45170</v>
      </c>
      <c r="C50" s="426">
        <v>1000</v>
      </c>
      <c r="D50" s="426">
        <v>850</v>
      </c>
      <c r="E50" s="426">
        <v>2175</v>
      </c>
      <c r="F50" s="426">
        <v>1519</v>
      </c>
      <c r="G50" s="426">
        <v>1619</v>
      </c>
      <c r="H50" s="426">
        <v>1276</v>
      </c>
      <c r="I50" s="260"/>
      <c r="J50" s="260"/>
    </row>
    <row r="51" spans="2:10" ht="15.75" customHeight="1">
      <c r="B51" s="408">
        <v>45200</v>
      </c>
      <c r="C51" s="426">
        <v>1250</v>
      </c>
      <c r="D51" s="426">
        <v>970</v>
      </c>
      <c r="E51" s="426">
        <v>2290</v>
      </c>
      <c r="F51" s="426">
        <v>1790</v>
      </c>
      <c r="G51" s="426">
        <v>1699.701</v>
      </c>
      <c r="H51" s="426">
        <v>1356.3710000000001</v>
      </c>
      <c r="I51" s="260"/>
      <c r="J51" s="260"/>
    </row>
    <row r="52" spans="2:10" ht="15.75" customHeight="1">
      <c r="B52" s="408">
        <v>45231</v>
      </c>
      <c r="C52" s="426">
        <v>1000</v>
      </c>
      <c r="D52" s="426">
        <v>915</v>
      </c>
      <c r="E52" s="426">
        <v>2290</v>
      </c>
      <c r="F52" s="426">
        <v>1879</v>
      </c>
      <c r="G52" s="426">
        <v>1759.376</v>
      </c>
      <c r="H52" s="426">
        <v>1358.972</v>
      </c>
      <c r="I52" s="260"/>
      <c r="J52" s="260"/>
    </row>
    <row r="53" spans="2:10" ht="15.75" customHeight="1">
      <c r="B53" s="408">
        <v>45261</v>
      </c>
      <c r="C53" s="426">
        <v>1090</v>
      </c>
      <c r="D53" s="426">
        <v>890</v>
      </c>
      <c r="E53" s="426">
        <v>2290</v>
      </c>
      <c r="F53" s="426">
        <v>1999</v>
      </c>
      <c r="G53" s="426">
        <v>1740.4849999999999</v>
      </c>
      <c r="H53" s="426">
        <v>1346.6420000000001</v>
      </c>
      <c r="I53" s="260"/>
      <c r="J53" s="260"/>
    </row>
    <row r="54" spans="2:10" ht="15.75" customHeight="1">
      <c r="B54" s="408">
        <v>45292</v>
      </c>
      <c r="C54" s="426">
        <v>1000</v>
      </c>
      <c r="D54" s="426">
        <v>930</v>
      </c>
      <c r="E54" s="426">
        <v>2180</v>
      </c>
      <c r="F54" s="426">
        <v>2150</v>
      </c>
      <c r="G54" s="426">
        <v>1746.952</v>
      </c>
      <c r="H54" s="426">
        <v>1342.7860000000001</v>
      </c>
      <c r="I54" s="260"/>
      <c r="J54" s="260"/>
    </row>
    <row r="55" spans="2:10" ht="15.75" customHeight="1">
      <c r="B55" s="408">
        <v>45323</v>
      </c>
      <c r="C55" s="426">
        <v>1150</v>
      </c>
      <c r="D55" s="426">
        <v>990</v>
      </c>
      <c r="E55" s="426">
        <v>2290</v>
      </c>
      <c r="F55" s="426">
        <v>2150</v>
      </c>
      <c r="G55" s="426">
        <v>1731.751</v>
      </c>
      <c r="H55" s="426">
        <v>1362.027</v>
      </c>
      <c r="I55" s="260"/>
      <c r="J55" s="260"/>
    </row>
    <row r="56" spans="2:10" ht="15.75" customHeight="1">
      <c r="B56" s="408">
        <v>45352</v>
      </c>
      <c r="C56" s="426">
        <v>1090</v>
      </c>
      <c r="D56" s="426">
        <v>890</v>
      </c>
      <c r="E56" s="426">
        <v>2260</v>
      </c>
      <c r="F56" s="426">
        <v>2050</v>
      </c>
      <c r="G56" s="426">
        <v>1809.8589999999999</v>
      </c>
      <c r="H56" s="426">
        <v>1449.0350000000001</v>
      </c>
      <c r="I56" s="260"/>
      <c r="J56" s="260"/>
    </row>
    <row r="57" spans="2:10" ht="15.75" customHeight="1">
      <c r="B57" s="408">
        <v>45383</v>
      </c>
      <c r="C57" s="426">
        <v>1090</v>
      </c>
      <c r="D57" s="426">
        <v>1050</v>
      </c>
      <c r="E57" s="426">
        <v>2330</v>
      </c>
      <c r="F57" s="426">
        <v>2270</v>
      </c>
      <c r="G57" s="426">
        <v>1908.271</v>
      </c>
      <c r="H57" s="426">
        <v>1496.7629999999999</v>
      </c>
      <c r="I57" s="260"/>
      <c r="J57" s="260"/>
    </row>
    <row r="58" spans="2:10" ht="15.75" customHeight="1">
      <c r="B58" s="408">
        <v>45413</v>
      </c>
      <c r="C58" s="426">
        <v>1090</v>
      </c>
      <c r="D58" s="426">
        <v>1000</v>
      </c>
      <c r="E58" s="426">
        <v>2580</v>
      </c>
      <c r="F58" s="426">
        <v>2270</v>
      </c>
      <c r="G58" s="426">
        <v>2001</v>
      </c>
      <c r="H58" s="426">
        <v>1606</v>
      </c>
      <c r="I58" s="260"/>
      <c r="J58" s="260"/>
    </row>
    <row r="59" spans="2:10" ht="15.75" customHeight="1">
      <c r="B59" s="408">
        <v>45444</v>
      </c>
      <c r="C59" s="426">
        <v>1090</v>
      </c>
      <c r="D59" s="426">
        <v>1000</v>
      </c>
      <c r="E59" s="426">
        <v>2580</v>
      </c>
      <c r="F59" s="426">
        <v>2110</v>
      </c>
      <c r="G59" s="426">
        <v>2081</v>
      </c>
      <c r="H59" s="426">
        <v>1668</v>
      </c>
      <c r="I59" s="260"/>
      <c r="J59" s="260"/>
    </row>
    <row r="60" spans="2:10">
      <c r="B60" s="1077" t="s">
        <v>680</v>
      </c>
      <c r="C60" s="1077"/>
      <c r="D60" s="1077"/>
      <c r="E60" s="1077"/>
      <c r="F60" s="1077"/>
      <c r="G60" s="1077"/>
      <c r="H60" s="1077"/>
    </row>
    <row r="62" spans="2:10">
      <c r="C62" s="11"/>
      <c r="D62" s="11"/>
      <c r="E62" s="11"/>
      <c r="F62" s="11" t="s">
        <v>97</v>
      </c>
      <c r="G62" s="11"/>
      <c r="H62" s="11"/>
    </row>
  </sheetData>
  <mergeCells count="5">
    <mergeCell ref="B60:H60"/>
    <mergeCell ref="B1:H1"/>
    <mergeCell ref="B2:H2"/>
    <mergeCell ref="B3:H3"/>
    <mergeCell ref="B4:H4"/>
  </mergeCells>
  <pageMargins left="0.70866141732283472" right="0.70866141732283472" top="0.74803149606299213" bottom="0.74803149606299213" header="0.31496062992125984" footer="0.31496062992125984"/>
  <pageSetup scale="67" orientation="portrait" r:id="rId1"/>
  <headerFooter scaleWithDoc="0">
    <oddFooter>&amp;C&amp;11&amp;A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D33:AE33"/>
  <sheetViews>
    <sheetView zoomScale="70" zoomScaleNormal="70" workbookViewId="0">
      <selection activeCell="M23" sqref="M23"/>
    </sheetView>
  </sheetViews>
  <sheetFormatPr baseColWidth="10" defaultColWidth="10.9140625" defaultRowHeight="17.7"/>
  <cols>
    <col min="1" max="1" width="5.83203125" customWidth="1"/>
    <col min="2" max="2" width="12.4140625" customWidth="1"/>
    <col min="8" max="31" width="10.9140625" style="539"/>
  </cols>
  <sheetData>
    <row r="33" spans="4:4">
      <c r="D33" s="569"/>
    </row>
  </sheetData>
  <pageMargins left="0.70866141732283472" right="0.70866141732283472" top="0.74803149606299213" bottom="0.74803149606299213" header="0.31496062992125984" footer="0.31496062992125984"/>
  <pageSetup scale="89" orientation="portrait" r:id="rId1"/>
  <headerFooter>
    <oddFooter>&amp;C&amp;11&amp;A</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CF85-AD27-4CD0-94F6-4C6F18820B7C}">
  <sheetPr>
    <pageSetUpPr fitToPage="1"/>
  </sheetPr>
  <dimension ref="A1:AU324"/>
  <sheetViews>
    <sheetView zoomScale="70" zoomScaleNormal="70" workbookViewId="0">
      <pane ySplit="1" topLeftCell="A2" activePane="bottomLeft" state="frozen"/>
      <selection pane="bottomLeft" activeCell="F31" sqref="F31"/>
    </sheetView>
  </sheetViews>
  <sheetFormatPr baseColWidth="10" defaultColWidth="10.9140625" defaultRowHeight="14.4"/>
  <cols>
    <col min="1" max="10" width="12.9140625" style="655" customWidth="1"/>
    <col min="11" max="11" width="12.9140625" style="677" customWidth="1"/>
    <col min="12" max="14" width="12.9140625" style="678" customWidth="1"/>
    <col min="15" max="20" width="12.9140625" style="523" customWidth="1"/>
    <col min="21" max="39" width="12.9140625" style="627" customWidth="1"/>
    <col min="40" max="43" width="10.9140625" style="627"/>
    <col min="44" max="47" width="10.9140625" style="625"/>
    <col min="48" max="263" width="10.9140625" style="523"/>
    <col min="264" max="264" width="8.6640625" style="523" bestFit="1" customWidth="1"/>
    <col min="265" max="519" width="10.9140625" style="523"/>
    <col min="520" max="520" width="8.6640625" style="523" bestFit="1" customWidth="1"/>
    <col min="521" max="775" width="10.9140625" style="523"/>
    <col min="776" max="776" width="8.6640625" style="523" bestFit="1" customWidth="1"/>
    <col min="777" max="1031" width="10.9140625" style="523"/>
    <col min="1032" max="1032" width="8.6640625" style="523" bestFit="1" customWidth="1"/>
    <col min="1033" max="1287" width="10.9140625" style="523"/>
    <col min="1288" max="1288" width="8.6640625" style="523" bestFit="1" customWidth="1"/>
    <col min="1289" max="1543" width="10.9140625" style="523"/>
    <col min="1544" max="1544" width="8.6640625" style="523" bestFit="1" customWidth="1"/>
    <col min="1545" max="1799" width="10.9140625" style="523"/>
    <col min="1800" max="1800" width="8.6640625" style="523" bestFit="1" customWidth="1"/>
    <col min="1801" max="2055" width="10.9140625" style="523"/>
    <col min="2056" max="2056" width="8.6640625" style="523" bestFit="1" customWidth="1"/>
    <col min="2057" max="2311" width="10.9140625" style="523"/>
    <col min="2312" max="2312" width="8.6640625" style="523" bestFit="1" customWidth="1"/>
    <col min="2313" max="2567" width="10.9140625" style="523"/>
    <col min="2568" max="2568" width="8.6640625" style="523" bestFit="1" customWidth="1"/>
    <col min="2569" max="2823" width="10.9140625" style="523"/>
    <col min="2824" max="2824" width="8.6640625" style="523" bestFit="1" customWidth="1"/>
    <col min="2825" max="3079" width="10.9140625" style="523"/>
    <col min="3080" max="3080" width="8.6640625" style="523" bestFit="1" customWidth="1"/>
    <col min="3081" max="3335" width="10.9140625" style="523"/>
    <col min="3336" max="3336" width="8.6640625" style="523" bestFit="1" customWidth="1"/>
    <col min="3337" max="3591" width="10.9140625" style="523"/>
    <col min="3592" max="3592" width="8.6640625" style="523" bestFit="1" customWidth="1"/>
    <col min="3593" max="3847" width="10.9140625" style="523"/>
    <col min="3848" max="3848" width="8.6640625" style="523" bestFit="1" customWidth="1"/>
    <col min="3849" max="4103" width="10.9140625" style="523"/>
    <col min="4104" max="4104" width="8.6640625" style="523" bestFit="1" customWidth="1"/>
    <col min="4105" max="4359" width="10.9140625" style="523"/>
    <col min="4360" max="4360" width="8.6640625" style="523" bestFit="1" customWidth="1"/>
    <col min="4361" max="4615" width="10.9140625" style="523"/>
    <col min="4616" max="4616" width="8.6640625" style="523" bestFit="1" customWidth="1"/>
    <col min="4617" max="4871" width="10.9140625" style="523"/>
    <col min="4872" max="4872" width="8.6640625" style="523" bestFit="1" customWidth="1"/>
    <col min="4873" max="5127" width="10.9140625" style="523"/>
    <col min="5128" max="5128" width="8.6640625" style="523" bestFit="1" customWidth="1"/>
    <col min="5129" max="5383" width="10.9140625" style="523"/>
    <col min="5384" max="5384" width="8.6640625" style="523" bestFit="1" customWidth="1"/>
    <col min="5385" max="5639" width="10.9140625" style="523"/>
    <col min="5640" max="5640" width="8.6640625" style="523" bestFit="1" customWidth="1"/>
    <col min="5641" max="5895" width="10.9140625" style="523"/>
    <col min="5896" max="5896" width="8.6640625" style="523" bestFit="1" customWidth="1"/>
    <col min="5897" max="6151" width="10.9140625" style="523"/>
    <col min="6152" max="6152" width="8.6640625" style="523" bestFit="1" customWidth="1"/>
    <col min="6153" max="6407" width="10.9140625" style="523"/>
    <col min="6408" max="6408" width="8.6640625" style="523" bestFit="1" customWidth="1"/>
    <col min="6409" max="6663" width="10.9140625" style="523"/>
    <col min="6664" max="6664" width="8.6640625" style="523" bestFit="1" customWidth="1"/>
    <col min="6665" max="6919" width="10.9140625" style="523"/>
    <col min="6920" max="6920" width="8.6640625" style="523" bestFit="1" customWidth="1"/>
    <col min="6921" max="7175" width="10.9140625" style="523"/>
    <col min="7176" max="7176" width="8.6640625" style="523" bestFit="1" customWidth="1"/>
    <col min="7177" max="7431" width="10.9140625" style="523"/>
    <col min="7432" max="7432" width="8.6640625" style="523" bestFit="1" customWidth="1"/>
    <col min="7433" max="7687" width="10.9140625" style="523"/>
    <col min="7688" max="7688" width="8.6640625" style="523" bestFit="1" customWidth="1"/>
    <col min="7689" max="7943" width="10.9140625" style="523"/>
    <col min="7944" max="7944" width="8.6640625" style="523" bestFit="1" customWidth="1"/>
    <col min="7945" max="8199" width="10.9140625" style="523"/>
    <col min="8200" max="8200" width="8.6640625" style="523" bestFit="1" customWidth="1"/>
    <col min="8201" max="8455" width="10.9140625" style="523"/>
    <col min="8456" max="8456" width="8.6640625" style="523" bestFit="1" customWidth="1"/>
    <col min="8457" max="8711" width="10.9140625" style="523"/>
    <col min="8712" max="8712" width="8.6640625" style="523" bestFit="1" customWidth="1"/>
    <col min="8713" max="8967" width="10.9140625" style="523"/>
    <col min="8968" max="8968" width="8.6640625" style="523" bestFit="1" customWidth="1"/>
    <col min="8969" max="9223" width="10.9140625" style="523"/>
    <col min="9224" max="9224" width="8.6640625" style="523" bestFit="1" customWidth="1"/>
    <col min="9225" max="9479" width="10.9140625" style="523"/>
    <col min="9480" max="9480" width="8.6640625" style="523" bestFit="1" customWidth="1"/>
    <col min="9481" max="9735" width="10.9140625" style="523"/>
    <col min="9736" max="9736" width="8.6640625" style="523" bestFit="1" customWidth="1"/>
    <col min="9737" max="9991" width="10.9140625" style="523"/>
    <col min="9992" max="9992" width="8.6640625" style="523" bestFit="1" customWidth="1"/>
    <col min="9993" max="10247" width="10.9140625" style="523"/>
    <col min="10248" max="10248" width="8.6640625" style="523" bestFit="1" customWidth="1"/>
    <col min="10249" max="10503" width="10.9140625" style="523"/>
    <col min="10504" max="10504" width="8.6640625" style="523" bestFit="1" customWidth="1"/>
    <col min="10505" max="10759" width="10.9140625" style="523"/>
    <col min="10760" max="10760" width="8.6640625" style="523" bestFit="1" customWidth="1"/>
    <col min="10761" max="11015" width="10.9140625" style="523"/>
    <col min="11016" max="11016" width="8.6640625" style="523" bestFit="1" customWidth="1"/>
    <col min="11017" max="11271" width="10.9140625" style="523"/>
    <col min="11272" max="11272" width="8.6640625" style="523" bestFit="1" customWidth="1"/>
    <col min="11273" max="11527" width="10.9140625" style="523"/>
    <col min="11528" max="11528" width="8.6640625" style="523" bestFit="1" customWidth="1"/>
    <col min="11529" max="11783" width="10.9140625" style="523"/>
    <col min="11784" max="11784" width="8.6640625" style="523" bestFit="1" customWidth="1"/>
    <col min="11785" max="12039" width="10.9140625" style="523"/>
    <col min="12040" max="12040" width="8.6640625" style="523" bestFit="1" customWidth="1"/>
    <col min="12041" max="12295" width="10.9140625" style="523"/>
    <col min="12296" max="12296" width="8.6640625" style="523" bestFit="1" customWidth="1"/>
    <col min="12297" max="12551" width="10.9140625" style="523"/>
    <col min="12552" max="12552" width="8.6640625" style="523" bestFit="1" customWidth="1"/>
    <col min="12553" max="12807" width="10.9140625" style="523"/>
    <col min="12808" max="12808" width="8.6640625" style="523" bestFit="1" customWidth="1"/>
    <col min="12809" max="13063" width="10.9140625" style="523"/>
    <col min="13064" max="13064" width="8.6640625" style="523" bestFit="1" customWidth="1"/>
    <col min="13065" max="13319" width="10.9140625" style="523"/>
    <col min="13320" max="13320" width="8.6640625" style="523" bestFit="1" customWidth="1"/>
    <col min="13321" max="13575" width="10.9140625" style="523"/>
    <col min="13576" max="13576" width="8.6640625" style="523" bestFit="1" customWidth="1"/>
    <col min="13577" max="13831" width="10.9140625" style="523"/>
    <col min="13832" max="13832" width="8.6640625" style="523" bestFit="1" customWidth="1"/>
    <col min="13833" max="14087" width="10.9140625" style="523"/>
    <col min="14088" max="14088" width="8.6640625" style="523" bestFit="1" customWidth="1"/>
    <col min="14089" max="14343" width="10.9140625" style="523"/>
    <col min="14344" max="14344" width="8.6640625" style="523" bestFit="1" customWidth="1"/>
    <col min="14345" max="14599" width="10.9140625" style="523"/>
    <col min="14600" max="14600" width="8.6640625" style="523" bestFit="1" customWidth="1"/>
    <col min="14601" max="14855" width="10.9140625" style="523"/>
    <col min="14856" max="14856" width="8.6640625" style="523" bestFit="1" customWidth="1"/>
    <col min="14857" max="15111" width="10.9140625" style="523"/>
    <col min="15112" max="15112" width="8.6640625" style="523" bestFit="1" customWidth="1"/>
    <col min="15113" max="15367" width="10.9140625" style="523"/>
    <col min="15368" max="15368" width="8.6640625" style="523" bestFit="1" customWidth="1"/>
    <col min="15369" max="15623" width="10.9140625" style="523"/>
    <col min="15624" max="15624" width="8.6640625" style="523" bestFit="1" customWidth="1"/>
    <col min="15625" max="15879" width="10.9140625" style="523"/>
    <col min="15880" max="15880" width="8.6640625" style="523" bestFit="1" customWidth="1"/>
    <col min="15881" max="16135" width="10.9140625" style="523"/>
    <col min="16136" max="16136" width="8.6640625" style="523" bestFit="1" customWidth="1"/>
    <col min="16137" max="16381" width="10.9140625" style="523"/>
    <col min="16382" max="16384" width="10.9140625" style="523" customWidth="1"/>
  </cols>
  <sheetData>
    <row r="1" spans="1:47" s="522" customFormat="1" ht="56.3" customHeight="1">
      <c r="A1" s="662" t="s">
        <v>211</v>
      </c>
      <c r="B1" s="662" t="s">
        <v>193</v>
      </c>
      <c r="C1" s="662" t="s">
        <v>681</v>
      </c>
      <c r="D1" s="662" t="s">
        <v>682</v>
      </c>
      <c r="E1" s="662"/>
      <c r="F1" s="662" t="s">
        <v>683</v>
      </c>
      <c r="G1" s="662" t="s">
        <v>684</v>
      </c>
      <c r="H1" s="662"/>
      <c r="I1" s="663" t="s">
        <v>685</v>
      </c>
      <c r="J1" s="663" t="s">
        <v>686</v>
      </c>
      <c r="K1" s="663" t="s">
        <v>687</v>
      </c>
      <c r="L1" s="663" t="s">
        <v>688</v>
      </c>
      <c r="M1" s="663" t="s">
        <v>689</v>
      </c>
      <c r="N1" s="663" t="s">
        <v>690</v>
      </c>
      <c r="O1" s="664" t="s">
        <v>754</v>
      </c>
      <c r="P1" s="663" t="s">
        <v>753</v>
      </c>
      <c r="Q1" s="663" t="s">
        <v>755</v>
      </c>
      <c r="R1" s="663" t="s">
        <v>756</v>
      </c>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4"/>
      <c r="AS1" s="624"/>
      <c r="AT1" s="624"/>
      <c r="AU1" s="624"/>
    </row>
    <row r="2" spans="1:47" ht="17.7">
      <c r="A2" s="665">
        <v>43101</v>
      </c>
      <c r="B2" s="666">
        <v>2018</v>
      </c>
      <c r="C2" s="666">
        <v>526.76401313995609</v>
      </c>
      <c r="D2" s="666">
        <v>605.53</v>
      </c>
      <c r="E2" s="666"/>
      <c r="F2" s="666">
        <v>318971.41287663759</v>
      </c>
      <c r="G2" s="666">
        <v>17101</v>
      </c>
      <c r="H2" s="666"/>
      <c r="I2" s="667">
        <v>1075</v>
      </c>
      <c r="J2" s="667">
        <v>848</v>
      </c>
      <c r="K2" s="667">
        <v>100</v>
      </c>
      <c r="L2" s="667">
        <v>100</v>
      </c>
      <c r="M2" s="667">
        <v>100</v>
      </c>
      <c r="N2" s="667">
        <v>100</v>
      </c>
      <c r="O2" s="667">
        <v>100</v>
      </c>
      <c r="P2" s="667">
        <v>100</v>
      </c>
      <c r="Q2" s="667">
        <v>100</v>
      </c>
      <c r="R2" s="667">
        <v>100</v>
      </c>
      <c r="T2" s="523" t="s">
        <v>97</v>
      </c>
    </row>
    <row r="3" spans="1:47" ht="17.7">
      <c r="A3" s="665">
        <v>43132</v>
      </c>
      <c r="B3" s="666">
        <v>2018</v>
      </c>
      <c r="C3" s="666">
        <v>495.56544584585271</v>
      </c>
      <c r="D3" s="666">
        <v>596.84</v>
      </c>
      <c r="E3" s="666"/>
      <c r="F3" s="666">
        <v>295773.28069863876</v>
      </c>
      <c r="G3" s="666">
        <v>16788.949628236933</v>
      </c>
      <c r="H3" s="666"/>
      <c r="I3" s="667">
        <v>1058</v>
      </c>
      <c r="J3" s="667">
        <v>841</v>
      </c>
      <c r="K3" s="668">
        <f>((F3-F2)/F2)+K2</f>
        <v>99.927272065014265</v>
      </c>
      <c r="L3" s="668">
        <f t="shared" ref="L3:L41" si="0">((G3-G2)/G2)+L2</f>
        <v>99.98175250735261</v>
      </c>
      <c r="M3" s="668">
        <f t="shared" ref="M3:N18" si="1">((I3-I2)/I2)+M2</f>
        <v>99.984186046511624</v>
      </c>
      <c r="N3" s="668">
        <f t="shared" si="1"/>
        <v>99.991745283018872</v>
      </c>
      <c r="O3" s="669">
        <f>$O$2+(F3/$F$2-1)*100</f>
        <v>92.727206501426906</v>
      </c>
      <c r="P3" s="669">
        <f>$P$2+(G3/$G$2-1)*100</f>
        <v>98.175250735260704</v>
      </c>
      <c r="Q3" s="669">
        <f>$Q$2+(I3/$I$2-1)*100</f>
        <v>98.418604651162795</v>
      </c>
      <c r="R3" s="669">
        <f>$R$2+(J3/$J$2-1)*100</f>
        <v>99.174528301886795</v>
      </c>
    </row>
    <row r="4" spans="1:47" ht="17.7">
      <c r="A4" s="665">
        <v>43160</v>
      </c>
      <c r="B4" s="666">
        <v>2018</v>
      </c>
      <c r="C4" s="666">
        <v>514.13077812871245</v>
      </c>
      <c r="D4" s="666">
        <v>603.45000000000005</v>
      </c>
      <c r="E4" s="666"/>
      <c r="F4" s="666">
        <v>310252.21806177153</v>
      </c>
      <c r="G4" s="666">
        <v>16809.814461659975</v>
      </c>
      <c r="H4" s="666"/>
      <c r="I4" s="667">
        <v>1055</v>
      </c>
      <c r="J4" s="667">
        <v>869</v>
      </c>
      <c r="K4" s="668">
        <f>((F4-F3)/F3)+K3</f>
        <v>99.976224889045341</v>
      </c>
      <c r="L4" s="668">
        <f t="shared" si="0"/>
        <v>99.982995279168904</v>
      </c>
      <c r="M4" s="668">
        <f t="shared" si="1"/>
        <v>99.981350507759259</v>
      </c>
      <c r="N4" s="668">
        <f t="shared" si="1"/>
        <v>100.02503898099746</v>
      </c>
      <c r="O4" s="669">
        <f t="shared" ref="O4:O51" si="2">$O$2+(F4/$F$2-1)*100</f>
        <v>97.266465124183966</v>
      </c>
      <c r="P4" s="669">
        <f>$P$2+(G4/$G$2-1)*100</f>
        <v>98.297260169931434</v>
      </c>
      <c r="Q4" s="669">
        <f t="shared" ref="Q4:Q52" si="3">$Q$2+(I4/$I$2-1)*100</f>
        <v>98.139534883720927</v>
      </c>
      <c r="R4" s="669">
        <f>$R$2+(J4/$J$2-1)*100</f>
        <v>102.47641509433963</v>
      </c>
    </row>
    <row r="5" spans="1:47" ht="17.7">
      <c r="A5" s="665">
        <v>43191</v>
      </c>
      <c r="B5" s="666">
        <v>2018</v>
      </c>
      <c r="C5" s="666">
        <v>489.637153560461</v>
      </c>
      <c r="D5" s="666">
        <v>600.54999999999995</v>
      </c>
      <c r="E5" s="666"/>
      <c r="F5" s="666">
        <v>294051.59257073485</v>
      </c>
      <c r="G5" s="666">
        <v>16425.033333333333</v>
      </c>
      <c r="H5" s="666"/>
      <c r="I5" s="667">
        <v>1039</v>
      </c>
      <c r="J5" s="667">
        <v>857</v>
      </c>
      <c r="K5" s="668">
        <f>((F5-F4)/F4)+K4</f>
        <v>99.924007291400926</v>
      </c>
      <c r="L5" s="668">
        <f t="shared" si="0"/>
        <v>99.960105012937575</v>
      </c>
      <c r="M5" s="668">
        <f t="shared" si="1"/>
        <v>99.966184630982013</v>
      </c>
      <c r="N5" s="668">
        <f t="shared" si="1"/>
        <v>100.01123000516317</v>
      </c>
      <c r="O5" s="669">
        <f t="shared" si="2"/>
        <v>92.187443984034871</v>
      </c>
      <c r="P5" s="669">
        <f t="shared" ref="P5:P52" si="4">$P$2+(G5/$G$2-1)*100</f>
        <v>96.047209714831482</v>
      </c>
      <c r="Q5" s="669">
        <f t="shared" si="3"/>
        <v>96.651162790697668</v>
      </c>
      <c r="R5" s="669">
        <f t="shared" ref="R5:R52" si="5">$R$2+(J5/$J$2-1)*100</f>
        <v>101.06132075471699</v>
      </c>
    </row>
    <row r="6" spans="1:47" ht="17.7">
      <c r="A6" s="665">
        <v>43221</v>
      </c>
      <c r="B6" s="666">
        <v>2018</v>
      </c>
      <c r="C6" s="666">
        <v>472.71516704684882</v>
      </c>
      <c r="D6" s="666">
        <v>626.12</v>
      </c>
      <c r="E6" s="666"/>
      <c r="F6" s="666">
        <v>295976.42039137299</v>
      </c>
      <c r="G6" s="666">
        <v>16962.290322580644</v>
      </c>
      <c r="H6" s="666"/>
      <c r="I6" s="667">
        <v>1043</v>
      </c>
      <c r="J6" s="667">
        <v>855</v>
      </c>
      <c r="K6" s="668">
        <f t="shared" ref="K6:K41" si="6">((F6-F5)/F5)+K5</f>
        <v>99.930553176100304</v>
      </c>
      <c r="L6" s="668">
        <f t="shared" si="0"/>
        <v>99.992814656707793</v>
      </c>
      <c r="M6" s="668">
        <f t="shared" si="1"/>
        <v>99.970034486612434</v>
      </c>
      <c r="N6" s="668">
        <f t="shared" si="1"/>
        <v>100.00889628287612</v>
      </c>
      <c r="O6" s="669">
        <f t="shared" si="2"/>
        <v>92.790892363085234</v>
      </c>
      <c r="P6" s="669">
        <f t="shared" si="4"/>
        <v>99.188879729727176</v>
      </c>
      <c r="Q6" s="669">
        <f t="shared" si="3"/>
        <v>97.023255813953497</v>
      </c>
      <c r="R6" s="669">
        <f t="shared" si="5"/>
        <v>100.8254716981132</v>
      </c>
    </row>
    <row r="7" spans="1:47" ht="17.7">
      <c r="A7" s="665">
        <v>43252</v>
      </c>
      <c r="B7" s="666">
        <v>2018</v>
      </c>
      <c r="C7" s="666">
        <v>486.61890554471432</v>
      </c>
      <c r="D7" s="666">
        <v>636</v>
      </c>
      <c r="E7" s="666"/>
      <c r="F7" s="666">
        <v>309489.62392643833</v>
      </c>
      <c r="G7" s="666">
        <v>17243.266666666666</v>
      </c>
      <c r="H7" s="666"/>
      <c r="I7" s="667">
        <v>1031</v>
      </c>
      <c r="J7" s="667">
        <v>858</v>
      </c>
      <c r="K7" s="668">
        <f t="shared" si="6"/>
        <v>99.976209527769115</v>
      </c>
      <c r="L7" s="668">
        <f t="shared" si="0"/>
        <v>100.00937942117902</v>
      </c>
      <c r="M7" s="668">
        <f t="shared" si="1"/>
        <v>99.958529213362198</v>
      </c>
      <c r="N7" s="668">
        <f t="shared" si="1"/>
        <v>100.01240505480595</v>
      </c>
      <c r="O7" s="669">
        <f t="shared" si="2"/>
        <v>97.027385976477348</v>
      </c>
      <c r="P7" s="669">
        <f t="shared" si="4"/>
        <v>100.8319201606144</v>
      </c>
      <c r="Q7" s="669">
        <f t="shared" si="3"/>
        <v>95.906976744186039</v>
      </c>
      <c r="R7" s="669">
        <f t="shared" si="5"/>
        <v>101.17924528301887</v>
      </c>
    </row>
    <row r="8" spans="1:47" ht="17.7">
      <c r="A8" s="665">
        <v>43282</v>
      </c>
      <c r="B8" s="666">
        <v>2018</v>
      </c>
      <c r="C8" s="666">
        <v>484.64459706534194</v>
      </c>
      <c r="D8" s="666">
        <v>652.41999999999996</v>
      </c>
      <c r="E8" s="666"/>
      <c r="F8" s="666">
        <v>316191.82801737037</v>
      </c>
      <c r="G8" s="666">
        <v>17764.774193548386</v>
      </c>
      <c r="H8" s="666"/>
      <c r="I8" s="667">
        <v>1056</v>
      </c>
      <c r="J8" s="667">
        <v>849</v>
      </c>
      <c r="K8" s="668">
        <f t="shared" si="6"/>
        <v>99.997865194301326</v>
      </c>
      <c r="L8" s="668">
        <f t="shared" si="0"/>
        <v>100.03962354701451</v>
      </c>
      <c r="M8" s="668">
        <f t="shared" si="1"/>
        <v>99.982777515981013</v>
      </c>
      <c r="N8" s="668">
        <f t="shared" si="1"/>
        <v>100.00191554431645</v>
      </c>
      <c r="O8" s="669">
        <f t="shared" si="2"/>
        <v>99.128578691676609</v>
      </c>
      <c r="P8" s="669">
        <f t="shared" si="4"/>
        <v>103.88149344218694</v>
      </c>
      <c r="Q8" s="669">
        <f t="shared" si="3"/>
        <v>98.232558139534888</v>
      </c>
      <c r="R8" s="669">
        <f t="shared" si="5"/>
        <v>100.11792452830188</v>
      </c>
    </row>
    <row r="9" spans="1:47" ht="17.7">
      <c r="A9" s="665">
        <v>43313</v>
      </c>
      <c r="B9" s="666">
        <v>2018</v>
      </c>
      <c r="C9" s="666">
        <v>482.57519317917985</v>
      </c>
      <c r="D9" s="666">
        <v>656.25</v>
      </c>
      <c r="E9" s="666"/>
      <c r="F9" s="666">
        <v>316689.97052383679</v>
      </c>
      <c r="G9" s="666">
        <v>17689.774193548386</v>
      </c>
      <c r="H9" s="666"/>
      <c r="I9" s="667">
        <v>1059</v>
      </c>
      <c r="J9" s="667">
        <v>849</v>
      </c>
      <c r="K9" s="668">
        <f t="shared" si="6"/>
        <v>99.999440638263906</v>
      </c>
      <c r="L9" s="668">
        <f t="shared" si="0"/>
        <v>100.03540170894425</v>
      </c>
      <c r="M9" s="668">
        <f t="shared" si="1"/>
        <v>99.98561842507192</v>
      </c>
      <c r="N9" s="668">
        <f t="shared" si="1"/>
        <v>100.00191554431645</v>
      </c>
      <c r="O9" s="669">
        <f t="shared" si="2"/>
        <v>99.284750212495325</v>
      </c>
      <c r="P9" s="669">
        <f t="shared" si="4"/>
        <v>103.44292259837661</v>
      </c>
      <c r="Q9" s="669">
        <f t="shared" si="3"/>
        <v>98.511627906976742</v>
      </c>
      <c r="R9" s="669">
        <f t="shared" si="5"/>
        <v>100.11792452830188</v>
      </c>
    </row>
    <row r="10" spans="1:47" ht="17.7">
      <c r="A10" s="665">
        <v>43344</v>
      </c>
      <c r="B10" s="666">
        <v>2018</v>
      </c>
      <c r="C10" s="666">
        <v>548.20325955495946</v>
      </c>
      <c r="D10" s="666">
        <v>680.91</v>
      </c>
      <c r="E10" s="666"/>
      <c r="F10" s="666">
        <v>373277.08146356745</v>
      </c>
      <c r="G10" s="666">
        <v>18374</v>
      </c>
      <c r="H10" s="666"/>
      <c r="I10" s="667">
        <v>1022</v>
      </c>
      <c r="J10" s="667">
        <v>855</v>
      </c>
      <c r="K10" s="668">
        <f t="shared" si="6"/>
        <v>100.17812362859078</v>
      </c>
      <c r="L10" s="668">
        <f t="shared" si="0"/>
        <v>100.07408088025335</v>
      </c>
      <c r="M10" s="668">
        <f t="shared" si="1"/>
        <v>99.950679803731035</v>
      </c>
      <c r="N10" s="668">
        <f t="shared" si="1"/>
        <v>100.00898268212563</v>
      </c>
      <c r="O10" s="669">
        <f t="shared" si="2"/>
        <v>117.02524627432133</v>
      </c>
      <c r="P10" s="669">
        <f t="shared" si="4"/>
        <v>107.44400912227354</v>
      </c>
      <c r="Q10" s="669">
        <f t="shared" si="3"/>
        <v>95.069767441860463</v>
      </c>
      <c r="R10" s="669">
        <f t="shared" si="5"/>
        <v>100.8254716981132</v>
      </c>
    </row>
    <row r="11" spans="1:47" ht="17.7">
      <c r="A11" s="665">
        <v>43374</v>
      </c>
      <c r="B11" s="666">
        <v>2018</v>
      </c>
      <c r="C11" s="666">
        <v>489.31342370973459</v>
      </c>
      <c r="D11" s="666">
        <v>676.84</v>
      </c>
      <c r="E11" s="666"/>
      <c r="F11" s="666">
        <v>331186.8977036968</v>
      </c>
      <c r="G11" s="666">
        <v>18376.483870967742</v>
      </c>
      <c r="H11" s="666"/>
      <c r="I11" s="667">
        <v>1034</v>
      </c>
      <c r="J11" s="667">
        <v>838</v>
      </c>
      <c r="K11" s="668">
        <f t="shared" si="6"/>
        <v>100.06536507509256</v>
      </c>
      <c r="L11" s="668">
        <f t="shared" si="0"/>
        <v>100.07421606426161</v>
      </c>
      <c r="M11" s="668">
        <f t="shared" si="1"/>
        <v>99.962421486705594</v>
      </c>
      <c r="N11" s="668">
        <f t="shared" si="1"/>
        <v>99.989099641189966</v>
      </c>
      <c r="O11" s="669">
        <f t="shared" si="2"/>
        <v>103.82964878165541</v>
      </c>
      <c r="P11" s="669">
        <f t="shared" si="4"/>
        <v>107.45853383409008</v>
      </c>
      <c r="Q11" s="669">
        <f t="shared" si="3"/>
        <v>96.186046511627907</v>
      </c>
      <c r="R11" s="669">
        <f t="shared" si="5"/>
        <v>98.820754716981128</v>
      </c>
    </row>
    <row r="12" spans="1:47" ht="17.7">
      <c r="A12" s="665">
        <v>43405</v>
      </c>
      <c r="B12" s="666">
        <v>2018</v>
      </c>
      <c r="C12" s="666">
        <v>483.01113818721484</v>
      </c>
      <c r="D12" s="666">
        <v>677.61</v>
      </c>
      <c r="E12" s="666"/>
      <c r="F12" s="666">
        <v>327293.17734703864</v>
      </c>
      <c r="G12" s="666">
        <v>18183.233333333334</v>
      </c>
      <c r="H12" s="666"/>
      <c r="I12" s="667">
        <v>1048</v>
      </c>
      <c r="J12" s="667">
        <v>848</v>
      </c>
      <c r="K12" s="668">
        <f t="shared" si="6"/>
        <v>100.05360820794698</v>
      </c>
      <c r="L12" s="668">
        <f t="shared" si="0"/>
        <v>100.06369987743331</v>
      </c>
      <c r="M12" s="668">
        <f t="shared" si="1"/>
        <v>99.975961138543113</v>
      </c>
      <c r="N12" s="668">
        <f t="shared" si="1"/>
        <v>100.00103281541431</v>
      </c>
      <c r="O12" s="669">
        <f t="shared" si="2"/>
        <v>102.60893739515757</v>
      </c>
      <c r="P12" s="669">
        <f t="shared" si="4"/>
        <v>106.32847981599515</v>
      </c>
      <c r="Q12" s="669">
        <f t="shared" si="3"/>
        <v>97.488372093023258</v>
      </c>
      <c r="R12" s="669">
        <f t="shared" si="5"/>
        <v>100</v>
      </c>
    </row>
    <row r="13" spans="1:47" ht="17.7">
      <c r="A13" s="665">
        <v>43435</v>
      </c>
      <c r="B13" s="666">
        <v>2018</v>
      </c>
      <c r="C13" s="666">
        <v>497.34466978273326</v>
      </c>
      <c r="D13" s="666">
        <v>681.99</v>
      </c>
      <c r="E13" s="666"/>
      <c r="F13" s="666">
        <v>339184.09134512627</v>
      </c>
      <c r="G13" s="666">
        <v>18058.129032258064</v>
      </c>
      <c r="H13" s="666"/>
      <c r="I13" s="667">
        <v>1024</v>
      </c>
      <c r="J13" s="667">
        <v>860</v>
      </c>
      <c r="K13" s="668">
        <f t="shared" si="6"/>
        <v>100.08993928607843</v>
      </c>
      <c r="L13" s="668">
        <f t="shared" si="0"/>
        <v>100.05681967638316</v>
      </c>
      <c r="M13" s="668">
        <f t="shared" si="1"/>
        <v>99.953060375184336</v>
      </c>
      <c r="N13" s="668">
        <f t="shared" si="1"/>
        <v>100.01518375881054</v>
      </c>
      <c r="O13" s="669">
        <f t="shared" si="2"/>
        <v>106.33683071664667</v>
      </c>
      <c r="P13" s="669">
        <f t="shared" si="4"/>
        <v>105.59691849750345</v>
      </c>
      <c r="Q13" s="669">
        <f t="shared" si="3"/>
        <v>95.255813953488371</v>
      </c>
      <c r="R13" s="669">
        <f t="shared" si="5"/>
        <v>101.41509433962264</v>
      </c>
    </row>
    <row r="14" spans="1:47" ht="17.7">
      <c r="A14" s="665">
        <v>43466</v>
      </c>
      <c r="B14" s="666">
        <v>2019</v>
      </c>
      <c r="C14" s="666">
        <v>482.22886004072933</v>
      </c>
      <c r="D14" s="666">
        <v>677.06</v>
      </c>
      <c r="E14" s="666"/>
      <c r="F14" s="666">
        <v>326497.87197917618</v>
      </c>
      <c r="G14" s="666">
        <v>17418.774193548386</v>
      </c>
      <c r="H14" s="666"/>
      <c r="I14" s="667">
        <v>1030</v>
      </c>
      <c r="J14" s="667">
        <v>870</v>
      </c>
      <c r="K14" s="668">
        <f t="shared" si="6"/>
        <v>100.05253712103101</v>
      </c>
      <c r="L14" s="668">
        <f t="shared" si="0"/>
        <v>100.02141430091112</v>
      </c>
      <c r="M14" s="668">
        <f t="shared" si="1"/>
        <v>99.958919750184336</v>
      </c>
      <c r="N14" s="668">
        <f t="shared" si="1"/>
        <v>100.02681166578728</v>
      </c>
      <c r="O14" s="669">
        <f t="shared" si="2"/>
        <v>102.35960302356295</v>
      </c>
      <c r="P14" s="669">
        <f t="shared" si="4"/>
        <v>101.85821994940873</v>
      </c>
      <c r="Q14" s="669">
        <f t="shared" si="3"/>
        <v>95.813953488372093</v>
      </c>
      <c r="R14" s="669">
        <f t="shared" si="5"/>
        <v>102.59433962264151</v>
      </c>
    </row>
    <row r="15" spans="1:47" ht="17.7">
      <c r="A15" s="665">
        <v>43497</v>
      </c>
      <c r="B15" s="666">
        <v>2019</v>
      </c>
      <c r="C15" s="666">
        <v>477.87947560177287</v>
      </c>
      <c r="D15" s="666">
        <v>656.3</v>
      </c>
      <c r="E15" s="666"/>
      <c r="F15" s="666">
        <v>313632.29983744351</v>
      </c>
      <c r="G15" s="666">
        <v>16800.678571428572</v>
      </c>
      <c r="H15" s="666"/>
      <c r="I15" s="667">
        <v>1039</v>
      </c>
      <c r="J15" s="667">
        <v>852</v>
      </c>
      <c r="K15" s="668">
        <f t="shared" si="6"/>
        <v>100.0131323553468</v>
      </c>
      <c r="L15" s="668">
        <f t="shared" si="0"/>
        <v>99.985929850900348</v>
      </c>
      <c r="M15" s="668">
        <f t="shared" si="1"/>
        <v>99.967657614262009</v>
      </c>
      <c r="N15" s="668">
        <f t="shared" si="1"/>
        <v>100.00612201061486</v>
      </c>
      <c r="O15" s="669">
        <f t="shared" si="2"/>
        <v>98.32614685089068</v>
      </c>
      <c r="P15" s="669">
        <f t="shared" si="4"/>
        <v>98.243837035428172</v>
      </c>
      <c r="Q15" s="669">
        <f t="shared" si="3"/>
        <v>96.651162790697668</v>
      </c>
      <c r="R15" s="669">
        <f t="shared" si="5"/>
        <v>100.47169811320755</v>
      </c>
    </row>
    <row r="16" spans="1:47" ht="17.7">
      <c r="A16" s="665">
        <v>43525</v>
      </c>
      <c r="B16" s="666">
        <v>2019</v>
      </c>
      <c r="C16" s="666">
        <v>467.57669299463851</v>
      </c>
      <c r="D16" s="666">
        <v>667.68</v>
      </c>
      <c r="E16" s="666"/>
      <c r="F16" s="666">
        <v>312191.60637866019</v>
      </c>
      <c r="G16" s="666">
        <v>17042.727272727272</v>
      </c>
      <c r="H16" s="666"/>
      <c r="I16" s="667">
        <v>1029</v>
      </c>
      <c r="J16" s="667">
        <v>860</v>
      </c>
      <c r="K16" s="668">
        <f t="shared" si="6"/>
        <v>100.00853878045183</v>
      </c>
      <c r="L16" s="668">
        <f t="shared" si="0"/>
        <v>100.00033692977335</v>
      </c>
      <c r="M16" s="668">
        <f t="shared" si="1"/>
        <v>99.958032975185972</v>
      </c>
      <c r="N16" s="668">
        <f t="shared" si="1"/>
        <v>100.01551168197636</v>
      </c>
      <c r="O16" s="669">
        <f t="shared" si="2"/>
        <v>97.874478331197821</v>
      </c>
      <c r="P16" s="669">
        <f t="shared" si="4"/>
        <v>99.659243744384966</v>
      </c>
      <c r="Q16" s="669">
        <f t="shared" si="3"/>
        <v>95.720930232558146</v>
      </c>
      <c r="R16" s="669">
        <f t="shared" si="5"/>
        <v>101.41509433962264</v>
      </c>
    </row>
    <row r="17" spans="1:18" ht="17.7">
      <c r="A17" s="665">
        <v>43556</v>
      </c>
      <c r="B17" s="666">
        <v>2019</v>
      </c>
      <c r="C17" s="666">
        <v>468.09882119599968</v>
      </c>
      <c r="D17" s="666">
        <v>667.4</v>
      </c>
      <c r="E17" s="666"/>
      <c r="F17" s="666">
        <v>312409.15326621017</v>
      </c>
      <c r="G17" s="666">
        <v>17138.81818181818</v>
      </c>
      <c r="H17" s="666"/>
      <c r="I17" s="667">
        <v>1000</v>
      </c>
      <c r="J17" s="667">
        <v>852</v>
      </c>
      <c r="K17" s="668">
        <f t="shared" si="6"/>
        <v>100.00923561817298</v>
      </c>
      <c r="L17" s="668">
        <f t="shared" si="0"/>
        <v>100.00597516522436</v>
      </c>
      <c r="M17" s="668">
        <f t="shared" si="1"/>
        <v>99.929850273533887</v>
      </c>
      <c r="N17" s="668">
        <f t="shared" si="1"/>
        <v>100.00620935639496</v>
      </c>
      <c r="O17" s="669">
        <f t="shared" si="2"/>
        <v>97.942680959636533</v>
      </c>
      <c r="P17" s="669">
        <f t="shared" si="4"/>
        <v>100.22114602548496</v>
      </c>
      <c r="Q17" s="669">
        <f t="shared" si="3"/>
        <v>93.023255813953483</v>
      </c>
      <c r="R17" s="669">
        <f t="shared" si="5"/>
        <v>100.47169811320755</v>
      </c>
    </row>
    <row r="18" spans="1:18" ht="17.7">
      <c r="A18" s="665">
        <v>43586</v>
      </c>
      <c r="B18" s="666">
        <v>2019</v>
      </c>
      <c r="C18" s="666">
        <v>473.81868707171242</v>
      </c>
      <c r="D18" s="666">
        <v>693.56</v>
      </c>
      <c r="E18" s="666"/>
      <c r="F18" s="666">
        <v>328621.68860545685</v>
      </c>
      <c r="G18" s="666">
        <v>17727.961538461539</v>
      </c>
      <c r="H18" s="666"/>
      <c r="I18" s="667">
        <v>1003</v>
      </c>
      <c r="J18" s="667">
        <v>852</v>
      </c>
      <c r="K18" s="668">
        <f t="shared" si="6"/>
        <v>100.06113081768856</v>
      </c>
      <c r="L18" s="668">
        <f t="shared" si="0"/>
        <v>100.04034995993852</v>
      </c>
      <c r="M18" s="668">
        <f t="shared" si="1"/>
        <v>99.932850273533887</v>
      </c>
      <c r="N18" s="668">
        <f t="shared" si="1"/>
        <v>100.00620935639496</v>
      </c>
      <c r="O18" s="669">
        <f t="shared" si="2"/>
        <v>103.02543592912869</v>
      </c>
      <c r="P18" s="669">
        <f t="shared" si="4"/>
        <v>103.66622734612912</v>
      </c>
      <c r="Q18" s="669">
        <f t="shared" si="3"/>
        <v>93.302325581395351</v>
      </c>
      <c r="R18" s="669">
        <f t="shared" si="5"/>
        <v>100.47169811320755</v>
      </c>
    </row>
    <row r="19" spans="1:18" ht="17.7">
      <c r="A19" s="665">
        <v>43617</v>
      </c>
      <c r="B19" s="666">
        <v>2019</v>
      </c>
      <c r="C19" s="666">
        <v>475.61044269523131</v>
      </c>
      <c r="D19" s="666">
        <v>692.41</v>
      </c>
      <c r="E19" s="666"/>
      <c r="F19" s="666">
        <v>329317.4266266051</v>
      </c>
      <c r="G19" s="666">
        <v>17624.2</v>
      </c>
      <c r="H19" s="666"/>
      <c r="I19" s="667">
        <v>997</v>
      </c>
      <c r="J19" s="667">
        <v>854</v>
      </c>
      <c r="K19" s="668">
        <f t="shared" si="6"/>
        <v>100.06324795738223</v>
      </c>
      <c r="L19" s="668">
        <f t="shared" si="0"/>
        <v>100.03449697237217</v>
      </c>
      <c r="M19" s="668">
        <f t="shared" ref="M19:N19" si="7">((I19-I18)/I18)+M18</f>
        <v>99.926868219695407</v>
      </c>
      <c r="N19" s="668">
        <f t="shared" si="7"/>
        <v>100.00855677423533</v>
      </c>
      <c r="O19" s="669">
        <f t="shared" si="2"/>
        <v>103.24355516899215</v>
      </c>
      <c r="P19" s="669">
        <f t="shared" si="4"/>
        <v>103.05947020642068</v>
      </c>
      <c r="Q19" s="669">
        <f t="shared" si="3"/>
        <v>92.744186046511629</v>
      </c>
      <c r="R19" s="669">
        <f t="shared" si="5"/>
        <v>100.70754716981132</v>
      </c>
    </row>
    <row r="20" spans="1:18" ht="17.7">
      <c r="A20" s="665">
        <v>43647</v>
      </c>
      <c r="B20" s="666">
        <v>2019</v>
      </c>
      <c r="C20" s="666">
        <v>475.55786177351911</v>
      </c>
      <c r="D20" s="666">
        <v>686.06</v>
      </c>
      <c r="E20" s="666"/>
      <c r="F20" s="666">
        <v>326261.22664834047</v>
      </c>
      <c r="G20" s="666">
        <v>17395.354838709678</v>
      </c>
      <c r="H20" s="666"/>
      <c r="I20" s="667">
        <v>1020</v>
      </c>
      <c r="J20" s="667">
        <v>858</v>
      </c>
      <c r="K20" s="668">
        <f t="shared" si="6"/>
        <v>100.053967549693</v>
      </c>
      <c r="L20" s="668">
        <f t="shared" si="0"/>
        <v>100.02151226036877</v>
      </c>
      <c r="M20" s="668">
        <f t="shared" ref="M20:N35" si="8">((I20-I19)/I19)+M19</f>
        <v>99.949937427318275</v>
      </c>
      <c r="N20" s="668">
        <f t="shared" si="8"/>
        <v>100.01324061498474</v>
      </c>
      <c r="O20" s="669">
        <f t="shared" si="2"/>
        <v>102.2854128857379</v>
      </c>
      <c r="P20" s="669">
        <f t="shared" si="4"/>
        <v>101.72127266656732</v>
      </c>
      <c r="Q20" s="669">
        <f t="shared" si="3"/>
        <v>94.883720930232556</v>
      </c>
      <c r="R20" s="669">
        <f t="shared" si="5"/>
        <v>101.17924528301887</v>
      </c>
    </row>
    <row r="21" spans="1:18" ht="17.7">
      <c r="A21" s="665">
        <v>43678</v>
      </c>
      <c r="B21" s="666">
        <v>2019</v>
      </c>
      <c r="C21" s="666">
        <v>457.63729113509004</v>
      </c>
      <c r="D21" s="666">
        <v>713.7</v>
      </c>
      <c r="E21" s="666"/>
      <c r="F21" s="666">
        <v>326615.73468311375</v>
      </c>
      <c r="G21" s="666">
        <v>17811.387096774193</v>
      </c>
      <c r="H21" s="666"/>
      <c r="I21" s="667">
        <v>1019</v>
      </c>
      <c r="J21" s="667">
        <v>850</v>
      </c>
      <c r="K21" s="668">
        <f t="shared" si="6"/>
        <v>100.05505412696856</v>
      </c>
      <c r="L21" s="668">
        <f t="shared" si="0"/>
        <v>100.04542854502763</v>
      </c>
      <c r="M21" s="668">
        <f t="shared" si="8"/>
        <v>99.948957035161413</v>
      </c>
      <c r="N21" s="668">
        <f t="shared" si="8"/>
        <v>100.00391660566073</v>
      </c>
      <c r="O21" s="669">
        <f t="shared" si="2"/>
        <v>102.39655389100109</v>
      </c>
      <c r="P21" s="669">
        <f t="shared" si="4"/>
        <v>104.15406757952279</v>
      </c>
      <c r="Q21" s="669">
        <f t="shared" si="3"/>
        <v>94.790697674418595</v>
      </c>
      <c r="R21" s="669">
        <f t="shared" si="5"/>
        <v>100.23584905660377</v>
      </c>
    </row>
    <row r="22" spans="1:18" ht="17.7">
      <c r="A22" s="665">
        <v>43709</v>
      </c>
      <c r="B22" s="666">
        <v>2019</v>
      </c>
      <c r="C22" s="666">
        <v>450.86018289965739</v>
      </c>
      <c r="D22" s="666">
        <v>718.44</v>
      </c>
      <c r="E22" s="666"/>
      <c r="F22" s="666">
        <v>323915.98980242986</v>
      </c>
      <c r="G22" s="666">
        <v>17833.400000000001</v>
      </c>
      <c r="H22" s="666"/>
      <c r="I22" s="667">
        <v>1036</v>
      </c>
      <c r="J22" s="667">
        <v>860</v>
      </c>
      <c r="K22" s="668">
        <f t="shared" si="6"/>
        <v>100.04678831306555</v>
      </c>
      <c r="L22" s="668">
        <f t="shared" si="0"/>
        <v>100.04666443435541</v>
      </c>
      <c r="M22" s="668">
        <f t="shared" si="8"/>
        <v>99.965640057732557</v>
      </c>
      <c r="N22" s="668">
        <f t="shared" si="8"/>
        <v>100.01568131154309</v>
      </c>
      <c r="O22" s="669">
        <f t="shared" si="2"/>
        <v>101.55016303222904</v>
      </c>
      <c r="P22" s="669">
        <f t="shared" si="4"/>
        <v>104.28279048008888</v>
      </c>
      <c r="Q22" s="669">
        <f t="shared" si="3"/>
        <v>96.372093023255815</v>
      </c>
      <c r="R22" s="669">
        <f t="shared" si="5"/>
        <v>101.41509433962264</v>
      </c>
    </row>
    <row r="23" spans="1:18" ht="17.7">
      <c r="A23" s="665">
        <v>43739</v>
      </c>
      <c r="B23" s="666">
        <v>2019</v>
      </c>
      <c r="C23" s="666">
        <v>475.89310072347382</v>
      </c>
      <c r="D23" s="666">
        <v>721.03</v>
      </c>
      <c r="E23" s="666"/>
      <c r="F23" s="666">
        <v>343133.20241464634</v>
      </c>
      <c r="G23" s="666">
        <v>18352.806451612902</v>
      </c>
      <c r="H23" s="666"/>
      <c r="I23" s="667">
        <v>1016</v>
      </c>
      <c r="J23" s="667">
        <v>844</v>
      </c>
      <c r="K23" s="668">
        <f t="shared" si="6"/>
        <v>100.10611608081156</v>
      </c>
      <c r="L23" s="668">
        <f t="shared" si="0"/>
        <v>100.07578992089263</v>
      </c>
      <c r="M23" s="668">
        <f t="shared" si="8"/>
        <v>99.946335038427534</v>
      </c>
      <c r="N23" s="668">
        <f t="shared" si="8"/>
        <v>99.997076660380301</v>
      </c>
      <c r="O23" s="669">
        <f t="shared" si="2"/>
        <v>107.57490751917425</v>
      </c>
      <c r="P23" s="669">
        <f t="shared" si="4"/>
        <v>107.3200774902807</v>
      </c>
      <c r="Q23" s="669">
        <f t="shared" si="3"/>
        <v>94.511627906976742</v>
      </c>
      <c r="R23" s="669">
        <f t="shared" si="5"/>
        <v>99.528301886792448</v>
      </c>
    </row>
    <row r="24" spans="1:18" ht="17.7">
      <c r="A24" s="665">
        <v>43770</v>
      </c>
      <c r="B24" s="666">
        <v>2019</v>
      </c>
      <c r="C24" s="666">
        <v>489.04519227923464</v>
      </c>
      <c r="D24" s="666">
        <v>776.53</v>
      </c>
      <c r="E24" s="666"/>
      <c r="F24" s="666">
        <v>379758.26316059404</v>
      </c>
      <c r="G24" s="666">
        <v>20124.133333333335</v>
      </c>
      <c r="H24" s="666"/>
      <c r="I24" s="667">
        <v>1018</v>
      </c>
      <c r="J24" s="667">
        <v>860</v>
      </c>
      <c r="K24" s="668">
        <f t="shared" si="6"/>
        <v>100.21285323270538</v>
      </c>
      <c r="L24" s="668">
        <f t="shared" si="0"/>
        <v>100.17230523512485</v>
      </c>
      <c r="M24" s="668">
        <f t="shared" si="8"/>
        <v>99.948303542364542</v>
      </c>
      <c r="N24" s="668">
        <f t="shared" si="8"/>
        <v>100.01603400635186</v>
      </c>
      <c r="O24" s="669">
        <f>$O$2+(F24/$F$2-1)*100</f>
        <v>119.05714676301284</v>
      </c>
      <c r="P24" s="669">
        <f t="shared" si="4"/>
        <v>117.67810849268074</v>
      </c>
      <c r="Q24" s="669">
        <f t="shared" si="3"/>
        <v>94.697674418604649</v>
      </c>
      <c r="R24" s="669">
        <f t="shared" si="5"/>
        <v>101.41509433962264</v>
      </c>
    </row>
    <row r="25" spans="1:18" ht="17.7">
      <c r="A25" s="665">
        <v>43800</v>
      </c>
      <c r="B25" s="666">
        <v>2019</v>
      </c>
      <c r="C25" s="666">
        <v>478.82288509528576</v>
      </c>
      <c r="D25" s="666">
        <v>770.39</v>
      </c>
      <c r="E25" s="666"/>
      <c r="F25" s="666">
        <v>368880.36244855716</v>
      </c>
      <c r="G25" s="666">
        <v>20699.129032258064</v>
      </c>
      <c r="H25" s="666"/>
      <c r="I25" s="667">
        <v>1012</v>
      </c>
      <c r="J25" s="667">
        <v>887</v>
      </c>
      <c r="K25" s="668">
        <f t="shared" si="6"/>
        <v>100.1842089561556</v>
      </c>
      <c r="L25" s="668">
        <f t="shared" si="0"/>
        <v>100.20087768042724</v>
      </c>
      <c r="M25" s="668">
        <f t="shared" si="8"/>
        <v>99.942409632737821</v>
      </c>
      <c r="N25" s="668">
        <f t="shared" si="8"/>
        <v>100.04742935518907</v>
      </c>
      <c r="O25" s="669">
        <f t="shared" si="2"/>
        <v>115.64684092590514</v>
      </c>
      <c r="P25" s="669">
        <f t="shared" si="4"/>
        <v>121.04045981087694</v>
      </c>
      <c r="Q25" s="669">
        <f t="shared" si="3"/>
        <v>94.139534883720927</v>
      </c>
      <c r="R25" s="669">
        <f t="shared" si="5"/>
        <v>104.59905660377358</v>
      </c>
    </row>
    <row r="26" spans="1:18" ht="17.7">
      <c r="A26" s="665">
        <v>43831</v>
      </c>
      <c r="B26" s="666">
        <v>2020</v>
      </c>
      <c r="C26" s="666">
        <v>485.83611795904483</v>
      </c>
      <c r="D26" s="666">
        <v>772.65</v>
      </c>
      <c r="E26" s="666"/>
      <c r="F26" s="666">
        <v>375381.276541056</v>
      </c>
      <c r="G26" s="666">
        <v>20834.903225806451</v>
      </c>
      <c r="H26" s="666"/>
      <c r="I26" s="667">
        <v>1020</v>
      </c>
      <c r="J26" s="667">
        <v>891</v>
      </c>
      <c r="K26" s="668">
        <f t="shared" si="6"/>
        <v>100.20183232338867</v>
      </c>
      <c r="L26" s="668">
        <f t="shared" si="0"/>
        <v>100.20743709620443</v>
      </c>
      <c r="M26" s="668">
        <f t="shared" si="8"/>
        <v>99.950314771077743</v>
      </c>
      <c r="N26" s="668">
        <f t="shared" si="8"/>
        <v>100.05193893805266</v>
      </c>
      <c r="O26" s="669">
        <f t="shared" si="2"/>
        <v>117.68492767288677</v>
      </c>
      <c r="P26" s="669">
        <f t="shared" si="4"/>
        <v>121.83441451263931</v>
      </c>
      <c r="Q26" s="669">
        <f t="shared" si="3"/>
        <v>94.883720930232556</v>
      </c>
      <c r="R26" s="669">
        <f t="shared" si="5"/>
        <v>105.07075471698113</v>
      </c>
    </row>
    <row r="27" spans="1:18" ht="17.7">
      <c r="A27" s="665">
        <v>43862</v>
      </c>
      <c r="B27" s="666">
        <v>2020</v>
      </c>
      <c r="C27" s="666">
        <v>487.76342375700193</v>
      </c>
      <c r="D27" s="666">
        <v>796.38</v>
      </c>
      <c r="E27" s="666"/>
      <c r="F27" s="666">
        <v>388445.03541160119</v>
      </c>
      <c r="G27" s="666">
        <v>21530.862068965518</v>
      </c>
      <c r="H27" s="666"/>
      <c r="I27" s="667">
        <v>1027</v>
      </c>
      <c r="J27" s="667">
        <v>886</v>
      </c>
      <c r="K27" s="668">
        <f t="shared" si="6"/>
        <v>100.23663362991871</v>
      </c>
      <c r="L27" s="668">
        <f t="shared" si="0"/>
        <v>100.24084060356016</v>
      </c>
      <c r="M27" s="668">
        <f t="shared" si="8"/>
        <v>99.957177516175776</v>
      </c>
      <c r="N27" s="668">
        <f t="shared" si="8"/>
        <v>100.04632726577432</v>
      </c>
      <c r="O27" s="669">
        <f t="shared" si="2"/>
        <v>121.78051691479719</v>
      </c>
      <c r="P27" s="669">
        <f t="shared" si="4"/>
        <v>125.90411127399285</v>
      </c>
      <c r="Q27" s="669">
        <f t="shared" si="3"/>
        <v>95.534883720930225</v>
      </c>
      <c r="R27" s="669">
        <f t="shared" si="5"/>
        <v>104.48113207547169</v>
      </c>
    </row>
    <row r="28" spans="1:18" ht="17.7">
      <c r="A28" s="665">
        <v>43891</v>
      </c>
      <c r="B28" s="666">
        <v>2020</v>
      </c>
      <c r="C28" s="666">
        <v>494.50513305175457</v>
      </c>
      <c r="D28" s="666">
        <v>839.97</v>
      </c>
      <c r="E28" s="666"/>
      <c r="F28" s="666">
        <v>415369.47660948231</v>
      </c>
      <c r="G28" s="666">
        <v>22503.741935483871</v>
      </c>
      <c r="H28" s="666"/>
      <c r="I28" s="667">
        <v>1046</v>
      </c>
      <c r="J28" s="667">
        <v>912</v>
      </c>
      <c r="K28" s="668">
        <f t="shared" si="6"/>
        <v>100.30594701725381</v>
      </c>
      <c r="L28" s="668">
        <f t="shared" si="0"/>
        <v>100.28602596880016</v>
      </c>
      <c r="M28" s="668">
        <f t="shared" si="8"/>
        <v>99.975678003030694</v>
      </c>
      <c r="N28" s="668">
        <f t="shared" si="8"/>
        <v>100.07567263823482</v>
      </c>
      <c r="O28" s="669">
        <f t="shared" si="2"/>
        <v>130.22153705358124</v>
      </c>
      <c r="P28" s="669">
        <f t="shared" si="4"/>
        <v>131.59313452712632</v>
      </c>
      <c r="Q28" s="669">
        <f t="shared" si="3"/>
        <v>97.302325581395337</v>
      </c>
      <c r="R28" s="669">
        <f t="shared" si="5"/>
        <v>107.54716981132076</v>
      </c>
    </row>
    <row r="29" spans="1:18" ht="17.7">
      <c r="A29" s="665">
        <v>43922</v>
      </c>
      <c r="B29" s="666">
        <v>2020</v>
      </c>
      <c r="C29" s="666">
        <v>485.93022164445802</v>
      </c>
      <c r="D29" s="666">
        <v>853.38</v>
      </c>
      <c r="E29" s="666"/>
      <c r="F29" s="666">
        <v>414683.13254694757</v>
      </c>
      <c r="G29" s="666">
        <v>23391.4</v>
      </c>
      <c r="H29" s="666"/>
      <c r="I29" s="667">
        <v>1056</v>
      </c>
      <c r="J29" s="667">
        <v>913</v>
      </c>
      <c r="K29" s="668">
        <f t="shared" si="6"/>
        <v>100.30429464725269</v>
      </c>
      <c r="L29" s="668">
        <f t="shared" si="0"/>
        <v>100.32547087832059</v>
      </c>
      <c r="M29" s="668">
        <f t="shared" si="8"/>
        <v>99.985238232476206</v>
      </c>
      <c r="N29" s="668">
        <f t="shared" si="8"/>
        <v>100.07676912946289</v>
      </c>
      <c r="O29" s="669">
        <f t="shared" si="2"/>
        <v>130.00636289225284</v>
      </c>
      <c r="P29" s="669">
        <f t="shared" si="4"/>
        <v>136.78381381205776</v>
      </c>
      <c r="Q29" s="669">
        <f t="shared" si="3"/>
        <v>98.232558139534888</v>
      </c>
      <c r="R29" s="669">
        <f>$R$2+(J29/$J$2-1)*100</f>
        <v>107.66509433962264</v>
      </c>
    </row>
    <row r="30" spans="1:18" ht="17.7">
      <c r="A30" s="665">
        <v>43952</v>
      </c>
      <c r="B30" s="666">
        <v>2020</v>
      </c>
      <c r="C30" s="666">
        <v>488.60434020492249</v>
      </c>
      <c r="D30" s="666">
        <v>821.81</v>
      </c>
      <c r="E30" s="666"/>
      <c r="F30" s="666">
        <v>401539.93282380735</v>
      </c>
      <c r="G30" s="666">
        <v>23366.354838709678</v>
      </c>
      <c r="H30" s="666"/>
      <c r="I30" s="667">
        <v>1091</v>
      </c>
      <c r="J30" s="667">
        <v>927</v>
      </c>
      <c r="K30" s="668">
        <f t="shared" si="6"/>
        <v>100.27260008653492</v>
      </c>
      <c r="L30" s="668">
        <f t="shared" si="0"/>
        <v>100.32440017877758</v>
      </c>
      <c r="M30" s="668">
        <f t="shared" si="8"/>
        <v>100.01838217187014</v>
      </c>
      <c r="N30" s="668">
        <f t="shared" si="8"/>
        <v>100.09210319298973</v>
      </c>
      <c r="O30" s="669">
        <f t="shared" si="2"/>
        <v>125.88586832986917</v>
      </c>
      <c r="P30" s="669">
        <f t="shared" si="4"/>
        <v>136.63735944511828</v>
      </c>
      <c r="Q30" s="669">
        <f t="shared" si="3"/>
        <v>101.48837209302326</v>
      </c>
      <c r="R30" s="669">
        <f t="shared" si="5"/>
        <v>109.31603773584905</v>
      </c>
    </row>
    <row r="31" spans="1:18" ht="17.7">
      <c r="A31" s="665">
        <v>43983</v>
      </c>
      <c r="B31" s="666">
        <v>2020</v>
      </c>
      <c r="C31" s="666">
        <v>506.83333341292433</v>
      </c>
      <c r="D31" s="666">
        <v>792.72</v>
      </c>
      <c r="E31" s="666"/>
      <c r="F31" s="666">
        <v>401776.92006309336</v>
      </c>
      <c r="G31" s="666">
        <v>22901.533333333333</v>
      </c>
      <c r="H31" s="666"/>
      <c r="I31" s="667">
        <v>1072</v>
      </c>
      <c r="J31" s="667">
        <v>914</v>
      </c>
      <c r="K31" s="668">
        <f t="shared" si="6"/>
        <v>100.27319028247787</v>
      </c>
      <c r="L31" s="668">
        <f t="shared" si="0"/>
        <v>100.30450740951234</v>
      </c>
      <c r="M31" s="668">
        <f t="shared" si="8"/>
        <v>100.00096695647143</v>
      </c>
      <c r="N31" s="668">
        <f t="shared" si="8"/>
        <v>100.07807946051939</v>
      </c>
      <c r="O31" s="669">
        <f t="shared" si="2"/>
        <v>125.9601656586325</v>
      </c>
      <c r="P31" s="669">
        <f t="shared" si="4"/>
        <v>133.91926398066389</v>
      </c>
      <c r="Q31" s="669">
        <f t="shared" si="3"/>
        <v>99.720930232558132</v>
      </c>
      <c r="R31" s="669">
        <f t="shared" si="5"/>
        <v>107.78301886792451</v>
      </c>
    </row>
    <row r="32" spans="1:18" ht="17.7">
      <c r="A32" s="665">
        <v>44013</v>
      </c>
      <c r="B32" s="666">
        <v>2020</v>
      </c>
      <c r="C32" s="666">
        <v>534.75582564397189</v>
      </c>
      <c r="D32" s="666">
        <v>784.73</v>
      </c>
      <c r="E32" s="666"/>
      <c r="F32" s="666">
        <v>419638.93905759405</v>
      </c>
      <c r="G32" s="666">
        <v>23378.064516129034</v>
      </c>
      <c r="H32" s="666"/>
      <c r="I32" s="667">
        <v>1050</v>
      </c>
      <c r="J32" s="667">
        <v>906</v>
      </c>
      <c r="K32" s="668">
        <f t="shared" si="6"/>
        <v>100.31764783616636</v>
      </c>
      <c r="L32" s="668">
        <f t="shared" si="0"/>
        <v>100.32531523822232</v>
      </c>
      <c r="M32" s="668">
        <f t="shared" si="8"/>
        <v>99.980444568411727</v>
      </c>
      <c r="N32" s="668">
        <f t="shared" si="8"/>
        <v>100.06932672528963</v>
      </c>
      <c r="O32" s="669">
        <f t="shared" si="2"/>
        <v>131.56004648601211</v>
      </c>
      <c r="P32" s="669">
        <f t="shared" si="4"/>
        <v>136.705833086539</v>
      </c>
      <c r="Q32" s="669">
        <f t="shared" si="3"/>
        <v>97.674418604651152</v>
      </c>
      <c r="R32" s="669">
        <f t="shared" si="5"/>
        <v>106.83962264150944</v>
      </c>
    </row>
    <row r="33" spans="1:18" ht="17.7">
      <c r="A33" s="665">
        <v>44044</v>
      </c>
      <c r="B33" s="666">
        <v>2020</v>
      </c>
      <c r="C33" s="666">
        <v>546.97583411464359</v>
      </c>
      <c r="D33" s="666">
        <v>784.66</v>
      </c>
      <c r="E33" s="666"/>
      <c r="F33" s="666">
        <v>429190.05799639621</v>
      </c>
      <c r="G33" s="666">
        <v>25388.387096774193</v>
      </c>
      <c r="H33" s="666"/>
      <c r="I33" s="667">
        <v>1041</v>
      </c>
      <c r="J33" s="667">
        <v>895</v>
      </c>
      <c r="K33" s="668">
        <f t="shared" si="6"/>
        <v>100.34040816188887</v>
      </c>
      <c r="L33" s="668">
        <f t="shared" si="0"/>
        <v>100.41130706955028</v>
      </c>
      <c r="M33" s="668">
        <f t="shared" si="8"/>
        <v>99.971873139840298</v>
      </c>
      <c r="N33" s="668">
        <f t="shared" si="8"/>
        <v>100.05718544493642</v>
      </c>
      <c r="O33" s="669">
        <f t="shared" si="2"/>
        <v>134.55439599610321</v>
      </c>
      <c r="P33" s="669">
        <f t="shared" si="4"/>
        <v>148.46141802686506</v>
      </c>
      <c r="Q33" s="669">
        <f t="shared" si="3"/>
        <v>96.837209302325576</v>
      </c>
      <c r="R33" s="669">
        <f t="shared" si="5"/>
        <v>105.54245283018868</v>
      </c>
    </row>
    <row r="34" spans="1:18" ht="17.7">
      <c r="A34" s="665">
        <v>44075</v>
      </c>
      <c r="B34" s="666">
        <v>2020</v>
      </c>
      <c r="C34" s="666">
        <v>547.30008592686488</v>
      </c>
      <c r="D34" s="666">
        <v>773.4</v>
      </c>
      <c r="E34" s="666"/>
      <c r="F34" s="666">
        <v>423281.88645583729</v>
      </c>
      <c r="G34" s="666">
        <v>30916.533333333333</v>
      </c>
      <c r="H34" s="666"/>
      <c r="I34" s="667">
        <v>1055</v>
      </c>
      <c r="J34" s="667">
        <v>900</v>
      </c>
      <c r="K34" s="668">
        <f t="shared" si="6"/>
        <v>100.32664229888603</v>
      </c>
      <c r="L34" s="668">
        <f t="shared" si="0"/>
        <v>100.62905017451742</v>
      </c>
      <c r="M34" s="668">
        <f t="shared" si="8"/>
        <v>99.985321746948841</v>
      </c>
      <c r="N34" s="668">
        <f t="shared" si="8"/>
        <v>100.0627720371152</v>
      </c>
      <c r="O34" s="669">
        <f t="shared" si="2"/>
        <v>132.70213861439109</v>
      </c>
      <c r="P34" s="669">
        <f t="shared" si="4"/>
        <v>180.78786815585832</v>
      </c>
      <c r="Q34" s="669">
        <f t="shared" si="3"/>
        <v>98.139534883720927</v>
      </c>
      <c r="R34" s="669">
        <f t="shared" si="5"/>
        <v>106.13207547169812</v>
      </c>
    </row>
    <row r="35" spans="1:18" ht="17.7">
      <c r="A35" s="665">
        <v>44105</v>
      </c>
      <c r="B35" s="666">
        <v>2020</v>
      </c>
      <c r="C35" s="666">
        <v>611.45540506874011</v>
      </c>
      <c r="D35" s="666">
        <v>778.27</v>
      </c>
      <c r="E35" s="666"/>
      <c r="F35" s="666">
        <v>475877.39810284832</v>
      </c>
      <c r="G35" s="666">
        <v>31507.741935483871</v>
      </c>
      <c r="H35" s="666"/>
      <c r="I35" s="667">
        <v>1158</v>
      </c>
      <c r="J35" s="667">
        <v>910</v>
      </c>
      <c r="K35" s="668">
        <f t="shared" si="6"/>
        <v>100.45089876562831</v>
      </c>
      <c r="L35" s="668">
        <f t="shared" si="0"/>
        <v>100.64817290719175</v>
      </c>
      <c r="M35" s="668">
        <f t="shared" si="8"/>
        <v>100.08295207870239</v>
      </c>
      <c r="N35" s="668">
        <f t="shared" si="8"/>
        <v>100.0738831482263</v>
      </c>
      <c r="O35" s="669">
        <f t="shared" si="2"/>
        <v>149.19123748776013</v>
      </c>
      <c r="P35" s="669">
        <f t="shared" si="4"/>
        <v>184.24502622936598</v>
      </c>
      <c r="Q35" s="669">
        <f t="shared" si="3"/>
        <v>107.72093023255813</v>
      </c>
      <c r="R35" s="669">
        <f t="shared" si="5"/>
        <v>107.31132075471699</v>
      </c>
    </row>
    <row r="36" spans="1:18" ht="17.7">
      <c r="A36" s="665">
        <v>44136</v>
      </c>
      <c r="B36" s="666">
        <v>2020</v>
      </c>
      <c r="C36" s="666">
        <v>657.03983530257608</v>
      </c>
      <c r="D36" s="666">
        <v>763.72</v>
      </c>
      <c r="E36" s="666"/>
      <c r="F36" s="666">
        <v>501794.46301728341</v>
      </c>
      <c r="G36" s="666">
        <v>29467.733333333334</v>
      </c>
      <c r="H36" s="666"/>
      <c r="I36" s="667">
        <v>1069</v>
      </c>
      <c r="J36" s="667">
        <v>898</v>
      </c>
      <c r="K36" s="668">
        <f t="shared" si="6"/>
        <v>100.50536040851733</v>
      </c>
      <c r="L36" s="668">
        <f t="shared" si="0"/>
        <v>100.58342664240617</v>
      </c>
      <c r="M36" s="668">
        <f t="shared" ref="M36:N40" si="9">((I36-I35)/I35)+M35</f>
        <v>100.00609542930688</v>
      </c>
      <c r="N36" s="668">
        <f t="shared" si="9"/>
        <v>100.06069633503948</v>
      </c>
      <c r="O36" s="669">
        <f t="shared" si="2"/>
        <v>157.31643738599007</v>
      </c>
      <c r="P36" s="669">
        <f t="shared" si="4"/>
        <v>172.31584897569343</v>
      </c>
      <c r="Q36" s="669">
        <f t="shared" si="3"/>
        <v>99.441860465116278</v>
      </c>
      <c r="R36" s="669">
        <f t="shared" si="5"/>
        <v>105.89622641509433</v>
      </c>
    </row>
    <row r="37" spans="1:18" ht="17.7">
      <c r="A37" s="665">
        <v>44166</v>
      </c>
      <c r="B37" s="666">
        <v>2020</v>
      </c>
      <c r="C37" s="666">
        <v>522.55345354356325</v>
      </c>
      <c r="D37" s="666">
        <v>734.73</v>
      </c>
      <c r="E37" s="666"/>
      <c r="F37" s="666">
        <v>383935.69892206223</v>
      </c>
      <c r="G37" s="666">
        <v>27967.451612903227</v>
      </c>
      <c r="H37" s="666"/>
      <c r="I37" s="667">
        <v>1063</v>
      </c>
      <c r="J37" s="667">
        <v>896</v>
      </c>
      <c r="K37" s="668">
        <f t="shared" si="6"/>
        <v>100.2704858278244</v>
      </c>
      <c r="L37" s="668">
        <f t="shared" si="0"/>
        <v>100.532513947376</v>
      </c>
      <c r="M37" s="668">
        <f t="shared" si="9"/>
        <v>100.00048270713663</v>
      </c>
      <c r="N37" s="668">
        <f t="shared" si="9"/>
        <v>100.05846916354727</v>
      </c>
      <c r="O37" s="669">
        <f t="shared" si="2"/>
        <v>120.36680511884921</v>
      </c>
      <c r="P37" s="669">
        <f t="shared" si="4"/>
        <v>163.54278470793068</v>
      </c>
      <c r="Q37" s="669">
        <f t="shared" si="3"/>
        <v>98.883720930232556</v>
      </c>
      <c r="R37" s="669">
        <f t="shared" si="5"/>
        <v>105.66037735849056</v>
      </c>
    </row>
    <row r="38" spans="1:18" ht="17.7">
      <c r="A38" s="665">
        <v>44197</v>
      </c>
      <c r="B38" s="666">
        <v>2021</v>
      </c>
      <c r="C38" s="666">
        <v>524.3046206835927</v>
      </c>
      <c r="D38" s="666">
        <v>723.56</v>
      </c>
      <c r="E38" s="666"/>
      <c r="F38" s="666">
        <f t="shared" ref="F38:F40" si="10">C38*D38</f>
        <v>379365.85134182032</v>
      </c>
      <c r="G38" s="666">
        <v>25659.741935483871</v>
      </c>
      <c r="H38" s="666"/>
      <c r="I38" s="667">
        <v>1062</v>
      </c>
      <c r="J38" s="667">
        <v>901</v>
      </c>
      <c r="K38" s="668">
        <f t="shared" si="6"/>
        <v>100.25858318997886</v>
      </c>
      <c r="L38" s="668">
        <f t="shared" si="0"/>
        <v>100.44999982669886</v>
      </c>
      <c r="M38" s="668">
        <f t="shared" si="9"/>
        <v>99.999541973364288</v>
      </c>
      <c r="N38" s="668">
        <f t="shared" si="9"/>
        <v>100.06404952069013</v>
      </c>
      <c r="O38" s="669">
        <f t="shared" si="2"/>
        <v>118.93412262889538</v>
      </c>
      <c r="P38" s="669">
        <f t="shared" si="4"/>
        <v>150.0481956346639</v>
      </c>
      <c r="Q38" s="669">
        <f t="shared" si="3"/>
        <v>98.79069767441861</v>
      </c>
      <c r="R38" s="669">
        <f t="shared" si="5"/>
        <v>106.25</v>
      </c>
    </row>
    <row r="39" spans="1:18" ht="17.7">
      <c r="A39" s="665">
        <v>44228</v>
      </c>
      <c r="B39" s="666">
        <v>2021</v>
      </c>
      <c r="C39" s="666">
        <v>570.13865280248558</v>
      </c>
      <c r="D39" s="666">
        <v>722.63</v>
      </c>
      <c r="E39" s="666"/>
      <c r="F39" s="666">
        <f t="shared" si="10"/>
        <v>411999.29467466014</v>
      </c>
      <c r="G39" s="666">
        <v>25049.666666666668</v>
      </c>
      <c r="H39" s="666"/>
      <c r="I39" s="667">
        <v>1072</v>
      </c>
      <c r="J39" s="667">
        <v>900</v>
      </c>
      <c r="K39" s="668">
        <f t="shared" si="6"/>
        <v>100.34460422539208</v>
      </c>
      <c r="L39" s="668">
        <f t="shared" si="0"/>
        <v>100.4262242458551</v>
      </c>
      <c r="M39" s="668">
        <f t="shared" si="9"/>
        <v>100.00895816922116</v>
      </c>
      <c r="N39" s="668">
        <f t="shared" si="9"/>
        <v>100.0629396427767</v>
      </c>
      <c r="O39" s="669">
        <f t="shared" si="2"/>
        <v>129.16495900339544</v>
      </c>
      <c r="P39" s="669">
        <f t="shared" si="4"/>
        <v>146.4807126288911</v>
      </c>
      <c r="Q39" s="669">
        <f t="shared" si="3"/>
        <v>99.720930232558132</v>
      </c>
      <c r="R39" s="669">
        <f t="shared" si="5"/>
        <v>106.13207547169812</v>
      </c>
    </row>
    <row r="40" spans="1:18" ht="17.7">
      <c r="A40" s="665">
        <v>44256</v>
      </c>
      <c r="B40" s="666">
        <v>2021</v>
      </c>
      <c r="C40" s="666">
        <v>575.27615541876776</v>
      </c>
      <c r="D40" s="666">
        <v>726.37</v>
      </c>
      <c r="E40" s="554">
        <f t="shared" ref="E40:E51" si="11">D40/D39-1</f>
        <v>5.1755393493211344E-3</v>
      </c>
      <c r="F40" s="666">
        <f t="shared" si="10"/>
        <v>417863.34101153031</v>
      </c>
      <c r="G40" s="666">
        <f>'57A'!I8*'61'!D40/10</f>
        <v>23509.458333333332</v>
      </c>
      <c r="H40" s="554">
        <f t="shared" ref="H40:H51" si="12">G40/G39-1</f>
        <v>-6.1486180787502231E-2</v>
      </c>
      <c r="I40" s="667">
        <v>1070</v>
      </c>
      <c r="J40" s="667">
        <v>911</v>
      </c>
      <c r="K40" s="668">
        <f t="shared" si="6"/>
        <v>100.35883737193545</v>
      </c>
      <c r="L40" s="668">
        <f t="shared" si="0"/>
        <v>100.3647380650676</v>
      </c>
      <c r="M40" s="668">
        <f t="shared" si="9"/>
        <v>100.00709249757936</v>
      </c>
      <c r="N40" s="668">
        <f t="shared" si="9"/>
        <v>100.07516186499892</v>
      </c>
      <c r="O40" s="669">
        <f t="shared" si="2"/>
        <v>131.00338279315935</v>
      </c>
      <c r="P40" s="669">
        <f t="shared" si="4"/>
        <v>137.47417305030893</v>
      </c>
      <c r="Q40" s="669">
        <f t="shared" si="3"/>
        <v>99.534883720930239</v>
      </c>
      <c r="R40" s="669">
        <f t="shared" si="5"/>
        <v>107.42924528301887</v>
      </c>
    </row>
    <row r="41" spans="1:18" ht="17.7">
      <c r="A41" s="665">
        <v>44287</v>
      </c>
      <c r="B41" s="666">
        <v>2021</v>
      </c>
      <c r="C41" s="666">
        <f>'57A'!G9</f>
        <v>595.9091176226982</v>
      </c>
      <c r="D41" s="666">
        <v>707.85</v>
      </c>
      <c r="E41" s="554">
        <f t="shared" si="11"/>
        <v>-2.5496647713974974E-2</v>
      </c>
      <c r="F41" s="666">
        <f t="shared" ref="F41:F46" si="13">C41*D41</f>
        <v>421814.26890922693</v>
      </c>
      <c r="G41" s="666">
        <f>'57A'!I9*'61'!D41/10</f>
        <v>22921.120000000003</v>
      </c>
      <c r="H41" s="554">
        <f t="shared" si="12"/>
        <v>-2.5025601398018682E-2</v>
      </c>
      <c r="I41" s="667">
        <f>'59'!G21</f>
        <v>1088</v>
      </c>
      <c r="J41" s="667">
        <f>'59'!H21</f>
        <v>920</v>
      </c>
      <c r="K41" s="668">
        <f t="shared" si="6"/>
        <v>100.36829244374944</v>
      </c>
      <c r="L41" s="668">
        <f t="shared" si="0"/>
        <v>100.33971246366958</v>
      </c>
      <c r="M41" s="668">
        <f t="shared" ref="M41" si="14">((I41-I40)/I40)+M40</f>
        <v>100.0239149274859</v>
      </c>
      <c r="N41" s="668">
        <f t="shared" ref="N41" si="15">((J41-J40)/J40)+N40</f>
        <v>100.08504111856642</v>
      </c>
      <c r="O41" s="669">
        <f t="shared" si="2"/>
        <v>132.24202918534391</v>
      </c>
      <c r="P41" s="669">
        <f t="shared" si="4"/>
        <v>134.03379919302967</v>
      </c>
      <c r="Q41" s="669">
        <f t="shared" si="3"/>
        <v>101.20930232558139</v>
      </c>
      <c r="R41" s="669">
        <f t="shared" si="5"/>
        <v>108.49056603773586</v>
      </c>
    </row>
    <row r="42" spans="1:18" ht="17.7">
      <c r="A42" s="665">
        <v>44317</v>
      </c>
      <c r="B42" s="666">
        <v>2021</v>
      </c>
      <c r="C42" s="666">
        <f>'57A'!G10</f>
        <v>550.41993363719439</v>
      </c>
      <c r="D42" s="666">
        <v>712.26</v>
      </c>
      <c r="E42" s="554">
        <f t="shared" si="11"/>
        <v>6.2301335028607241E-3</v>
      </c>
      <c r="F42" s="666">
        <f t="shared" si="13"/>
        <v>392042.10193242808</v>
      </c>
      <c r="G42" s="666">
        <f>'57A'!I10*'61'!D42/10</f>
        <v>22360.935483870962</v>
      </c>
      <c r="H42" s="554">
        <f t="shared" si="12"/>
        <v>-2.4439665955635737E-2</v>
      </c>
      <c r="I42" s="667">
        <f>'59'!G22</f>
        <v>1081</v>
      </c>
      <c r="J42" s="667">
        <f>'59'!H22</f>
        <v>918</v>
      </c>
      <c r="K42" s="668">
        <f t="shared" ref="K42" si="16">((F42-F41)/F41)+K41</f>
        <v>100.29771122075338</v>
      </c>
      <c r="L42" s="668">
        <f t="shared" ref="L42" si="17">((G42-G41)/G41)+L41</f>
        <v>100.31527279771394</v>
      </c>
      <c r="M42" s="668">
        <f t="shared" ref="M42" si="18">((I42-I41)/I41)+M41</f>
        <v>100.0174811039565</v>
      </c>
      <c r="N42" s="668">
        <f t="shared" ref="N42" si="19">((J42-J41)/J41)+N41</f>
        <v>100.08286720552294</v>
      </c>
      <c r="O42" s="669">
        <f t="shared" si="2"/>
        <v>122.90822503396272</v>
      </c>
      <c r="P42" s="669">
        <f t="shared" si="4"/>
        <v>130.75805791398727</v>
      </c>
      <c r="Q42" s="669">
        <f t="shared" si="3"/>
        <v>100.55813953488372</v>
      </c>
      <c r="R42" s="669">
        <f t="shared" si="5"/>
        <v>108.25471698113208</v>
      </c>
    </row>
    <row r="43" spans="1:18" ht="17.7">
      <c r="A43" s="665">
        <v>44348</v>
      </c>
      <c r="B43" s="666">
        <v>2021</v>
      </c>
      <c r="C43" s="666">
        <f>'57A'!G11</f>
        <v>628.28779953260755</v>
      </c>
      <c r="D43" s="666">
        <v>726.54</v>
      </c>
      <c r="E43" s="554">
        <f t="shared" si="11"/>
        <v>2.0048858562884408E-2</v>
      </c>
      <c r="F43" s="666">
        <f t="shared" si="13"/>
        <v>456476.21787242068</v>
      </c>
      <c r="G43" s="666">
        <f>'57A'!I11*'61'!D43/10</f>
        <v>22596.766666666666</v>
      </c>
      <c r="H43" s="554">
        <f t="shared" si="12"/>
        <v>1.054657051203467E-2</v>
      </c>
      <c r="I43" s="667">
        <f>'59'!G23</f>
        <v>1057</v>
      </c>
      <c r="J43" s="667">
        <f>'59'!H23</f>
        <v>911</v>
      </c>
      <c r="K43" s="668">
        <f>((F43-F42)/F42)+K42</f>
        <v>100.46206631328653</v>
      </c>
      <c r="L43" s="668">
        <f>((G43-G42)/G42)+L42</f>
        <v>100.32581936822598</v>
      </c>
      <c r="M43" s="668">
        <f t="shared" ref="M43:N44" si="20">((I43-I42)/I42)+M42</f>
        <v>99.995279438831616</v>
      </c>
      <c r="N43" s="668">
        <f t="shared" si="20"/>
        <v>100.07524193319179</v>
      </c>
      <c r="O43" s="669">
        <f t="shared" si="2"/>
        <v>143.10881773250418</v>
      </c>
      <c r="P43" s="669">
        <f t="shared" si="4"/>
        <v>132.13710699179384</v>
      </c>
      <c r="Q43" s="669">
        <f t="shared" si="3"/>
        <v>98.325581395348834</v>
      </c>
      <c r="R43" s="669">
        <f t="shared" si="5"/>
        <v>107.42924528301887</v>
      </c>
    </row>
    <row r="44" spans="1:18" ht="17.7">
      <c r="A44" s="665">
        <v>44378</v>
      </c>
      <c r="B44" s="666">
        <v>2021</v>
      </c>
      <c r="C44" s="666">
        <f>'57A'!G12</f>
        <v>590.01634891700269</v>
      </c>
      <c r="D44" s="666">
        <v>750.44</v>
      </c>
      <c r="E44" s="554">
        <f t="shared" si="11"/>
        <v>3.2895642359677568E-2</v>
      </c>
      <c r="F44" s="666">
        <f t="shared" si="13"/>
        <v>442771.86888127553</v>
      </c>
      <c r="G44" s="666">
        <f>'57A'!I12*'61'!D44/10</f>
        <v>23008.870967741936</v>
      </c>
      <c r="H44" s="554">
        <f t="shared" si="12"/>
        <v>1.8237312760465807E-2</v>
      </c>
      <c r="I44" s="667">
        <f>'59'!G24</f>
        <v>1082</v>
      </c>
      <c r="J44" s="667">
        <f>'59'!H24</f>
        <v>916</v>
      </c>
      <c r="K44" s="668">
        <f>((F44-F43)/F43)+K43</f>
        <v>100.43204426952043</v>
      </c>
      <c r="L44" s="668">
        <f>((G44-G43)/G43)+L43</f>
        <v>100.34405668098644</v>
      </c>
      <c r="M44" s="668">
        <f t="shared" si="20"/>
        <v>100.01893128367551</v>
      </c>
      <c r="N44" s="668">
        <f t="shared" si="20"/>
        <v>100.08073040739596</v>
      </c>
      <c r="O44" s="669">
        <f t="shared" si="2"/>
        <v>138.81239854322553</v>
      </c>
      <c r="P44" s="669">
        <f t="shared" si="4"/>
        <v>134.54693273926631</v>
      </c>
      <c r="Q44" s="669">
        <f t="shared" si="3"/>
        <v>100.65116279069768</v>
      </c>
      <c r="R44" s="669">
        <f t="shared" si="5"/>
        <v>108.01886792452831</v>
      </c>
    </row>
    <row r="45" spans="1:18" ht="17.7">
      <c r="A45" s="665">
        <v>44409</v>
      </c>
      <c r="B45" s="666">
        <v>2021</v>
      </c>
      <c r="C45" s="666">
        <f>'57A'!G13</f>
        <v>602.79229418600823</v>
      </c>
      <c r="D45" s="666">
        <v>779.83</v>
      </c>
      <c r="E45" s="554">
        <f t="shared" si="11"/>
        <v>3.9163690634827608E-2</v>
      </c>
      <c r="F45" s="666">
        <f t="shared" si="13"/>
        <v>470075.51477507484</v>
      </c>
      <c r="G45" s="666">
        <f>'57A'!I13*'61'!D45/10</f>
        <v>23772.137931034482</v>
      </c>
      <c r="H45" s="554">
        <f t="shared" si="12"/>
        <v>3.317272561363982E-2</v>
      </c>
      <c r="I45" s="667">
        <f>'59'!G25</f>
        <v>1108</v>
      </c>
      <c r="J45" s="667">
        <f>'59'!H25</f>
        <v>911</v>
      </c>
      <c r="K45" s="668">
        <f t="shared" ref="K45" si="21">((F45-F44)/F44)+K44</f>
        <v>100.49370953737673</v>
      </c>
      <c r="L45" s="668">
        <f t="shared" ref="L45" si="22">((G45-G44)/G44)+L44</f>
        <v>100.37722940660008</v>
      </c>
      <c r="M45" s="668">
        <f t="shared" ref="M45" si="23">((I45-I44)/I44)+M44</f>
        <v>100.04296085853689</v>
      </c>
      <c r="N45" s="668">
        <f t="shared" ref="N45" si="24">((J45-J44)/J44)+N44</f>
        <v>100.07527189211211</v>
      </c>
      <c r="O45" s="669">
        <f t="shared" si="2"/>
        <v>147.37230228116925</v>
      </c>
      <c r="P45" s="669">
        <f t="shared" si="4"/>
        <v>139.01022122118286</v>
      </c>
      <c r="Q45" s="669">
        <f t="shared" si="3"/>
        <v>103.06976744186048</v>
      </c>
      <c r="R45" s="669">
        <f t="shared" si="5"/>
        <v>107.42924528301887</v>
      </c>
    </row>
    <row r="46" spans="1:18" ht="17.7">
      <c r="A46" s="665">
        <v>44440</v>
      </c>
      <c r="B46" s="666">
        <v>2022</v>
      </c>
      <c r="C46" s="666">
        <f>'57A'!G14</f>
        <v>588.77641975476865</v>
      </c>
      <c r="D46" s="666">
        <v>783.63</v>
      </c>
      <c r="E46" s="554">
        <f t="shared" si="11"/>
        <v>4.8728569047098436E-3</v>
      </c>
      <c r="F46" s="666">
        <f t="shared" si="13"/>
        <v>461382.86581242934</v>
      </c>
      <c r="G46" s="666">
        <f>'57A'!I14*'61'!D46/10</f>
        <v>23537.566666666666</v>
      </c>
      <c r="H46" s="554">
        <f t="shared" si="12"/>
        <v>-9.8674870997439434E-3</v>
      </c>
      <c r="I46" s="667">
        <f>'59'!G26</f>
        <v>1130</v>
      </c>
      <c r="J46" s="667">
        <f>'59'!H26</f>
        <v>913</v>
      </c>
      <c r="K46" s="668">
        <f t="shared" ref="K46" si="25">((F46-F45)/F45)+K45</f>
        <v>100.47521751069289</v>
      </c>
      <c r="L46" s="668">
        <f t="shared" ref="L46" si="26">((G46-G45)/G45)+L45</f>
        <v>100.36736191950034</v>
      </c>
      <c r="M46" s="668">
        <f t="shared" ref="M46" si="27">((I46-I45)/I45)+M45</f>
        <v>100.06281645420475</v>
      </c>
      <c r="N46" s="668">
        <f t="shared" ref="N46" si="28">((J46-J45)/J45)+N45</f>
        <v>100.07746728179379</v>
      </c>
      <c r="O46" s="669">
        <f t="shared" si="2"/>
        <v>144.6470897349254</v>
      </c>
      <c r="P46" s="669">
        <f t="shared" si="4"/>
        <v>137.63853965655028</v>
      </c>
      <c r="Q46" s="669">
        <f t="shared" si="3"/>
        <v>105.11627906976744</v>
      </c>
      <c r="R46" s="669">
        <f t="shared" si="5"/>
        <v>107.66509433962264</v>
      </c>
    </row>
    <row r="47" spans="1:18" ht="17.7">
      <c r="A47" s="665">
        <v>44470</v>
      </c>
      <c r="B47" s="666">
        <v>2022</v>
      </c>
      <c r="C47" s="666">
        <f>'57A'!G15</f>
        <v>565.97413856195249</v>
      </c>
      <c r="D47" s="666">
        <v>813.95</v>
      </c>
      <c r="E47" s="554">
        <f t="shared" si="11"/>
        <v>3.8691729515204942E-2</v>
      </c>
      <c r="F47" s="666">
        <f t="shared" ref="F47" si="29">C47*D47</f>
        <v>460674.65008250123</v>
      </c>
      <c r="G47" s="666">
        <f>'57A'!I15*'61'!D47/10</f>
        <v>24002.258064516129</v>
      </c>
      <c r="H47" s="554">
        <f t="shared" si="12"/>
        <v>1.974254197259695E-2</v>
      </c>
      <c r="I47" s="667">
        <f>'59'!G27</f>
        <v>1139</v>
      </c>
      <c r="J47" s="667">
        <f>'59'!H27</f>
        <v>916</v>
      </c>
      <c r="K47" s="668">
        <f t="shared" ref="K47" si="30">((F47-F46)/F46)+K46</f>
        <v>100.47368252579768</v>
      </c>
      <c r="L47" s="668">
        <f t="shared" ref="L47" si="31">((G47-G46)/G46)+L46</f>
        <v>100.38710446147293</v>
      </c>
      <c r="M47" s="668">
        <f t="shared" ref="M47" si="32">((I47-I46)/I46)+M46</f>
        <v>100.07078105597466</v>
      </c>
      <c r="N47" s="668">
        <f t="shared" ref="N47" si="33">((J47-J46)/J46)+N46</f>
        <v>100.08075315254953</v>
      </c>
      <c r="O47" s="669">
        <f t="shared" si="2"/>
        <v>144.42505863704702</v>
      </c>
      <c r="P47" s="669">
        <f t="shared" si="4"/>
        <v>140.35587430276667</v>
      </c>
      <c r="Q47" s="669">
        <f t="shared" si="3"/>
        <v>105.95348837209302</v>
      </c>
      <c r="R47" s="669">
        <f t="shared" si="5"/>
        <v>108.01886792452831</v>
      </c>
    </row>
    <row r="48" spans="1:18" ht="17.7">
      <c r="A48" s="665">
        <v>44501</v>
      </c>
      <c r="B48" s="666">
        <v>2022</v>
      </c>
      <c r="C48" s="666">
        <f>'57A'!G16</f>
        <v>601.55447686894615</v>
      </c>
      <c r="D48" s="666">
        <v>836.69</v>
      </c>
      <c r="E48" s="554">
        <f t="shared" si="11"/>
        <v>2.7937834019288621E-2</v>
      </c>
      <c r="F48" s="666">
        <f t="shared" ref="F48" si="34">C48*D48</f>
        <v>503314.61525147856</v>
      </c>
      <c r="G48" s="666">
        <f>'57A'!I16*'61'!D48/10</f>
        <v>22974.800000000003</v>
      </c>
      <c r="H48" s="554">
        <f t="shared" si="12"/>
        <v>-4.280672517370665E-2</v>
      </c>
      <c r="I48" s="667">
        <f>'59'!G28</f>
        <v>1158</v>
      </c>
      <c r="J48" s="667">
        <f>'59'!H28</f>
        <v>922</v>
      </c>
      <c r="K48" s="668">
        <f t="shared" ref="K48" si="35">((F48-F47)/F47)+K47</f>
        <v>100.56624235117845</v>
      </c>
      <c r="L48" s="668">
        <f t="shared" ref="L48" si="36">((G48-G47)/G47)+L47</f>
        <v>100.34429773629923</v>
      </c>
      <c r="M48" s="668">
        <f t="shared" ref="M48" si="37">((I48-I47)/I47)+M47</f>
        <v>100.08746235536009</v>
      </c>
      <c r="N48" s="668">
        <f t="shared" ref="N48" si="38">((J48-J47)/J47)+N47</f>
        <v>100.08730337089014</v>
      </c>
      <c r="O48" s="669">
        <f t="shared" si="2"/>
        <v>157.79301684509758</v>
      </c>
      <c r="P48" s="669">
        <f t="shared" si="4"/>
        <v>134.34769896497284</v>
      </c>
      <c r="Q48" s="669">
        <f t="shared" si="3"/>
        <v>107.72093023255813</v>
      </c>
      <c r="R48" s="669">
        <f t="shared" si="5"/>
        <v>108.72641509433963</v>
      </c>
    </row>
    <row r="49" spans="1:47" ht="17.7">
      <c r="A49" s="665">
        <v>44531</v>
      </c>
      <c r="B49" s="666">
        <v>2022</v>
      </c>
      <c r="C49" s="666">
        <f>'57A'!G17</f>
        <v>590.44644989820915</v>
      </c>
      <c r="D49" s="666">
        <v>849.12</v>
      </c>
      <c r="E49" s="554">
        <f t="shared" si="11"/>
        <v>1.4856159389977197E-2</v>
      </c>
      <c r="F49" s="666">
        <f t="shared" ref="F49" si="39">C49*D49</f>
        <v>501359.88953756733</v>
      </c>
      <c r="G49" s="666">
        <f>'57A'!I17*'61'!D49/10</f>
        <v>23369.677419354837</v>
      </c>
      <c r="H49" s="554">
        <f t="shared" si="12"/>
        <v>1.7187414878685914E-2</v>
      </c>
      <c r="I49" s="667">
        <f>'59'!G29</f>
        <v>1184</v>
      </c>
      <c r="J49" s="667">
        <f>'59'!H29</f>
        <v>929</v>
      </c>
      <c r="K49" s="668">
        <f t="shared" ref="K49" si="40">((F49-F48)/F48)+K48</f>
        <v>100.56235864572925</v>
      </c>
      <c r="L49" s="668">
        <f t="shared" ref="L49" si="41">((G49-G48)/G48)+L48</f>
        <v>100.36148515117792</v>
      </c>
      <c r="M49" s="668">
        <f t="shared" ref="M49" si="42">((I49-I48)/I48)+M48</f>
        <v>100.10991485967787</v>
      </c>
      <c r="N49" s="668">
        <f>((J49-J48)/J48)+N48</f>
        <v>100.09489556177951</v>
      </c>
      <c r="O49" s="669">
        <f t="shared" si="2"/>
        <v>157.18019524573151</v>
      </c>
      <c r="P49" s="669">
        <f t="shared" si="4"/>
        <v>136.65678860508061</v>
      </c>
      <c r="Q49" s="669">
        <f t="shared" si="3"/>
        <v>110.13953488372093</v>
      </c>
      <c r="R49" s="669">
        <f t="shared" si="5"/>
        <v>109.55188679245282</v>
      </c>
    </row>
    <row r="50" spans="1:47" ht="17.7">
      <c r="A50" s="665">
        <v>44562</v>
      </c>
      <c r="B50" s="666">
        <v>2022</v>
      </c>
      <c r="C50" s="666">
        <f>'57A'!G18</f>
        <v>558.27043492401322</v>
      </c>
      <c r="D50" s="666">
        <v>822.05</v>
      </c>
      <c r="E50" s="554">
        <f t="shared" si="11"/>
        <v>-3.1880064066327596E-2</v>
      </c>
      <c r="F50" s="666">
        <f t="shared" ref="F50" si="43">C50*D50</f>
        <v>458926.21102928504</v>
      </c>
      <c r="G50" s="666">
        <f>'57A'!I18*'61'!D50/10</f>
        <v>21899.566666666666</v>
      </c>
      <c r="H50" s="554">
        <f t="shared" si="12"/>
        <v>-6.2906762738223376E-2</v>
      </c>
      <c r="I50" s="667">
        <f>'59'!G30</f>
        <v>1195</v>
      </c>
      <c r="J50" s="667">
        <f>'59'!H30</f>
        <v>901</v>
      </c>
      <c r="K50" s="668">
        <f t="shared" ref="K50" si="44">((F50-F49)/F49)+K49</f>
        <v>100.47772148309659</v>
      </c>
      <c r="L50" s="668">
        <f t="shared" ref="L50" si="45">((G50-G49)/G49)+L49</f>
        <v>100.29857838843969</v>
      </c>
      <c r="M50" s="668">
        <f t="shared" ref="M50" si="46">((I50-I49)/I49)+M49</f>
        <v>100.11920540021842</v>
      </c>
      <c r="N50" s="668">
        <f t="shared" ref="N50" si="47">((J50-J49)/J49)+N49</f>
        <v>100.06475562636508</v>
      </c>
      <c r="O50" s="669">
        <f t="shared" si="2"/>
        <v>143.87690949808567</v>
      </c>
      <c r="P50" s="669">
        <f t="shared" si="4"/>
        <v>128.06015242773327</v>
      </c>
      <c r="Q50" s="669">
        <f t="shared" si="3"/>
        <v>111.16279069767442</v>
      </c>
      <c r="R50" s="669">
        <f t="shared" si="5"/>
        <v>106.25</v>
      </c>
    </row>
    <row r="51" spans="1:47" ht="17.7">
      <c r="A51" s="665">
        <v>44593</v>
      </c>
      <c r="B51" s="666">
        <v>2022</v>
      </c>
      <c r="C51" s="666">
        <f>'57A'!G19</f>
        <v>546.3050779635397</v>
      </c>
      <c r="D51" s="666">
        <v>807.07</v>
      </c>
      <c r="E51" s="554">
        <f t="shared" si="11"/>
        <v>-1.8222735843318461E-2</v>
      </c>
      <c r="F51" s="666">
        <f>C51*D51</f>
        <v>440906.43927203404</v>
      </c>
      <c r="G51" s="666">
        <f>'57A'!I19*'61'!D51/10</f>
        <v>22133</v>
      </c>
      <c r="H51" s="554">
        <f t="shared" si="12"/>
        <v>1.0659267230554104E-2</v>
      </c>
      <c r="I51" s="667">
        <f>'59'!G31</f>
        <v>1158</v>
      </c>
      <c r="J51" s="667">
        <f>'59'!H31</f>
        <v>922</v>
      </c>
      <c r="K51" s="668">
        <f>((F51-F50)/F50)+K50</f>
        <v>100.4384564088337</v>
      </c>
      <c r="L51" s="668">
        <f>((G51-G50)/G50)+L50</f>
        <v>100.30923765567024</v>
      </c>
      <c r="M51" s="668">
        <f t="shared" ref="M51" si="48">((I51-I50)/I50)+M50</f>
        <v>100.08824305712218</v>
      </c>
      <c r="N51" s="668">
        <f t="shared" ref="N51" si="49">((J51-J50)/J50)+N50</f>
        <v>100.08806306254711</v>
      </c>
      <c r="O51" s="669">
        <f t="shared" si="2"/>
        <v>138.22757196192839</v>
      </c>
      <c r="P51" s="669">
        <f t="shared" si="4"/>
        <v>129.42517981404595</v>
      </c>
      <c r="Q51" s="669">
        <f t="shared" si="3"/>
        <v>107.72093023255813</v>
      </c>
      <c r="R51" s="669">
        <f t="shared" si="5"/>
        <v>108.72641509433963</v>
      </c>
    </row>
    <row r="52" spans="1:47" ht="17.7">
      <c r="A52" s="665">
        <v>44621</v>
      </c>
      <c r="B52" s="666">
        <v>2022</v>
      </c>
      <c r="C52" s="666">
        <f>'57A'!G20</f>
        <v>545.80731285261425</v>
      </c>
      <c r="D52" s="666">
        <v>799.19</v>
      </c>
      <c r="E52" s="554">
        <f t="shared" ref="E52:E57" si="50">D52/D51-1</f>
        <v>-9.7637131847299052E-3</v>
      </c>
      <c r="F52" s="666">
        <f>C52*D52</f>
        <v>436203.74635868083</v>
      </c>
      <c r="G52" s="666">
        <f>'57A'!I20*'61'!D52/10</f>
        <v>23528.290322580644</v>
      </c>
      <c r="H52" s="554">
        <f t="shared" ref="H52:H57" si="51">G52/G51-1</f>
        <v>6.3041174833083913E-2</v>
      </c>
      <c r="I52" s="667">
        <f>'59'!G32</f>
        <v>1224</v>
      </c>
      <c r="J52" s="667">
        <f>'59'!H32</f>
        <v>951</v>
      </c>
      <c r="K52" s="668">
        <f t="shared" ref="K52:K53" si="52">((F52-F51)/F51)+K51</f>
        <v>100.42779044323538</v>
      </c>
      <c r="L52" s="668">
        <f t="shared" ref="L52:L53" si="53">((G52-G51)/G51)+L51</f>
        <v>100.37227883050333</v>
      </c>
      <c r="M52" s="668">
        <f t="shared" ref="M52:M53" si="54">((I52-I51)/I51)+M51</f>
        <v>100.14523787577504</v>
      </c>
      <c r="N52" s="668">
        <f t="shared" ref="N52" si="55">((J52-J51)/J51)+N51</f>
        <v>100.11951642480307</v>
      </c>
      <c r="O52" s="669">
        <f t="shared" ref="O52:O57" si="56">$O$2+(F52/$F$2-1)*100</f>
        <v>136.7532414346432</v>
      </c>
      <c r="P52" s="669">
        <f t="shared" si="4"/>
        <v>137.58429520250655</v>
      </c>
      <c r="Q52" s="669">
        <f t="shared" si="3"/>
        <v>113.86046511627907</v>
      </c>
      <c r="R52" s="669">
        <f t="shared" si="5"/>
        <v>112.14622641509433</v>
      </c>
    </row>
    <row r="53" spans="1:47" ht="17.7">
      <c r="A53" s="665">
        <v>44652</v>
      </c>
      <c r="B53" s="666">
        <v>2022</v>
      </c>
      <c r="C53" s="666">
        <f>'57A'!G21</f>
        <v>549.72457402147984</v>
      </c>
      <c r="D53" s="666">
        <v>815.12</v>
      </c>
      <c r="E53" s="554">
        <f t="shared" si="50"/>
        <v>1.9932681840363342E-2</v>
      </c>
      <c r="F53" s="666">
        <f>C53*D53</f>
        <v>448091.49477638863</v>
      </c>
      <c r="G53" s="666">
        <f>'57A'!I21*'61'!D53/10</f>
        <v>24813.696162693675</v>
      </c>
      <c r="H53" s="554">
        <f t="shared" si="51"/>
        <v>5.4632352053195943E-2</v>
      </c>
      <c r="I53" s="667">
        <f>'59'!G33</f>
        <v>1341</v>
      </c>
      <c r="J53" s="667">
        <f>'59'!H33</f>
        <v>951</v>
      </c>
      <c r="K53" s="668">
        <f t="shared" si="52"/>
        <v>100.45504318582859</v>
      </c>
      <c r="L53" s="668">
        <f t="shared" si="53"/>
        <v>100.42691118255652</v>
      </c>
      <c r="M53" s="668">
        <f t="shared" si="54"/>
        <v>100.24082611106915</v>
      </c>
      <c r="N53" s="668">
        <f t="shared" ref="N53:N58" si="57">((J53-J52)/J52)+N52</f>
        <v>100.11951642480307</v>
      </c>
      <c r="O53" s="669">
        <f t="shared" si="56"/>
        <v>140.48014232224889</v>
      </c>
      <c r="P53" s="669">
        <f t="shared" ref="P53" si="58">$P$2+(G53/$G$2-1)*100</f>
        <v>145.10084885500075</v>
      </c>
      <c r="Q53" s="669">
        <f t="shared" ref="Q53" si="59">$Q$2+(I53/$I$2-1)*100</f>
        <v>124.74418604651163</v>
      </c>
      <c r="R53" s="669">
        <f t="shared" ref="R53" si="60">$R$2+(J53/$J$2-1)*100</f>
        <v>112.14622641509433</v>
      </c>
    </row>
    <row r="54" spans="1:47" ht="17.7">
      <c r="A54" s="665">
        <v>44682</v>
      </c>
      <c r="B54" s="666">
        <v>2022</v>
      </c>
      <c r="C54" s="666">
        <f>'57A'!G22</f>
        <v>564.81641387732293</v>
      </c>
      <c r="D54" s="666">
        <v>849.39</v>
      </c>
      <c r="E54" s="554">
        <f t="shared" si="50"/>
        <v>4.2042889390519145E-2</v>
      </c>
      <c r="F54" s="666">
        <f>C54*D54</f>
        <v>479749.41378325934</v>
      </c>
      <c r="G54" s="666">
        <f>'57A'!I22*'61'!D54/10</f>
        <v>25178.87020352346</v>
      </c>
      <c r="H54" s="554">
        <f t="shared" si="51"/>
        <v>1.4716632235499461E-2</v>
      </c>
      <c r="I54" s="667">
        <f>'59'!G34</f>
        <v>1353</v>
      </c>
      <c r="J54" s="667">
        <f>'59'!H34</f>
        <v>992</v>
      </c>
      <c r="K54" s="668">
        <f t="shared" ref="K54" si="61">((F54-F53)/F53)+K53</f>
        <v>100.52569375468768</v>
      </c>
      <c r="L54" s="668">
        <f t="shared" ref="L54" si="62">((G54-G53)/G53)+L53</f>
        <v>100.44162781479203</v>
      </c>
      <c r="M54" s="668">
        <f t="shared" ref="M54" si="63">((I54-I53)/I53)+M53</f>
        <v>100.24977465693046</v>
      </c>
      <c r="N54" s="668">
        <f t="shared" si="57"/>
        <v>100.16262893794712</v>
      </c>
      <c r="O54" s="669">
        <f t="shared" si="56"/>
        <v>150.40514429072135</v>
      </c>
      <c r="P54" s="669">
        <f t="shared" ref="P54" si="64">$P$2+(G54/$G$2-1)*100</f>
        <v>147.23624468465857</v>
      </c>
      <c r="Q54" s="669">
        <f t="shared" ref="Q54" si="65">$Q$2+(I54/$I$2-1)*100</f>
        <v>125.86046511627906</v>
      </c>
      <c r="R54" s="669">
        <f t="shared" ref="R54" si="66">$R$2+(J54/$J$2-1)*100</f>
        <v>116.98113207547169</v>
      </c>
    </row>
    <row r="55" spans="1:47" ht="17.7">
      <c r="A55" s="665">
        <v>44713</v>
      </c>
      <c r="B55" s="666">
        <v>2022</v>
      </c>
      <c r="C55" s="666">
        <f>'57A'!G23</f>
        <v>564.44130170328856</v>
      </c>
      <c r="D55" s="666">
        <v>857.77</v>
      </c>
      <c r="E55" s="554">
        <f t="shared" si="50"/>
        <v>9.865903766232309E-3</v>
      </c>
      <c r="F55" s="666">
        <f>C55*D55</f>
        <v>484160.81536202983</v>
      </c>
      <c r="G55" s="666">
        <f>'57A'!I23*'61'!D55/10</f>
        <v>25243.643647927856</v>
      </c>
      <c r="H55" s="554">
        <f t="shared" si="51"/>
        <v>2.5725318046769807E-3</v>
      </c>
      <c r="I55" s="667">
        <f>'59'!G35</f>
        <v>1360</v>
      </c>
      <c r="J55" s="667">
        <f>'59'!H35</f>
        <v>1020</v>
      </c>
      <c r="K55" s="668">
        <f t="shared" ref="K55" si="67">((F55-F54)/F54)+K54</f>
        <v>100.53488897505071</v>
      </c>
      <c r="L55" s="668">
        <f t="shared" ref="L55" si="68">((G55-G54)/G54)+L54</f>
        <v>100.4442003465967</v>
      </c>
      <c r="M55" s="668">
        <f t="shared" ref="M55" si="69">((I55-I54)/I54)+M54</f>
        <v>100.25494834503097</v>
      </c>
      <c r="N55" s="668">
        <f t="shared" si="57"/>
        <v>100.19085474439873</v>
      </c>
      <c r="O55" s="669">
        <f t="shared" si="56"/>
        <v>151.78815273620754</v>
      </c>
      <c r="P55" s="669">
        <f t="shared" ref="P55" si="70">$P$2+(G55/$G$2-1)*100</f>
        <v>147.61501460691105</v>
      </c>
      <c r="Q55" s="669">
        <f t="shared" ref="Q55" si="71">$Q$2+(I55/$I$2-1)*100</f>
        <v>126.51162790697674</v>
      </c>
      <c r="R55" s="669">
        <f t="shared" ref="R55" si="72">$R$2+(J55/$J$2-1)*100</f>
        <v>120.28301886792451</v>
      </c>
    </row>
    <row r="56" spans="1:47" ht="17.7">
      <c r="A56" s="665">
        <v>44743</v>
      </c>
      <c r="B56" s="666">
        <v>2022</v>
      </c>
      <c r="C56" s="666">
        <f>'57A'!G24</f>
        <v>577.65817942935189</v>
      </c>
      <c r="D56" s="666">
        <v>953.71</v>
      </c>
      <c r="E56" s="554">
        <f t="shared" si="50"/>
        <v>0.11184816442636136</v>
      </c>
      <c r="F56" s="666">
        <f t="shared" ref="F56" si="73">C56*D56</f>
        <v>550918.38230356725</v>
      </c>
      <c r="G56" s="666">
        <f>'57A'!I24*'61'!D56/10</f>
        <v>27855.376396058222</v>
      </c>
      <c r="H56" s="554">
        <f t="shared" si="51"/>
        <v>0.10346100525566371</v>
      </c>
      <c r="I56" s="667">
        <f>'59'!G36</f>
        <v>1393</v>
      </c>
      <c r="J56" s="667">
        <f>'59'!H36</f>
        <v>1000</v>
      </c>
      <c r="K56" s="668">
        <f t="shared" ref="K56" si="74">((F56-F55)/F55)+K55</f>
        <v>100.67277201891417</v>
      </c>
      <c r="L56" s="668">
        <f t="shared" ref="L56" si="75">((G56-G55)/G55)+L55</f>
        <v>100.54766135185237</v>
      </c>
      <c r="M56" s="668">
        <f t="shared" ref="M56" si="76">((I56-I55)/I55)+M55</f>
        <v>100.27921305091333</v>
      </c>
      <c r="N56" s="668">
        <f t="shared" si="57"/>
        <v>100.17124690126148</v>
      </c>
      <c r="O56" s="669">
        <f t="shared" si="56"/>
        <v>172.71716525788952</v>
      </c>
      <c r="P56" s="669">
        <f t="shared" ref="P56" si="77">$P$2+(G56/$G$2-1)*100</f>
        <v>162.88741240897153</v>
      </c>
      <c r="Q56" s="669">
        <f t="shared" ref="Q56" si="78">$Q$2+(I56/$I$2-1)*100</f>
        <v>129.58139534883722</v>
      </c>
      <c r="R56" s="669">
        <f t="shared" ref="R56" si="79">$R$2+(J56/$J$2-1)*100</f>
        <v>117.9245283018868</v>
      </c>
    </row>
    <row r="57" spans="1:47" ht="17.7">
      <c r="A57" s="665">
        <v>44774</v>
      </c>
      <c r="B57" s="666">
        <v>2022</v>
      </c>
      <c r="C57" s="666">
        <f>'57A'!G25</f>
        <v>565.39000770544385</v>
      </c>
      <c r="D57" s="666">
        <v>904.35</v>
      </c>
      <c r="E57" s="554">
        <f t="shared" si="50"/>
        <v>-5.1755774816243938E-2</v>
      </c>
      <c r="F57" s="666">
        <f t="shared" ref="F57" si="80">C57*D57</f>
        <v>511310.45346841816</v>
      </c>
      <c r="G57" s="666">
        <f>'57A'!I25*'61'!D57/10</f>
        <v>26735.258162712627</v>
      </c>
      <c r="H57" s="554">
        <f t="shared" si="51"/>
        <v>-4.0211922374314146E-2</v>
      </c>
      <c r="I57" s="667">
        <f>'59'!G37</f>
        <v>1431</v>
      </c>
      <c r="J57" s="667">
        <f>'59'!H37</f>
        <v>1059</v>
      </c>
      <c r="K57" s="668">
        <f t="shared" ref="K57" si="81">((F57-F56)/F56)+K56</f>
        <v>100.60087765105965</v>
      </c>
      <c r="L57" s="668">
        <f t="shared" ref="L57" si="82">((G57-G56)/G56)+L56</f>
        <v>100.50744942947806</v>
      </c>
      <c r="M57" s="668">
        <f t="shared" ref="M57" si="83">((I57-I56)/I56)+M56</f>
        <v>100.30649230432323</v>
      </c>
      <c r="N57" s="668">
        <f t="shared" si="57"/>
        <v>100.23024690126148</v>
      </c>
      <c r="O57" s="669">
        <f t="shared" si="56"/>
        <v>160.2997738440491</v>
      </c>
      <c r="P57" s="669">
        <f t="shared" ref="P57" si="84">$P$2+(G57/$G$2-1)*100</f>
        <v>156.33739642542906</v>
      </c>
      <c r="Q57" s="669">
        <f t="shared" ref="Q57" si="85">$Q$2+(I57/$I$2-1)*100</f>
        <v>133.11627906976744</v>
      </c>
      <c r="R57" s="669">
        <f t="shared" ref="R57" si="86">$R$2+(J57/$J$2-1)*100</f>
        <v>124.88207547169812</v>
      </c>
    </row>
    <row r="58" spans="1:47" ht="17.7">
      <c r="A58" s="665">
        <v>44805</v>
      </c>
      <c r="B58" s="666">
        <v>2022</v>
      </c>
      <c r="C58" s="666">
        <f>'57A'!G26</f>
        <v>567.87656219221731</v>
      </c>
      <c r="D58" s="666">
        <v>921.01</v>
      </c>
      <c r="E58" s="554">
        <f t="shared" ref="E58:E59" si="87">D58/D57-1</f>
        <v>1.8422071100790527E-2</v>
      </c>
      <c r="F58" s="666">
        <f t="shared" ref="F58" si="88">C58*D58</f>
        <v>523019.99254465406</v>
      </c>
      <c r="G58" s="666">
        <f>'57A'!I26*'61'!D58/10</f>
        <v>27056.39502912496</v>
      </c>
      <c r="H58" s="554">
        <f t="shared" ref="H58" si="89">G58/G57-1</f>
        <v>1.2011736129790451E-2</v>
      </c>
      <c r="I58" s="667">
        <f>'59'!G38</f>
        <v>1449</v>
      </c>
      <c r="J58" s="667">
        <f>'59'!H38</f>
        <v>1077</v>
      </c>
      <c r="K58" s="668">
        <f t="shared" ref="K58" si="90">((F58-F57)/F57)+K57</f>
        <v>100.62377868700915</v>
      </c>
      <c r="L58" s="668">
        <f t="shared" ref="L58" si="91">((G58-G57)/G57)+L57</f>
        <v>100.51946116560785</v>
      </c>
      <c r="M58" s="668">
        <f t="shared" ref="M58" si="92">((I58-I57)/I57)+M57</f>
        <v>100.31907092067543</v>
      </c>
      <c r="N58" s="668">
        <f t="shared" si="57"/>
        <v>100.24724406840029</v>
      </c>
      <c r="O58" s="669">
        <f t="shared" ref="O58" si="93">$O$2+(F58/$F$2-1)*100</f>
        <v>163.97080472754854</v>
      </c>
      <c r="P58" s="669">
        <f t="shared" ref="P58" si="94">$P$2+(G58/$G$2-1)*100</f>
        <v>158.21527997850978</v>
      </c>
      <c r="Q58" s="669">
        <f t="shared" ref="Q58" si="95">$Q$2+(I58/$I$2-1)*100</f>
        <v>134.7906976744186</v>
      </c>
      <c r="R58" s="669">
        <f t="shared" ref="R58" si="96">$R$2+(J58/$J$2-1)*100</f>
        <v>127.00471698113208</v>
      </c>
    </row>
    <row r="59" spans="1:47" ht="17.7">
      <c r="A59" s="665">
        <v>44835</v>
      </c>
      <c r="B59" s="666">
        <v>2022</v>
      </c>
      <c r="C59" s="666">
        <f>'57A'!G27</f>
        <v>557.57461723531651</v>
      </c>
      <c r="D59" s="666">
        <v>955.89</v>
      </c>
      <c r="E59" s="554">
        <f t="shared" si="87"/>
        <v>3.7871467193624442E-2</v>
      </c>
      <c r="F59" s="666">
        <f t="shared" ref="F59" si="97">C59*D59</f>
        <v>532980.00086906669</v>
      </c>
      <c r="G59" s="666">
        <f>'57A'!I27*'61'!D59/10</f>
        <v>29684.974409583403</v>
      </c>
      <c r="H59" s="554">
        <f t="shared" ref="H59" si="98">G59/G58-1</f>
        <v>9.7151870292731202E-2</v>
      </c>
      <c r="I59" s="667">
        <f>'59'!G39</f>
        <v>1467</v>
      </c>
      <c r="J59" s="667">
        <f>'59'!H39</f>
        <v>1120</v>
      </c>
      <c r="K59" s="668">
        <f t="shared" ref="K59" si="99">((F59-F58)/F58)+K58</f>
        <v>100.64282195202078</v>
      </c>
      <c r="L59" s="668">
        <f t="shared" ref="L59" si="100">((G59-G58)/G58)+L58</f>
        <v>100.61661303590058</v>
      </c>
      <c r="M59" s="668">
        <f t="shared" ref="M59" si="101">((I59-I58)/I58)+M58</f>
        <v>100.33149328092388</v>
      </c>
      <c r="N59" s="668">
        <f t="shared" ref="N59" si="102">((J59-J58)/J58)+N58</f>
        <v>100.28716978799174</v>
      </c>
      <c r="O59" s="669">
        <f t="shared" ref="O59" si="103">$O$2+(F59/$F$2-1)*100</f>
        <v>167.09334421614676</v>
      </c>
      <c r="P59" s="669">
        <f t="shared" ref="P59" si="104">$P$2+(G59/$G$2-1)*100</f>
        <v>173.58619033731011</v>
      </c>
      <c r="Q59" s="669">
        <f t="shared" ref="Q59" si="105">$Q$2+(I59/$I$2-1)*100</f>
        <v>136.46511627906978</v>
      </c>
      <c r="R59" s="669">
        <f t="shared" ref="R59" si="106">$R$2+(J59/$J$2-1)*100</f>
        <v>132.0754716981132</v>
      </c>
    </row>
    <row r="60" spans="1:47" ht="17.7">
      <c r="A60" s="665">
        <v>44866</v>
      </c>
      <c r="B60" s="666">
        <v>2022</v>
      </c>
      <c r="C60" s="666">
        <f>'57A'!G28</f>
        <v>569.0677477456336</v>
      </c>
      <c r="D60" s="666">
        <v>917.05</v>
      </c>
      <c r="E60" s="554">
        <f t="shared" ref="E60" si="107">D60/D59-1</f>
        <v>-4.0632290326292786E-2</v>
      </c>
      <c r="F60" s="666">
        <f t="shared" ref="F60" si="108">C60*D60</f>
        <v>521863.57807013328</v>
      </c>
      <c r="G60" s="666">
        <f>'57A'!I28*'61'!D60/10</f>
        <v>29689.900993764575</v>
      </c>
      <c r="H60" s="554">
        <f t="shared" ref="H60" si="109">G60/G59-1</f>
        <v>1.6596221755826868E-4</v>
      </c>
      <c r="I60" s="667">
        <f>'59'!G40</f>
        <v>1496</v>
      </c>
      <c r="J60" s="667">
        <f>'59'!H40</f>
        <v>1174</v>
      </c>
      <c r="K60" s="668">
        <f t="shared" ref="K60" si="110">((F60-F59)/F59)+K59</f>
        <v>100.62196484147103</v>
      </c>
      <c r="L60" s="668">
        <f t="shared" ref="L60" si="111">((G60-G59)/G59)+L59</f>
        <v>100.61677899811815</v>
      </c>
      <c r="M60" s="668">
        <f t="shared" ref="M60" si="112">((I60-I59)/I59)+M59</f>
        <v>100.35126151541604</v>
      </c>
      <c r="N60" s="668">
        <f t="shared" ref="N60" si="113">((J60-J59)/J59)+N59</f>
        <v>100.33538407370602</v>
      </c>
      <c r="O60" s="669">
        <f t="shared" ref="O60" si="114">$O$2+(F60/$F$2-1)*100</f>
        <v>163.6082598637027</v>
      </c>
      <c r="P60" s="669">
        <f t="shared" ref="P60" si="115">$P$2+(G60/$G$2-1)*100</f>
        <v>173.61499908639598</v>
      </c>
      <c r="Q60" s="669">
        <f t="shared" ref="Q60" si="116">$Q$2+(I60/$I$2-1)*100</f>
        <v>139.16279069767441</v>
      </c>
      <c r="R60" s="669">
        <f t="shared" ref="R60" si="117">$R$2+(J60/$J$2-1)*100</f>
        <v>138.4433962264151</v>
      </c>
    </row>
    <row r="61" spans="1:47" ht="17.7">
      <c r="A61" s="665">
        <v>44896</v>
      </c>
      <c r="B61" s="666">
        <v>2022</v>
      </c>
      <c r="C61" s="666">
        <f>'57A'!G29</f>
        <v>595.88549157881255</v>
      </c>
      <c r="D61" s="666">
        <v>875.66</v>
      </c>
      <c r="E61" s="554">
        <f t="shared" ref="E61" si="118">D61/D60-1</f>
        <v>-4.5133853115969624E-2</v>
      </c>
      <c r="F61" s="666">
        <f t="shared" ref="F61" si="119">C61*D61</f>
        <v>521793.08955590299</v>
      </c>
      <c r="G61" s="666">
        <f>'57A'!I29*'61'!D61/10</f>
        <v>29497.807600766013</v>
      </c>
      <c r="H61" s="554">
        <f t="shared" ref="H61" si="120">G61/G60-1</f>
        <v>-6.4699910262047133E-3</v>
      </c>
      <c r="I61" s="670">
        <f>'59'!G41</f>
        <v>1526.902</v>
      </c>
      <c r="J61" s="670">
        <f>'59'!H41</f>
        <v>1240.8989999999999</v>
      </c>
      <c r="K61" s="668">
        <f t="shared" ref="K61" si="121">((F61-F60)/F60)+K60</f>
        <v>100.62182977070313</v>
      </c>
      <c r="L61" s="668">
        <f t="shared" ref="L61" si="122">((G61-G60)/G60)+L60</f>
        <v>100.61030900709194</v>
      </c>
      <c r="M61" s="668">
        <f t="shared" ref="M61" si="123">((I61-I60)/I60)+M60</f>
        <v>100.37191793252835</v>
      </c>
      <c r="N61" s="668">
        <f t="shared" ref="N61" si="124">((J61-J60)/J60)+N60</f>
        <v>100.39236788971965</v>
      </c>
      <c r="O61" s="669">
        <f t="shared" ref="O61" si="125">$O$2+(F61/$F$2-1)*100</f>
        <v>163.58616117040771</v>
      </c>
      <c r="P61" s="669">
        <f t="shared" ref="P61" si="126">$P$2+(G61/$G$2-1)*100</f>
        <v>172.49171160029246</v>
      </c>
      <c r="Q61" s="669">
        <f t="shared" ref="Q61" si="127">$Q$2+(I61/$I$2-1)*100</f>
        <v>142.03739534883721</v>
      </c>
      <c r="R61" s="669">
        <f t="shared" ref="R61" si="128">$R$2+(J61/$J$2-1)*100</f>
        <v>146.33242924528301</v>
      </c>
    </row>
    <row r="62" spans="1:47" s="655" customFormat="1" ht="17.7">
      <c r="A62" s="671">
        <v>44927</v>
      </c>
      <c r="B62" s="672">
        <v>2023</v>
      </c>
      <c r="C62" s="672">
        <f>'57A'!G30</f>
        <v>581.36527935574679</v>
      </c>
      <c r="D62" s="672">
        <v>826.34</v>
      </c>
      <c r="E62" s="673">
        <f t="shared" ref="E62" si="129">D62/D61-1</f>
        <v>-5.6323230477582586E-2</v>
      </c>
      <c r="F62" s="672">
        <f>C62*D62</f>
        <v>480405.3849428278</v>
      </c>
      <c r="G62" s="672">
        <f>'57A'!I30*'61'!D62/10</f>
        <v>28494.279660073495</v>
      </c>
      <c r="H62" s="673">
        <f t="shared" ref="H62" si="130">G62/G61-1</f>
        <v>-3.4020424645608505E-2</v>
      </c>
      <c r="I62" s="674">
        <f>'59'!G42</f>
        <v>1539.2929999999999</v>
      </c>
      <c r="J62" s="674">
        <f>'59'!H42</f>
        <v>1260.5730000000001</v>
      </c>
      <c r="K62" s="675">
        <f t="shared" ref="K62" si="131">((F62-F61)/F61)+K61</f>
        <v>100.54251154008359</v>
      </c>
      <c r="L62" s="675">
        <f t="shared" ref="L62" si="132">((G62-G61)/G61)+L61</f>
        <v>100.57628858244634</v>
      </c>
      <c r="M62" s="675">
        <f t="shared" ref="M62" si="133">((I62-I61)/I61)+M61</f>
        <v>100.38003305714014</v>
      </c>
      <c r="N62" s="675">
        <f t="shared" ref="N62" si="134">((J62-J61)/J61)+N61</f>
        <v>100.40822252414195</v>
      </c>
      <c r="O62" s="676">
        <f t="shared" ref="O62" si="135">$O$2+(F62/$F$2-1)*100</f>
        <v>150.61079631252875</v>
      </c>
      <c r="P62" s="676">
        <f t="shared" ref="P62" si="136">$P$2+(G62/$G$2-1)*100</f>
        <v>166.62347032380268</v>
      </c>
      <c r="Q62" s="676">
        <f t="shared" ref="Q62" si="137">$Q$2+(I62/$I$2-1)*100</f>
        <v>143.19004651162788</v>
      </c>
      <c r="R62" s="676">
        <f t="shared" ref="R62" si="138">$R$2+(J62/$J$2-1)*100</f>
        <v>148.65247641509436</v>
      </c>
      <c r="U62" s="654"/>
      <c r="V62" s="654"/>
      <c r="W62" s="654"/>
      <c r="X62" s="654"/>
      <c r="Y62" s="654"/>
      <c r="Z62" s="654"/>
      <c r="AA62" s="654"/>
      <c r="AB62" s="654"/>
      <c r="AC62" s="654"/>
      <c r="AD62" s="654"/>
      <c r="AE62" s="654"/>
      <c r="AF62" s="654"/>
      <c r="AG62" s="654"/>
      <c r="AH62" s="654"/>
      <c r="AI62" s="654"/>
      <c r="AJ62" s="654"/>
      <c r="AK62" s="654"/>
      <c r="AL62" s="654"/>
      <c r="AM62" s="654"/>
      <c r="AN62" s="654"/>
      <c r="AO62" s="654"/>
      <c r="AP62" s="654"/>
      <c r="AQ62" s="654"/>
      <c r="AR62" s="656"/>
      <c r="AS62" s="656"/>
      <c r="AT62" s="656"/>
      <c r="AU62" s="656"/>
    </row>
    <row r="63" spans="1:47" ht="17.7">
      <c r="A63" s="665">
        <v>44958</v>
      </c>
      <c r="B63" s="666">
        <v>2023</v>
      </c>
      <c r="C63" s="666">
        <f>'57A'!G31</f>
        <v>615.18092512161468</v>
      </c>
      <c r="D63" s="666">
        <v>798.26</v>
      </c>
      <c r="E63" s="554">
        <f t="shared" ref="E63" si="139">D63/D62-1</f>
        <v>-3.3981169978459236E-2</v>
      </c>
      <c r="F63" s="666">
        <f t="shared" ref="F63" si="140">C63*D63</f>
        <v>491074.32528758014</v>
      </c>
      <c r="G63" s="666">
        <f>'57A'!I31*'61'!D63/10</f>
        <v>27629.836012114596</v>
      </c>
      <c r="H63" s="554">
        <f t="shared" ref="H63" si="141">G63/G62-1</f>
        <v>-3.033744520905246E-2</v>
      </c>
      <c r="I63" s="670">
        <f>'59'!G43</f>
        <v>1532.9649999999999</v>
      </c>
      <c r="J63" s="670">
        <f>'59'!H43</f>
        <v>1253.2049999999999</v>
      </c>
      <c r="K63" s="668">
        <f t="shared" ref="K63" si="142">((F63-F62)/F62)+K62</f>
        <v>100.56471974315363</v>
      </c>
      <c r="L63" s="668">
        <f t="shared" ref="L63" si="143">((G63-G62)/G62)+L62</f>
        <v>100.54595113723728</v>
      </c>
      <c r="M63" s="668">
        <f t="shared" ref="M63" si="144">((I63-I62)/I62)+M62</f>
        <v>100.37592207891832</v>
      </c>
      <c r="N63" s="668">
        <f t="shared" ref="N63" si="145">((J63-J62)/J62)+N62</f>
        <v>100.40237756315992</v>
      </c>
      <c r="O63" s="669">
        <f t="shared" ref="O63" si="146">$O$2+(F63/$F$2-1)*100</f>
        <v>153.95559146157825</v>
      </c>
      <c r="P63" s="669">
        <f t="shared" ref="P63" si="147">$P$2+(G63/$G$2-1)*100</f>
        <v>161.56853992231214</v>
      </c>
      <c r="Q63" s="669">
        <f t="shared" ref="Q63" si="148">$Q$2+(I63/$I$2-1)*100</f>
        <v>142.6013953488372</v>
      </c>
      <c r="R63" s="669">
        <f t="shared" ref="R63" si="149">$R$2+(J63/$J$2-1)*100</f>
        <v>147.78360849056602</v>
      </c>
    </row>
    <row r="64" spans="1:47" ht="17.7">
      <c r="A64" s="665">
        <v>44986</v>
      </c>
      <c r="B64" s="666">
        <v>2023</v>
      </c>
      <c r="C64" s="666">
        <f>'57A'!G32</f>
        <v>587.77544464920493</v>
      </c>
      <c r="D64" s="666">
        <v>809.5</v>
      </c>
      <c r="E64" s="554">
        <f t="shared" ref="E64:E66" si="150">D64/D63-1</f>
        <v>1.4080625360158416E-2</v>
      </c>
      <c r="F64" s="666">
        <f t="shared" ref="F64:F66" si="151">C64*D64</f>
        <v>475804.22244353138</v>
      </c>
      <c r="G64" s="666">
        <f>'57A'!I32*'61'!D64/10</f>
        <v>28192.695952995935</v>
      </c>
      <c r="H64" s="554">
        <f>G64/G63-1</f>
        <v>2.0371454272640088E-2</v>
      </c>
      <c r="I64" s="670">
        <f>'59'!G44</f>
        <v>1517.896</v>
      </c>
      <c r="J64" s="670">
        <f>'59'!H44</f>
        <v>1232.818</v>
      </c>
      <c r="K64" s="697">
        <f t="shared" ref="K64" si="152">((F64-F63)/F63)+K63</f>
        <v>100.53362444442241</v>
      </c>
      <c r="L64" s="668">
        <f t="shared" ref="L64" si="153">((G64-G63)/G63)+L63</f>
        <v>100.56632259150992</v>
      </c>
      <c r="M64" s="668">
        <f t="shared" ref="M64" si="154">((I64-I63)/I63)+M63</f>
        <v>100.36609210889291</v>
      </c>
      <c r="N64" s="668">
        <f t="shared" ref="N64" si="155">((J64-J63)/J63)+N63</f>
        <v>100.38610967402765</v>
      </c>
      <c r="O64" s="669">
        <f t="shared" ref="O64" si="156">$O$2+(F64/$F$2-1)*100</f>
        <v>149.16829635373907</v>
      </c>
      <c r="P64" s="669">
        <f t="shared" ref="P64" si="157">$P$2+(G64/$G$2-1)*100</f>
        <v>164.85992604523673</v>
      </c>
      <c r="Q64" s="669">
        <f t="shared" ref="Q64" si="158">$Q$2+(I64/$I$2-1)*100</f>
        <v>141.19962790697673</v>
      </c>
      <c r="R64" s="669">
        <f t="shared" ref="R64" si="159">$R$2+(J64/$J$2-1)*100</f>
        <v>145.37948113207545</v>
      </c>
    </row>
    <row r="65" spans="1:18" ht="17.7">
      <c r="A65" s="665">
        <v>45017</v>
      </c>
      <c r="B65" s="666">
        <v>2023</v>
      </c>
      <c r="C65" s="666">
        <f>'57A'!G33</f>
        <v>592.38372991334791</v>
      </c>
      <c r="D65" s="666">
        <v>803.84</v>
      </c>
      <c r="E65" s="554">
        <f t="shared" si="150"/>
        <v>-6.9919703520691101E-3</v>
      </c>
      <c r="F65" s="666">
        <f t="shared" si="151"/>
        <v>476181.73745354562</v>
      </c>
      <c r="G65" s="666">
        <f>'57A'!I33*'61'!D65/10</f>
        <v>28480.216221853323</v>
      </c>
      <c r="H65" s="554">
        <f t="shared" ref="H65:H66" si="160">G65/G64-1</f>
        <v>1.019839568861225E-2</v>
      </c>
      <c r="I65" s="670">
        <f>'59'!G45</f>
        <v>1508</v>
      </c>
      <c r="J65" s="670">
        <f>'59'!H45</f>
        <v>1220</v>
      </c>
      <c r="K65" s="697">
        <f t="shared" ref="K65:K66" si="161">((F65-F64)/F64)+K64</f>
        <v>100.53441786951662</v>
      </c>
      <c r="L65" s="668">
        <f t="shared" ref="L65:L66" si="162">((G65-G64)/G64)+L64</f>
        <v>100.57652098719853</v>
      </c>
      <c r="M65" s="668">
        <f t="shared" ref="M65:M66" si="163">((I65-I64)/I64)+M64</f>
        <v>100.35957255814635</v>
      </c>
      <c r="N65" s="668">
        <f t="shared" ref="N65:N66" si="164">((J65-J64)/J64)+N64</f>
        <v>100.37571235666206</v>
      </c>
      <c r="O65" s="669">
        <f t="shared" ref="O65:O66" si="165">$O$2+(F65/$F$2-1)*100</f>
        <v>149.28665022332558</v>
      </c>
      <c r="P65" s="669">
        <f t="shared" ref="P65:P66" si="166">$P$2+(G65/$G$2-1)*100</f>
        <v>166.54123280424142</v>
      </c>
      <c r="Q65" s="669">
        <f t="shared" ref="Q65:Q66" si="167">$Q$2+(I65/$I$2-1)*100</f>
        <v>140.27906976744185</v>
      </c>
      <c r="R65" s="669">
        <f t="shared" ref="R65:R66" si="168">$R$2+(J65/$J$2-1)*100</f>
        <v>143.8679245283019</v>
      </c>
    </row>
    <row r="66" spans="1:18" ht="17.7">
      <c r="A66" s="665">
        <v>45047</v>
      </c>
      <c r="B66" s="666">
        <v>2023</v>
      </c>
      <c r="C66" s="666">
        <f>'57A'!G34</f>
        <v>606.36459782134057</v>
      </c>
      <c r="D66" s="666">
        <v>798.64</v>
      </c>
      <c r="E66" s="554">
        <f t="shared" si="150"/>
        <v>-6.4689490445860587E-3</v>
      </c>
      <c r="F66" s="666">
        <f t="shared" si="151"/>
        <v>484267.02240403544</v>
      </c>
      <c r="G66" s="666">
        <f>'57A'!I34*'61'!D66/10</f>
        <v>28395.547348535078</v>
      </c>
      <c r="H66" s="554">
        <f t="shared" si="160"/>
        <v>-2.9729013522473702E-3</v>
      </c>
      <c r="I66" s="670">
        <f>'59'!G46</f>
        <v>1510</v>
      </c>
      <c r="J66" s="670">
        <f>'59'!H46</f>
        <v>1239</v>
      </c>
      <c r="K66" s="697">
        <f t="shared" si="161"/>
        <v>100.5513972795077</v>
      </c>
      <c r="L66" s="668">
        <f t="shared" si="162"/>
        <v>100.57354808584628</v>
      </c>
      <c r="M66" s="668">
        <f t="shared" si="163"/>
        <v>100.3608988180933</v>
      </c>
      <c r="N66" s="668">
        <f t="shared" si="164"/>
        <v>100.39128612715386</v>
      </c>
      <c r="O66" s="669">
        <f t="shared" si="165"/>
        <v>151.82144946366276</v>
      </c>
      <c r="P66" s="669">
        <f t="shared" si="166"/>
        <v>166.04612214803274</v>
      </c>
      <c r="Q66" s="669">
        <f t="shared" si="167"/>
        <v>140.46511627906978</v>
      </c>
      <c r="R66" s="669">
        <f t="shared" si="168"/>
        <v>146.10849056603774</v>
      </c>
    </row>
    <row r="67" spans="1:18" ht="17.7">
      <c r="A67" s="665">
        <v>45078</v>
      </c>
      <c r="B67" s="666">
        <v>2023</v>
      </c>
      <c r="C67" s="666">
        <f>'57A'!G35</f>
        <v>608.1794989183212</v>
      </c>
      <c r="D67" s="666">
        <v>799.87</v>
      </c>
      <c r="E67" s="554">
        <f t="shared" ref="E67" si="169">D67/D66-1</f>
        <v>1.5401182009415759E-3</v>
      </c>
      <c r="F67" s="666">
        <f t="shared" ref="F67" si="170">C67*D67</f>
        <v>486464.53579979757</v>
      </c>
      <c r="G67" s="666">
        <f>'57A'!I35*'61'!D67/10</f>
        <v>28420.212359055295</v>
      </c>
      <c r="H67" s="554">
        <f t="shared" ref="H67" si="171">G67/G66-1</f>
        <v>8.6862247159635864E-4</v>
      </c>
      <c r="I67" s="670">
        <f>'59'!G47</f>
        <v>1532.239</v>
      </c>
      <c r="J67" s="670">
        <f>'59'!H47</f>
        <v>1257.5419999999999</v>
      </c>
      <c r="K67" s="697">
        <f t="shared" ref="K67" si="172">((F67-F66)/F66)+K66</f>
        <v>100.55593509293314</v>
      </c>
      <c r="L67" s="668">
        <f t="shared" ref="L67" si="173">((G67-G66)/G66)+L66</f>
        <v>100.57441670831788</v>
      </c>
      <c r="M67" s="668">
        <f t="shared" ref="M67" si="174">((I67-I66)/I66)+M66</f>
        <v>100.37562663266284</v>
      </c>
      <c r="N67" s="668">
        <f t="shared" ref="N67" si="175">((J67-J66)/J66)+N66</f>
        <v>100.40625142174628</v>
      </c>
      <c r="O67" s="669">
        <f t="shared" ref="O67" si="176">$O$2+(F67/$F$2-1)*100</f>
        <v>152.51038687530848</v>
      </c>
      <c r="P67" s="669">
        <f t="shared" ref="P67" si="177">$P$2+(G67/$G$2-1)*100</f>
        <v>166.19035354105196</v>
      </c>
      <c r="Q67" s="669">
        <f t="shared" ref="Q67" si="178">$Q$2+(I67/$I$2-1)*100</f>
        <v>142.53386046511628</v>
      </c>
      <c r="R67" s="669">
        <f t="shared" ref="R67" si="179">$R$2+(J67/$J$2-1)*100</f>
        <v>148.29504716981131</v>
      </c>
    </row>
    <row r="68" spans="1:18" ht="17.7">
      <c r="A68" s="665">
        <v>45108</v>
      </c>
      <c r="B68" s="666">
        <v>2023</v>
      </c>
      <c r="C68" s="666">
        <f>'57A'!G36</f>
        <v>629.87171397919269</v>
      </c>
      <c r="D68" s="666">
        <v>813.4</v>
      </c>
      <c r="E68" s="554">
        <f t="shared" ref="E68" si="180">D68/D67-1</f>
        <v>1.6915248727918275E-2</v>
      </c>
      <c r="F68" s="666">
        <f t="shared" ref="F68" si="181">C68*D68</f>
        <v>512337.65215067531</v>
      </c>
      <c r="G68" s="666">
        <f>'57A'!I36*'61'!D68/10</f>
        <v>29592.215252769714</v>
      </c>
      <c r="H68" s="554">
        <f t="shared" ref="H68" si="182">G68/G67-1</f>
        <v>4.1238358070923908E-2</v>
      </c>
      <c r="I68" s="670">
        <f>'59'!G48</f>
        <v>1614</v>
      </c>
      <c r="J68" s="670">
        <f>'59'!H48</f>
        <v>1217</v>
      </c>
      <c r="K68" s="697">
        <f>((F68-F67)/F67)+K67</f>
        <v>100.60912112078682</v>
      </c>
      <c r="L68" s="668">
        <f t="shared" ref="L68" si="183">((G68-G67)/G67)+L67</f>
        <v>100.61565506638881</v>
      </c>
      <c r="M68" s="668">
        <f t="shared" ref="M68" si="184">((I68-I67)/I67)+M67</f>
        <v>100.4289871071058</v>
      </c>
      <c r="N68" s="668">
        <f t="shared" ref="N68" si="185">((J68-J67)/J67)+N67</f>
        <v>100.37401233947308</v>
      </c>
      <c r="O68" s="669">
        <f t="shared" ref="O68" si="186">$O$2+(F68/$F$2-1)*100</f>
        <v>160.62180855963487</v>
      </c>
      <c r="P68" s="669">
        <f t="shared" ref="P68" si="187">$P$2+(G68/$G$2-1)*100</f>
        <v>173.04377084831128</v>
      </c>
      <c r="Q68" s="669">
        <f t="shared" ref="Q68" si="188">$Q$2+(I68/$I$2-1)*100</f>
        <v>150.13953488372096</v>
      </c>
      <c r="R68" s="669">
        <f t="shared" ref="R68" si="189">$R$2+(J68/$J$2-1)*100</f>
        <v>143.51415094339623</v>
      </c>
    </row>
    <row r="69" spans="1:18" ht="17.7">
      <c r="A69" s="665">
        <v>45139</v>
      </c>
      <c r="B69" s="666">
        <v>2023</v>
      </c>
      <c r="C69" s="666">
        <f>'57A'!G37</f>
        <v>654.16776598657998</v>
      </c>
      <c r="D69" s="666">
        <v>855.66</v>
      </c>
      <c r="E69" s="554">
        <f t="shared" ref="E69" si="190">D69/D68-1</f>
        <v>5.1954757806737195E-2</v>
      </c>
      <c r="F69" s="666">
        <f>C69*D69</f>
        <v>559745.19064407703</v>
      </c>
      <c r="G69" s="666">
        <f>'57A'!I37*'61'!D69/10</f>
        <v>34317.485225284181</v>
      </c>
      <c r="H69" s="554">
        <f t="shared" ref="H69" si="191">G69/G68-1</f>
        <v>0.15967949449381624</v>
      </c>
      <c r="I69" s="670">
        <f>'59'!G49</f>
        <v>1606.0409999999999</v>
      </c>
      <c r="J69" s="670">
        <f>'59'!H49</f>
        <v>1243.1220000000001</v>
      </c>
      <c r="K69" s="697">
        <f t="shared" ref="K69" si="192">((F69-F68)/F68)+K68</f>
        <v>100.70165294680898</v>
      </c>
      <c r="L69" s="668">
        <f t="shared" ref="L69" si="193">((G69-G68)/G68)+L68</f>
        <v>100.77533456088263</v>
      </c>
      <c r="M69" s="668">
        <f t="shared" ref="M69" si="194">((I69-I68)/I68)+M68</f>
        <v>100.42405588033999</v>
      </c>
      <c r="N69" s="668">
        <f t="shared" ref="N69" si="195">((J69-J68)/J68)+N68</f>
        <v>100.3954765958412</v>
      </c>
      <c r="O69" s="669">
        <f>$O$2+(F69/$F$2-1)*100</f>
        <v>175.48443780463762</v>
      </c>
      <c r="P69" s="669">
        <f>$P$2+(G69/$G$2-1)*100</f>
        <v>200.67531270267341</v>
      </c>
      <c r="Q69" s="669">
        <f>$Q$2+(I69/$I$2-1)*100</f>
        <v>149.39916279069769</v>
      </c>
      <c r="R69" s="669">
        <f t="shared" ref="R69" si="196">$R$2+(J69/$J$2-1)*100</f>
        <v>146.59457547169814</v>
      </c>
    </row>
    <row r="70" spans="1:18" ht="17.7">
      <c r="A70" s="665">
        <v>45170</v>
      </c>
      <c r="B70" s="666">
        <v>2023</v>
      </c>
      <c r="C70" s="666">
        <f>'57A'!G38</f>
        <v>650.58607227601726</v>
      </c>
      <c r="D70" s="670">
        <v>884.4</v>
      </c>
      <c r="E70" s="554">
        <f>D70/D69-1</f>
        <v>3.3588107425846836E-2</v>
      </c>
      <c r="F70" s="666">
        <f>C70*D70</f>
        <v>575378.32232090971</v>
      </c>
      <c r="G70" s="666">
        <f>'57A'!I38*'61'!D70/10</f>
        <v>38169.19797758355</v>
      </c>
      <c r="H70" s="554">
        <f t="shared" ref="H70" si="197">G70/G69-1</f>
        <v>0.1122376166847312</v>
      </c>
      <c r="I70" s="670">
        <f>'59'!G50</f>
        <v>1619</v>
      </c>
      <c r="J70" s="670">
        <f>'59'!H50</f>
        <v>1276</v>
      </c>
      <c r="K70" s="697">
        <f t="shared" ref="K70" si="198">((F70-F69)/F69)+K69</f>
        <v>100.72958196154306</v>
      </c>
      <c r="L70" s="668">
        <f t="shared" ref="L70" si="199">((G70-G69)/G69)+L69</f>
        <v>100.88757217756736</v>
      </c>
      <c r="M70" s="668">
        <f t="shared" ref="M70" si="200">((I70-I69)/I69)+M69</f>
        <v>100.43212479016235</v>
      </c>
      <c r="N70" s="668">
        <f t="shared" ref="N70" si="201">((J70-J69)/J69)+N69</f>
        <v>100.42192452291513</v>
      </c>
      <c r="O70" s="669">
        <f>$O$2+(F70/$F$2-1)*100</f>
        <v>180.3855452536863</v>
      </c>
      <c r="P70" s="669">
        <f>$P$2+(G70/$G$2-1)*100</f>
        <v>223.19863152788463</v>
      </c>
      <c r="Q70" s="669">
        <f>$Q$2+(I70/$I$2-1)*100</f>
        <v>150.6046511627907</v>
      </c>
      <c r="R70" s="669">
        <f t="shared" ref="R70" si="202">$R$2+(J70/$J$2-1)*100</f>
        <v>150.47169811320754</v>
      </c>
    </row>
    <row r="71" spans="1:18" ht="17.7">
      <c r="A71" s="665">
        <v>45200</v>
      </c>
      <c r="B71" s="666">
        <v>2023</v>
      </c>
      <c r="C71" s="666">
        <f>'57A'!G39</f>
        <v>689.42998086025307</v>
      </c>
      <c r="D71" s="670">
        <v>926.35</v>
      </c>
      <c r="E71" s="554">
        <f>D71/D70-1</f>
        <v>4.7433288104929971E-2</v>
      </c>
      <c r="F71" s="666">
        <f>C71*D71</f>
        <v>638653.46276989544</v>
      </c>
      <c r="G71" s="666">
        <f>'57A'!I39*'61'!D71/10</f>
        <v>41182.232788038949</v>
      </c>
      <c r="H71" s="554">
        <f t="shared" ref="H71" si="203">G71/G70-1</f>
        <v>7.8938908075169234E-2</v>
      </c>
      <c r="I71" s="670">
        <f>'59'!G51</f>
        <v>1699.701</v>
      </c>
      <c r="J71" s="670">
        <f>'59'!H51</f>
        <v>1356.3710000000001</v>
      </c>
      <c r="K71" s="697">
        <f t="shared" ref="K71" si="204">((F71-F70)/F70)+K70</f>
        <v>100.83955332819752</v>
      </c>
      <c r="L71" s="668">
        <f t="shared" ref="L71" si="205">((G71-G70)/G70)+L70</f>
        <v>100.96651108564254</v>
      </c>
      <c r="M71" s="668">
        <f t="shared" ref="M71" si="206">((I71-I70)/I70)+M70</f>
        <v>100.48197099152121</v>
      </c>
      <c r="N71" s="668">
        <f t="shared" ref="N71" si="207">((J71-J70)/J70)+N70</f>
        <v>100.48491120003112</v>
      </c>
      <c r="O71" s="669">
        <f>$O$2+(F71/$F$2-1)*100</f>
        <v>200.22279018994567</v>
      </c>
      <c r="P71" s="669">
        <f>$P$2+(G71/$G$2-1)*100</f>
        <v>240.81768778456785</v>
      </c>
      <c r="Q71" s="669">
        <f>$Q$2+(I71/$I$2-1)*100</f>
        <v>158.11172093023256</v>
      </c>
      <c r="R71" s="669">
        <f t="shared" ref="R71" si="208">$R$2+(J71/$J$2-1)*100</f>
        <v>159.9494103773585</v>
      </c>
    </row>
    <row r="72" spans="1:18" ht="17.7">
      <c r="A72" s="665">
        <v>45231</v>
      </c>
      <c r="B72" s="666">
        <v>2023</v>
      </c>
      <c r="C72" s="666">
        <f>'57A'!G40</f>
        <v>714.01864562231378</v>
      </c>
      <c r="D72" s="667">
        <v>887</v>
      </c>
      <c r="E72" s="554">
        <f t="shared" ref="E72:E73" si="209">D72/D71-1</f>
        <v>-4.2478544826469511E-2</v>
      </c>
      <c r="F72" s="666">
        <f t="shared" ref="F72" si="210">C72*D72</f>
        <v>633334.53866699233</v>
      </c>
      <c r="G72" s="666">
        <f>'57A'!I40*'61'!D72/10</f>
        <v>39951.497322146708</v>
      </c>
      <c r="H72" s="554">
        <f t="shared" ref="H72:H73" si="211">G72/G71-1</f>
        <v>-2.9885107789728638E-2</v>
      </c>
      <c r="I72" s="670">
        <f>'59'!G52</f>
        <v>1759.376</v>
      </c>
      <c r="J72" s="670">
        <f>'59'!H52</f>
        <v>1358.972</v>
      </c>
      <c r="K72" s="697">
        <f t="shared" ref="K72" si="212">((F72-F71)/F71)+K71</f>
        <v>100.83122498675264</v>
      </c>
      <c r="L72" s="668">
        <f t="shared" ref="L72:L73" si="213">((G72-G71)/G71)+L71</f>
        <v>100.93662597785281</v>
      </c>
      <c r="M72" s="668">
        <f t="shared" ref="M72:M73" si="214">((I72-I71)/I71)+M71</f>
        <v>100.51708010777166</v>
      </c>
      <c r="N72" s="668">
        <f t="shared" ref="N72:N73" si="215">((J72-J71)/J71)+N71</f>
        <v>100.48682881696631</v>
      </c>
      <c r="O72" s="669">
        <f t="shared" ref="O72" si="216">$O$2+(F72/$F$2-1)*100</f>
        <v>198.55526642819711</v>
      </c>
      <c r="P72" s="669">
        <f t="shared" ref="P72:P73" si="217">$P$2+(G72/$G$2-1)*100</f>
        <v>233.62082522745285</v>
      </c>
      <c r="Q72" s="669">
        <f t="shared" ref="Q72:Q73" si="218">$Q$2+(I72/$I$2-1)*100</f>
        <v>163.66288372093024</v>
      </c>
      <c r="R72" s="669">
        <f t="shared" ref="R72:R73" si="219">$R$2+(J72/$J$2-1)*100</f>
        <v>160.2561320754717</v>
      </c>
    </row>
    <row r="73" spans="1:18" ht="17.7">
      <c r="A73" s="665">
        <v>45261</v>
      </c>
      <c r="B73" s="666">
        <v>2023</v>
      </c>
      <c r="C73" s="666">
        <f>'57A'!G41</f>
        <v>684.71653860158892</v>
      </c>
      <c r="D73" s="667">
        <v>875</v>
      </c>
      <c r="E73" s="554">
        <f t="shared" si="209"/>
        <v>-1.3528748590755368E-2</v>
      </c>
      <c r="F73" s="666">
        <f t="shared" ref="F73:F78" si="220">C73*D73</f>
        <v>599126.97127639025</v>
      </c>
      <c r="G73" s="666">
        <f>'57A'!I41*'61'!D73/10</f>
        <v>40383.699625324734</v>
      </c>
      <c r="H73" s="554">
        <f t="shared" si="211"/>
        <v>1.0818175341289038E-2</v>
      </c>
      <c r="I73" s="670">
        <f>'59'!G53</f>
        <v>1740.4849999999999</v>
      </c>
      <c r="J73" s="670">
        <f>'59'!H53</f>
        <v>1346.6420000000001</v>
      </c>
      <c r="K73" s="697">
        <f t="shared" ref="K73:K78" si="221">((F73-F72)/F72)+K72</f>
        <v>100.77721314103427</v>
      </c>
      <c r="L73" s="668">
        <f t="shared" si="213"/>
        <v>100.9474441531941</v>
      </c>
      <c r="M73" s="668">
        <f t="shared" si="214"/>
        <v>100.50634277817299</v>
      </c>
      <c r="N73" s="668">
        <f t="shared" si="215"/>
        <v>100.47775578234896</v>
      </c>
      <c r="O73" s="669">
        <f t="shared" ref="O73:O78" si="222">$O$2+(F73/$F$2-1)*100</f>
        <v>187.83093001130575</v>
      </c>
      <c r="P73" s="669">
        <f t="shared" si="217"/>
        <v>236.14817627814006</v>
      </c>
      <c r="Q73" s="669">
        <f t="shared" si="218"/>
        <v>161.90558139534883</v>
      </c>
      <c r="R73" s="669">
        <f t="shared" si="219"/>
        <v>158.80212264150944</v>
      </c>
    </row>
    <row r="74" spans="1:18" ht="17.7">
      <c r="A74" s="665">
        <v>45292</v>
      </c>
      <c r="B74" s="666">
        <v>2024</v>
      </c>
      <c r="C74" s="666">
        <f>'57A'!G42</f>
        <v>683.13833141429575</v>
      </c>
      <c r="D74" s="670">
        <v>907.99</v>
      </c>
      <c r="E74" s="554">
        <f t="shared" ref="E74:E76" si="223">D74/D73-1</f>
        <v>3.770285714285726E-2</v>
      </c>
      <c r="F74" s="666">
        <f t="shared" si="220"/>
        <v>620282.77354086644</v>
      </c>
      <c r="G74" s="666">
        <f>'57A'!I42*'61'!D74/10</f>
        <v>42620.824815217391</v>
      </c>
      <c r="H74" s="554">
        <f t="shared" ref="H74:H75" si="224">G74/G73-1</f>
        <v>5.539673706590631E-2</v>
      </c>
      <c r="I74" s="670">
        <f>'59'!G54</f>
        <v>1746.952</v>
      </c>
      <c r="J74" s="670">
        <f>'59'!H54</f>
        <v>1342.7860000000001</v>
      </c>
      <c r="K74" s="697">
        <f t="shared" si="221"/>
        <v>100.81252419074282</v>
      </c>
      <c r="L74" s="668">
        <f t="shared" ref="L74:L75" si="225">((G74-G73)/G73)+L73</f>
        <v>101.00284089026</v>
      </c>
      <c r="M74" s="668">
        <f t="shared" ref="M74:M75" si="226">((I74-I73)/I73)+M73</f>
        <v>100.51005840916091</v>
      </c>
      <c r="N74" s="668">
        <f t="shared" ref="N74:N75" si="227">((J74-J73)/J73)+N73</f>
        <v>100.47489236356357</v>
      </c>
      <c r="O74" s="669">
        <f t="shared" si="222"/>
        <v>194.46343731773894</v>
      </c>
      <c r="P74" s="669">
        <f t="shared" ref="P74:P75" si="228">$P$2+(G74/$G$2-1)*100</f>
        <v>249.2300147080135</v>
      </c>
      <c r="Q74" s="669">
        <f t="shared" ref="Q74:Q75" si="229">$Q$2+(I74/$I$2-1)*100</f>
        <v>162.50716279069769</v>
      </c>
      <c r="R74" s="669">
        <f t="shared" ref="R74:R75" si="230">$R$2+(J74/$J$2-1)*100</f>
        <v>158.34740566037738</v>
      </c>
    </row>
    <row r="75" spans="1:18" ht="17.7">
      <c r="A75" s="665">
        <v>45323</v>
      </c>
      <c r="B75" s="666">
        <v>2024</v>
      </c>
      <c r="C75" s="666">
        <f>'57A'!G43</f>
        <v>726.40336317265451</v>
      </c>
      <c r="D75" s="670">
        <v>963.44</v>
      </c>
      <c r="E75" s="554">
        <f t="shared" si="223"/>
        <v>6.106895450390426E-2</v>
      </c>
      <c r="F75" s="666">
        <f t="shared" si="220"/>
        <v>699846.05621506227</v>
      </c>
      <c r="G75" s="666">
        <f>'57A'!I43*'61'!D75/10</f>
        <v>42240.053861383079</v>
      </c>
      <c r="H75" s="554">
        <f t="shared" si="224"/>
        <v>-8.9339179963114912E-3</v>
      </c>
      <c r="I75" s="670">
        <f>'59'!G55</f>
        <v>1731.751</v>
      </c>
      <c r="J75" s="670">
        <f>'59'!H55</f>
        <v>1362.027</v>
      </c>
      <c r="K75" s="697">
        <f t="shared" si="221"/>
        <v>100.94079356411267</v>
      </c>
      <c r="L75" s="668">
        <f t="shared" si="225"/>
        <v>100.99390697226369</v>
      </c>
      <c r="M75" s="668">
        <f t="shared" si="226"/>
        <v>100.50135696802228</v>
      </c>
      <c r="N75" s="668">
        <f t="shared" si="227"/>
        <v>100.48922152695967</v>
      </c>
      <c r="O75" s="669">
        <f t="shared" si="222"/>
        <v>219.4071405658313</v>
      </c>
      <c r="P75" s="669">
        <f t="shared" si="228"/>
        <v>247.0034141943926</v>
      </c>
      <c r="Q75" s="669">
        <f t="shared" si="229"/>
        <v>161.09311627906976</v>
      </c>
      <c r="R75" s="669">
        <f t="shared" si="230"/>
        <v>160.61639150943398</v>
      </c>
    </row>
    <row r="76" spans="1:18" ht="17.7">
      <c r="A76" s="665">
        <v>45352</v>
      </c>
      <c r="B76" s="666">
        <v>2024</v>
      </c>
      <c r="C76" s="666">
        <f>'57A'!G44</f>
        <v>748.48790539399999</v>
      </c>
      <c r="D76" s="670">
        <v>967.93</v>
      </c>
      <c r="E76" s="554">
        <f t="shared" si="223"/>
        <v>4.6603836253424902E-3</v>
      </c>
      <c r="F76" s="666">
        <f t="shared" si="220"/>
        <v>724483.89826801443</v>
      </c>
      <c r="G76" s="666">
        <f>'57A'!I44*'61'!D76/10</f>
        <v>40617.623737369744</v>
      </c>
      <c r="H76" s="554">
        <f t="shared" ref="H76" si="231">G76/G75-1</f>
        <v>-3.8409755094952702E-2</v>
      </c>
      <c r="I76" s="670">
        <f>'59'!G56</f>
        <v>1809.8589999999999</v>
      </c>
      <c r="J76" s="670">
        <f>'59'!H56</f>
        <v>1449.0350000000001</v>
      </c>
      <c r="K76" s="697">
        <f t="shared" si="221"/>
        <v>100.97599822352905</v>
      </c>
      <c r="L76" s="668">
        <f t="shared" ref="L76" si="232">((G76-G75)/G75)+L75</f>
        <v>100.95549721716874</v>
      </c>
      <c r="M76" s="668">
        <f t="shared" ref="M76" si="233">((I76-I75)/I75)+M75</f>
        <v>100.54646044998937</v>
      </c>
      <c r="N76" s="668">
        <f t="shared" ref="N76" si="234">((J76-J75)/J75)+N75</f>
        <v>100.55310278628859</v>
      </c>
      <c r="O76" s="669">
        <f t="shared" si="222"/>
        <v>227.13129422297447</v>
      </c>
      <c r="P76" s="669">
        <f t="shared" ref="P76" si="235">$P$2+(G76/$G$2-1)*100</f>
        <v>237.51607354756879</v>
      </c>
      <c r="Q76" s="669">
        <f t="shared" ref="Q76" si="236">$Q$2+(I76/$I$2-1)*100</f>
        <v>168.35897674418601</v>
      </c>
      <c r="R76" s="669">
        <f t="shared" ref="R76" si="237">$R$2+(J76/$J$2-1)*100</f>
        <v>170.87676886792454</v>
      </c>
    </row>
    <row r="77" spans="1:18" ht="17.7">
      <c r="A77" s="665">
        <v>45383</v>
      </c>
      <c r="B77" s="666">
        <v>2024</v>
      </c>
      <c r="C77" s="666">
        <f>'57A'!G45</f>
        <v>761.40733662423781</v>
      </c>
      <c r="D77" s="670">
        <v>960.14</v>
      </c>
      <c r="E77" s="554">
        <f t="shared" ref="E77" si="238">D77/D76-1</f>
        <v>-8.0481026520512478E-3</v>
      </c>
      <c r="F77" s="666">
        <f t="shared" si="220"/>
        <v>731057.64018639573</v>
      </c>
      <c r="G77" s="666">
        <f>'57A'!I45*'61'!D77/10</f>
        <v>40864.829471556892</v>
      </c>
      <c r="H77" s="554">
        <f t="shared" ref="H77" si="239">G77/G76-1</f>
        <v>6.08616928911343E-3</v>
      </c>
      <c r="I77" s="670">
        <f>'59'!G57</f>
        <v>1908.271</v>
      </c>
      <c r="J77" s="670">
        <f>'59'!H57</f>
        <v>1496.7629999999999</v>
      </c>
      <c r="K77" s="697">
        <f t="shared" si="221"/>
        <v>100.98507191299834</v>
      </c>
      <c r="L77" s="668">
        <f t="shared" ref="L77" si="240">((G77-G76)/G76)+L76</f>
        <v>100.96158338645786</v>
      </c>
      <c r="M77" s="668">
        <f t="shared" ref="M77" si="241">((I77-I76)/I76)+M76</f>
        <v>100.60083595658961</v>
      </c>
      <c r="N77" s="668">
        <f t="shared" ref="N77" si="242">((J77-J76)/J76)+N76</f>
        <v>100.58604056901986</v>
      </c>
      <c r="O77" s="669">
        <f t="shared" si="222"/>
        <v>229.19221305551062</v>
      </c>
      <c r="P77" s="669">
        <f t="shared" ref="P77" si="243">$P$2+(G77/$G$2-1)*100</f>
        <v>238.96163658006486</v>
      </c>
      <c r="Q77" s="669">
        <f t="shared" ref="Q77" si="244">$Q$2+(I77/$I$2-1)*100</f>
        <v>177.51358139534884</v>
      </c>
      <c r="R77" s="669">
        <f t="shared" ref="R77" si="245">$R$2+(J77/$J$2-1)*100</f>
        <v>176.50507075471697</v>
      </c>
    </row>
    <row r="78" spans="1:18" ht="17.7">
      <c r="A78" s="665">
        <v>45413</v>
      </c>
      <c r="B78" s="666">
        <v>2024</v>
      </c>
      <c r="C78" s="666">
        <f>'57A'!G46</f>
        <v>777.74318582916635</v>
      </c>
      <c r="D78" s="670">
        <f>'57B'!K46</f>
        <v>917.88</v>
      </c>
      <c r="E78" s="554">
        <f t="shared" ref="E78" si="246">D78/D77-1</f>
        <v>-4.4014414564542692E-2</v>
      </c>
      <c r="F78" s="666">
        <f t="shared" si="220"/>
        <v>713874.91540887521</v>
      </c>
      <c r="G78" s="666">
        <f>'57A'!I46*'61'!D78/10</f>
        <v>41884.702875108385</v>
      </c>
      <c r="H78" s="554">
        <f t="shared" ref="H78" si="247">G78/G77-1</f>
        <v>2.4957241146970954E-2</v>
      </c>
      <c r="I78" s="670">
        <f>'59'!G58</f>
        <v>2001</v>
      </c>
      <c r="J78" s="670">
        <f>'59'!H58</f>
        <v>1606</v>
      </c>
      <c r="K78" s="697">
        <f t="shared" si="221"/>
        <v>100.96156798686039</v>
      </c>
      <c r="L78" s="668">
        <f t="shared" ref="L78" si="248">((G78-G77)/G77)+L77</f>
        <v>100.98654062760482</v>
      </c>
      <c r="M78" s="668">
        <f t="shared" ref="M78" si="249">((I78-I77)/I77)+M77</f>
        <v>100.64942915954663</v>
      </c>
      <c r="N78" s="668">
        <f t="shared" ref="N78" si="250">((J78-J77)/J77)+N77</f>
        <v>100.65902273119249</v>
      </c>
      <c r="O78" s="669">
        <f t="shared" si="222"/>
        <v>223.80529620846204</v>
      </c>
      <c r="P78" s="669">
        <f t="shared" ref="P78" si="251">$P$2+(G78/$G$2-1)*100</f>
        <v>244.9254597690684</v>
      </c>
      <c r="Q78" s="669">
        <f t="shared" ref="Q78" si="252">$Q$2+(I78/$I$2-1)*100</f>
        <v>186.13953488372093</v>
      </c>
      <c r="R78" s="669">
        <f t="shared" ref="R78" si="253">$R$2+(J78/$J$2-1)*100</f>
        <v>189.38679245283021</v>
      </c>
    </row>
    <row r="79" spans="1:18" ht="17.7">
      <c r="A79" s="665">
        <v>45444</v>
      </c>
      <c r="B79" s="666">
        <v>2024</v>
      </c>
      <c r="C79" s="666">
        <f>'57A'!G47</f>
        <v>803.73413849694009</v>
      </c>
      <c r="D79" s="670">
        <f>'57B'!K47</f>
        <v>926.08</v>
      </c>
      <c r="E79" s="554">
        <f>D79/D78-1</f>
        <v>8.9336296683661942E-3</v>
      </c>
      <c r="F79" s="666">
        <f t="shared" ref="F79" si="254">C79*D79</f>
        <v>744322.11097924632</v>
      </c>
      <c r="G79" s="666">
        <f>'57A'!I47*'61'!D79/10</f>
        <v>43070.180112969792</v>
      </c>
      <c r="H79" s="554">
        <f t="shared" ref="H79" si="255">G79/G78-1</f>
        <v>2.8303346006685492E-2</v>
      </c>
      <c r="I79" s="670">
        <f>'59'!G59</f>
        <v>2081</v>
      </c>
      <c r="J79" s="670">
        <f>'59'!H59</f>
        <v>1668</v>
      </c>
      <c r="K79" s="697">
        <f t="shared" ref="K79" si="256">((F79-F78)/F78)+K78</f>
        <v>101.00421858980661</v>
      </c>
      <c r="L79" s="668">
        <f t="shared" ref="L79" si="257">((G79-G78)/G78)+L78</f>
        <v>101.01484397361151</v>
      </c>
      <c r="M79" s="668">
        <f t="shared" ref="M79" si="258">((I79-I78)/I78)+M78</f>
        <v>100.68940916954163</v>
      </c>
      <c r="N79" s="668">
        <f t="shared" ref="N79" si="259">((J79-J78)/J78)+N78</f>
        <v>100.69762796157855</v>
      </c>
      <c r="O79" s="669">
        <f t="shared" ref="O79" si="260">$O$2+(F79/$F$2-1)*100</f>
        <v>233.35072703431058</v>
      </c>
      <c r="P79" s="669">
        <f t="shared" ref="P79" si="261">$P$2+(G79/$G$2-1)*100</f>
        <v>251.85766980275886</v>
      </c>
      <c r="Q79" s="669">
        <f t="shared" ref="Q79" si="262">$Q$2+(I79/$I$2-1)*100</f>
        <v>193.58139534883719</v>
      </c>
      <c r="R79" s="669">
        <f t="shared" ref="R79" si="263">$R$2+(J79/$J$2-1)*100</f>
        <v>196.69811320754718</v>
      </c>
    </row>
    <row r="80" spans="1:18" ht="17.7">
      <c r="A80" s="667"/>
      <c r="B80" s="667"/>
      <c r="C80" s="667"/>
      <c r="D80" s="667"/>
      <c r="E80" s="667"/>
      <c r="F80" s="667"/>
      <c r="G80" s="667"/>
      <c r="H80" s="667"/>
      <c r="I80" s="667"/>
      <c r="J80" s="667"/>
      <c r="K80" s="667"/>
      <c r="L80" s="667"/>
      <c r="M80" s="667"/>
      <c r="N80" s="667"/>
    </row>
    <row r="81" spans="1:14" ht="17.7">
      <c r="A81" s="667"/>
      <c r="B81" s="667"/>
      <c r="C81" s="667"/>
      <c r="D81" s="667"/>
      <c r="E81" s="667"/>
      <c r="F81" s="667"/>
      <c r="G81" s="667"/>
      <c r="H81" s="667"/>
      <c r="I81" s="667"/>
      <c r="J81" s="667"/>
      <c r="K81" s="667"/>
      <c r="L81" s="667"/>
      <c r="M81" s="667"/>
      <c r="N81" s="667"/>
    </row>
    <row r="82" spans="1:14" ht="17.7">
      <c r="A82" s="667"/>
      <c r="B82" s="667"/>
      <c r="C82" s="667"/>
      <c r="D82" s="667"/>
      <c r="E82" s="667"/>
      <c r="F82" s="667"/>
      <c r="G82" s="667"/>
      <c r="H82" s="667"/>
      <c r="I82" s="667"/>
      <c r="J82" s="667"/>
      <c r="K82" s="667"/>
      <c r="L82" s="667"/>
      <c r="M82" s="667"/>
      <c r="N82" s="667"/>
    </row>
    <row r="83" spans="1:14" ht="17.7">
      <c r="A83" s="667"/>
      <c r="B83" s="667"/>
      <c r="C83" s="667"/>
      <c r="D83" s="667"/>
      <c r="E83" s="667"/>
      <c r="F83" s="667"/>
      <c r="G83" s="667"/>
      <c r="H83" s="667"/>
      <c r="I83" s="667"/>
      <c r="J83" s="667"/>
      <c r="K83" s="667"/>
      <c r="L83" s="667"/>
      <c r="M83" s="667"/>
      <c r="N83" s="667"/>
    </row>
    <row r="84" spans="1:14" ht="17.7">
      <c r="A84" s="667"/>
      <c r="B84" s="667"/>
      <c r="C84" s="667"/>
      <c r="D84" s="667"/>
      <c r="E84" s="667"/>
      <c r="F84" s="667"/>
      <c r="G84" s="667"/>
      <c r="H84" s="667"/>
      <c r="I84" s="667"/>
      <c r="J84" s="667"/>
      <c r="K84" s="667"/>
      <c r="L84" s="667"/>
      <c r="M84" s="667"/>
      <c r="N84" s="667"/>
    </row>
    <row r="85" spans="1:14" ht="17.7">
      <c r="A85" s="667"/>
      <c r="B85" s="667"/>
      <c r="C85" s="667"/>
      <c r="D85" s="667"/>
      <c r="E85" s="667"/>
      <c r="F85" s="667"/>
      <c r="G85" s="667"/>
      <c r="H85" s="667"/>
      <c r="I85" s="667"/>
      <c r="J85" s="667"/>
      <c r="K85" s="667"/>
      <c r="L85" s="667"/>
      <c r="M85" s="667"/>
      <c r="N85" s="667"/>
    </row>
    <row r="86" spans="1:14" ht="17.7">
      <c r="A86" s="667"/>
      <c r="B86" s="667"/>
      <c r="C86" s="667"/>
      <c r="D86" s="667"/>
      <c r="E86" s="667"/>
      <c r="F86" s="667"/>
      <c r="G86" s="667"/>
      <c r="H86" s="667"/>
      <c r="I86" s="667"/>
      <c r="J86" s="667"/>
      <c r="K86" s="667"/>
      <c r="L86" s="667"/>
      <c r="M86" s="667"/>
      <c r="N86" s="667"/>
    </row>
    <row r="87" spans="1:14" ht="17.7">
      <c r="A87" s="667"/>
      <c r="B87" s="667"/>
      <c r="C87" s="667"/>
      <c r="D87" s="667"/>
      <c r="E87" s="667"/>
      <c r="F87" s="667"/>
      <c r="G87" s="667"/>
      <c r="H87" s="667"/>
      <c r="I87" s="667"/>
      <c r="J87" s="667"/>
      <c r="K87" s="667"/>
      <c r="L87" s="667"/>
      <c r="M87" s="667"/>
      <c r="N87" s="667"/>
    </row>
    <row r="88" spans="1:14" ht="17.7">
      <c r="A88" s="667"/>
      <c r="B88" s="667"/>
      <c r="C88" s="667"/>
      <c r="D88" s="667"/>
      <c r="E88" s="667"/>
      <c r="F88" s="667"/>
      <c r="G88" s="667"/>
      <c r="H88" s="667"/>
      <c r="I88" s="667"/>
      <c r="J88" s="667"/>
      <c r="K88" s="667"/>
      <c r="L88" s="667"/>
      <c r="M88" s="667"/>
      <c r="N88" s="667"/>
    </row>
    <row r="89" spans="1:14" ht="17.7">
      <c r="A89" s="667"/>
      <c r="B89" s="667"/>
      <c r="C89" s="667"/>
      <c r="D89" s="667"/>
      <c r="E89" s="667"/>
      <c r="F89" s="667"/>
      <c r="G89" s="667"/>
      <c r="H89" s="667"/>
      <c r="I89" s="667"/>
      <c r="J89" s="667"/>
      <c r="K89" s="667"/>
      <c r="L89" s="667"/>
      <c r="M89" s="667"/>
      <c r="N89" s="667"/>
    </row>
    <row r="90" spans="1:14" ht="17.7">
      <c r="A90" s="667"/>
      <c r="B90" s="667"/>
      <c r="C90" s="667"/>
      <c r="D90" s="667"/>
      <c r="E90" s="667"/>
      <c r="F90" s="667"/>
      <c r="G90" s="667"/>
      <c r="H90" s="667"/>
      <c r="I90" s="667"/>
      <c r="J90" s="667"/>
      <c r="K90" s="667"/>
      <c r="L90" s="667"/>
      <c r="M90" s="667"/>
      <c r="N90" s="667"/>
    </row>
    <row r="91" spans="1:14" ht="17.7">
      <c r="A91" s="667"/>
      <c r="B91" s="667"/>
      <c r="C91" s="667"/>
      <c r="D91" s="667"/>
      <c r="E91" s="667"/>
      <c r="F91" s="667"/>
      <c r="G91" s="667"/>
      <c r="H91" s="667"/>
      <c r="I91" s="667"/>
      <c r="J91" s="667"/>
      <c r="K91" s="667"/>
      <c r="L91" s="667"/>
      <c r="M91" s="667"/>
      <c r="N91" s="667"/>
    </row>
    <row r="92" spans="1:14" ht="17.7">
      <c r="A92" s="667"/>
      <c r="B92" s="667"/>
      <c r="C92" s="667"/>
      <c r="D92" s="667"/>
      <c r="E92" s="667"/>
      <c r="F92" s="667"/>
      <c r="G92" s="667"/>
      <c r="H92" s="667"/>
      <c r="I92" s="667"/>
      <c r="J92" s="667"/>
      <c r="K92" s="667"/>
      <c r="L92" s="667"/>
      <c r="M92" s="667"/>
      <c r="N92" s="667"/>
    </row>
    <row r="93" spans="1:14" ht="17.7">
      <c r="A93" s="667"/>
      <c r="B93" s="667"/>
      <c r="C93" s="667"/>
      <c r="D93" s="667"/>
      <c r="E93" s="667"/>
      <c r="F93" s="667"/>
      <c r="G93" s="667"/>
      <c r="H93" s="667"/>
      <c r="I93" s="667"/>
      <c r="J93" s="667"/>
      <c r="K93" s="667"/>
      <c r="L93" s="667"/>
      <c r="M93" s="667"/>
      <c r="N93" s="667"/>
    </row>
    <row r="94" spans="1:14" ht="17.7">
      <c r="A94" s="667"/>
      <c r="B94" s="667"/>
      <c r="C94" s="667"/>
      <c r="D94" s="667"/>
      <c r="E94" s="667"/>
      <c r="F94" s="667"/>
      <c r="G94" s="667"/>
      <c r="H94" s="667"/>
      <c r="I94" s="667"/>
      <c r="J94" s="667"/>
      <c r="K94" s="667"/>
      <c r="L94" s="667"/>
      <c r="M94" s="667"/>
      <c r="N94" s="667"/>
    </row>
    <row r="95" spans="1:14" ht="17.7">
      <c r="A95" s="667"/>
      <c r="B95" s="667"/>
      <c r="C95" s="667"/>
      <c r="D95" s="667"/>
      <c r="E95" s="667"/>
      <c r="F95" s="667"/>
      <c r="G95" s="667"/>
      <c r="H95" s="667"/>
      <c r="I95" s="667"/>
      <c r="J95" s="667"/>
      <c r="K95" s="667"/>
      <c r="L95" s="667"/>
      <c r="M95" s="667"/>
      <c r="N95" s="667"/>
    </row>
    <row r="96" spans="1:14" ht="17.7">
      <c r="A96" s="667"/>
      <c r="B96" s="667"/>
      <c r="C96" s="667"/>
      <c r="D96" s="667"/>
      <c r="E96" s="667"/>
      <c r="F96" s="667"/>
      <c r="G96" s="667"/>
      <c r="H96" s="667"/>
      <c r="I96" s="667"/>
      <c r="J96" s="667"/>
      <c r="K96" s="667"/>
      <c r="L96" s="667"/>
      <c r="M96" s="667"/>
      <c r="N96" s="667"/>
    </row>
    <row r="97" spans="1:14" ht="17.7">
      <c r="A97" s="667"/>
      <c r="B97" s="667"/>
      <c r="C97" s="667"/>
      <c r="D97" s="667"/>
      <c r="E97" s="667"/>
      <c r="F97" s="667"/>
      <c r="G97" s="667"/>
      <c r="H97" s="667"/>
      <c r="I97" s="667"/>
      <c r="J97" s="667"/>
      <c r="K97" s="667"/>
      <c r="L97" s="667"/>
      <c r="M97" s="667"/>
      <c r="N97" s="667"/>
    </row>
    <row r="98" spans="1:14" ht="17.7">
      <c r="A98" s="667"/>
      <c r="B98" s="667"/>
      <c r="C98" s="667"/>
      <c r="D98" s="667"/>
      <c r="E98" s="667"/>
      <c r="F98" s="667"/>
      <c r="G98" s="667"/>
      <c r="H98" s="667"/>
      <c r="I98" s="667"/>
      <c r="J98" s="667"/>
      <c r="K98" s="667"/>
      <c r="L98" s="667"/>
      <c r="M98" s="667"/>
      <c r="N98" s="667"/>
    </row>
    <row r="99" spans="1:14" ht="17.7">
      <c r="A99" s="667"/>
      <c r="B99" s="667"/>
      <c r="C99" s="667"/>
      <c r="D99" s="667"/>
      <c r="E99" s="667"/>
      <c r="F99" s="667"/>
      <c r="G99" s="667"/>
      <c r="H99" s="667"/>
      <c r="I99" s="667"/>
      <c r="J99" s="667"/>
      <c r="K99" s="667"/>
      <c r="L99" s="667"/>
      <c r="M99" s="667"/>
      <c r="N99" s="667"/>
    </row>
    <row r="100" spans="1:14" ht="17.7">
      <c r="A100" s="667"/>
      <c r="B100" s="667"/>
      <c r="C100" s="667"/>
      <c r="D100" s="667"/>
      <c r="E100" s="667"/>
      <c r="F100" s="667"/>
      <c r="G100" s="667"/>
      <c r="H100" s="667"/>
      <c r="I100" s="667"/>
      <c r="J100" s="667"/>
      <c r="K100" s="667"/>
      <c r="L100" s="667"/>
      <c r="M100" s="667"/>
      <c r="N100" s="667"/>
    </row>
    <row r="101" spans="1:14" ht="17.7">
      <c r="A101" s="667"/>
      <c r="B101" s="667"/>
      <c r="C101" s="667"/>
      <c r="D101" s="667"/>
      <c r="E101" s="667"/>
      <c r="F101" s="667"/>
      <c r="G101" s="667"/>
      <c r="H101" s="667"/>
      <c r="I101" s="667"/>
      <c r="J101" s="667"/>
      <c r="K101" s="667"/>
      <c r="L101" s="667"/>
      <c r="M101" s="667"/>
      <c r="N101" s="667"/>
    </row>
    <row r="102" spans="1:14" ht="17.7">
      <c r="A102" s="667"/>
      <c r="B102" s="667"/>
      <c r="C102" s="667"/>
      <c r="D102" s="667"/>
      <c r="E102" s="667"/>
      <c r="F102" s="667"/>
      <c r="G102" s="667"/>
      <c r="H102" s="667"/>
      <c r="I102" s="667"/>
      <c r="J102" s="667"/>
      <c r="K102" s="667"/>
      <c r="L102" s="667"/>
      <c r="M102" s="667"/>
      <c r="N102" s="667"/>
    </row>
    <row r="103" spans="1:14" ht="17.7">
      <c r="A103" s="667"/>
      <c r="B103" s="667"/>
      <c r="C103" s="667"/>
      <c r="D103" s="667"/>
      <c r="E103" s="667"/>
      <c r="F103" s="667"/>
      <c r="G103" s="667"/>
      <c r="H103" s="667"/>
      <c r="I103" s="667"/>
      <c r="J103" s="667"/>
      <c r="K103" s="667"/>
      <c r="L103" s="667"/>
      <c r="M103" s="667"/>
      <c r="N103" s="667"/>
    </row>
    <row r="104" spans="1:14" ht="17.7">
      <c r="A104" s="667"/>
      <c r="B104" s="667"/>
      <c r="C104" s="667"/>
      <c r="D104" s="667"/>
      <c r="E104" s="667"/>
      <c r="F104" s="667"/>
      <c r="G104" s="667"/>
      <c r="H104" s="667"/>
      <c r="I104" s="667"/>
      <c r="J104" s="667"/>
      <c r="K104" s="667"/>
      <c r="L104" s="667"/>
      <c r="M104" s="667"/>
      <c r="N104" s="667"/>
    </row>
    <row r="105" spans="1:14" ht="17.7">
      <c r="A105" s="667"/>
      <c r="B105" s="667"/>
      <c r="C105" s="667"/>
      <c r="D105" s="667"/>
      <c r="E105" s="667"/>
      <c r="F105" s="667"/>
      <c r="G105" s="667"/>
      <c r="H105" s="667"/>
      <c r="I105" s="667"/>
      <c r="J105" s="667"/>
      <c r="K105" s="667"/>
      <c r="L105" s="667"/>
      <c r="M105" s="667"/>
      <c r="N105" s="667"/>
    </row>
    <row r="106" spans="1:14" ht="17.7">
      <c r="A106" s="667"/>
      <c r="B106" s="667"/>
      <c r="C106" s="667"/>
      <c r="D106" s="667"/>
      <c r="E106" s="667"/>
      <c r="F106" s="667"/>
      <c r="G106" s="667"/>
      <c r="H106" s="667"/>
      <c r="I106" s="667"/>
      <c r="J106" s="667"/>
      <c r="K106" s="667"/>
      <c r="L106" s="667"/>
      <c r="M106" s="667"/>
      <c r="N106" s="667"/>
    </row>
    <row r="107" spans="1:14" ht="17.7">
      <c r="A107" s="667"/>
      <c r="B107" s="667"/>
      <c r="C107" s="667"/>
      <c r="D107" s="667"/>
      <c r="E107" s="667"/>
      <c r="F107" s="667"/>
      <c r="G107" s="667"/>
      <c r="H107" s="667"/>
      <c r="I107" s="667"/>
      <c r="J107" s="667"/>
      <c r="K107" s="667"/>
      <c r="L107" s="667"/>
      <c r="M107" s="667"/>
      <c r="N107" s="667"/>
    </row>
    <row r="108" spans="1:14" ht="17.7">
      <c r="A108" s="667"/>
      <c r="B108" s="667"/>
      <c r="C108" s="667"/>
      <c r="D108" s="667"/>
      <c r="E108" s="667"/>
      <c r="F108" s="667"/>
      <c r="G108" s="667"/>
      <c r="H108" s="667"/>
      <c r="I108" s="667"/>
      <c r="J108" s="667"/>
      <c r="K108" s="667"/>
      <c r="L108" s="667"/>
      <c r="M108" s="667"/>
      <c r="N108" s="667"/>
    </row>
    <row r="109" spans="1:14" ht="17.7">
      <c r="A109" s="667"/>
      <c r="B109" s="667"/>
      <c r="C109" s="667"/>
      <c r="D109" s="667"/>
      <c r="E109" s="667"/>
      <c r="F109" s="667"/>
      <c r="G109" s="667"/>
      <c r="H109" s="667"/>
      <c r="I109" s="667"/>
      <c r="J109" s="667"/>
      <c r="K109" s="667"/>
      <c r="L109" s="667"/>
      <c r="M109" s="667"/>
      <c r="N109" s="667"/>
    </row>
    <row r="110" spans="1:14" ht="17.7">
      <c r="A110" s="667"/>
      <c r="B110" s="667"/>
      <c r="C110" s="667"/>
      <c r="D110" s="667"/>
      <c r="E110" s="667"/>
      <c r="F110" s="667"/>
      <c r="G110" s="667"/>
      <c r="H110" s="667"/>
      <c r="I110" s="667"/>
      <c r="J110" s="667"/>
      <c r="K110" s="667"/>
      <c r="L110" s="667"/>
      <c r="M110" s="667"/>
      <c r="N110" s="667"/>
    </row>
    <row r="111" spans="1:14" ht="17.7">
      <c r="A111" s="667"/>
      <c r="B111" s="667"/>
      <c r="C111" s="667"/>
      <c r="D111" s="667"/>
      <c r="E111" s="667"/>
      <c r="F111" s="667"/>
      <c r="G111" s="667"/>
      <c r="H111" s="667"/>
      <c r="I111" s="667"/>
      <c r="J111" s="667"/>
      <c r="K111" s="667"/>
      <c r="L111" s="667"/>
      <c r="M111" s="667"/>
      <c r="N111" s="667"/>
    </row>
    <row r="112" spans="1:14" ht="17.7">
      <c r="A112" s="667"/>
      <c r="B112" s="667"/>
      <c r="C112" s="667"/>
      <c r="D112" s="667"/>
      <c r="E112" s="667"/>
      <c r="F112" s="667"/>
      <c r="G112" s="667"/>
      <c r="H112" s="667"/>
      <c r="I112" s="667"/>
      <c r="J112" s="667"/>
      <c r="K112" s="667"/>
      <c r="L112" s="667"/>
      <c r="M112" s="667"/>
      <c r="N112" s="667"/>
    </row>
    <row r="113" spans="1:14" ht="17.7">
      <c r="A113" s="667"/>
      <c r="B113" s="667"/>
      <c r="C113" s="667"/>
      <c r="D113" s="667"/>
      <c r="E113" s="667"/>
      <c r="F113" s="667"/>
      <c r="G113" s="667"/>
      <c r="H113" s="667"/>
      <c r="I113" s="667"/>
      <c r="J113" s="667"/>
      <c r="K113" s="667"/>
      <c r="L113" s="667"/>
      <c r="M113" s="667"/>
      <c r="N113" s="667"/>
    </row>
    <row r="114" spans="1:14" ht="17.7">
      <c r="A114" s="667"/>
      <c r="B114" s="667"/>
      <c r="C114" s="667"/>
      <c r="D114" s="667"/>
      <c r="E114" s="667"/>
      <c r="F114" s="667"/>
      <c r="G114" s="667"/>
      <c r="H114" s="667"/>
      <c r="I114" s="667"/>
      <c r="J114" s="667"/>
      <c r="K114" s="667"/>
      <c r="L114" s="667"/>
      <c r="M114" s="667"/>
      <c r="N114" s="667"/>
    </row>
    <row r="115" spans="1:14" ht="17.7">
      <c r="A115" s="667"/>
      <c r="B115" s="667"/>
      <c r="C115" s="667"/>
      <c r="D115" s="667"/>
      <c r="E115" s="667"/>
      <c r="F115" s="667"/>
      <c r="G115" s="667"/>
      <c r="H115" s="667"/>
      <c r="I115" s="667"/>
      <c r="J115" s="667"/>
      <c r="K115" s="667"/>
      <c r="L115" s="667"/>
      <c r="M115" s="667"/>
      <c r="N115" s="667"/>
    </row>
    <row r="116" spans="1:14" ht="17.7">
      <c r="A116" s="667"/>
      <c r="B116" s="667"/>
      <c r="C116" s="667"/>
      <c r="D116" s="667"/>
      <c r="E116" s="667"/>
      <c r="F116" s="667"/>
      <c r="G116" s="667"/>
      <c r="H116" s="667"/>
      <c r="I116" s="667"/>
      <c r="J116" s="667"/>
      <c r="K116" s="667"/>
      <c r="L116" s="667"/>
      <c r="M116" s="667"/>
      <c r="N116" s="667"/>
    </row>
    <row r="117" spans="1:14" ht="17.7">
      <c r="A117" s="667"/>
      <c r="B117" s="667"/>
      <c r="C117" s="667"/>
      <c r="D117" s="667"/>
      <c r="E117" s="667"/>
      <c r="F117" s="667"/>
      <c r="G117" s="667"/>
      <c r="H117" s="667"/>
      <c r="I117" s="667"/>
      <c r="J117" s="667"/>
      <c r="K117" s="667"/>
      <c r="L117" s="667"/>
      <c r="M117" s="667"/>
      <c r="N117" s="667"/>
    </row>
    <row r="118" spans="1:14" ht="17.7">
      <c r="A118" s="667"/>
      <c r="B118" s="667"/>
      <c r="C118" s="667"/>
      <c r="D118" s="667"/>
      <c r="E118" s="667"/>
      <c r="F118" s="667"/>
      <c r="G118" s="667"/>
      <c r="H118" s="667"/>
      <c r="I118" s="667"/>
      <c r="J118" s="667"/>
      <c r="K118" s="667"/>
      <c r="L118" s="667"/>
      <c r="M118" s="667"/>
      <c r="N118" s="667"/>
    </row>
    <row r="119" spans="1:14" ht="17.7">
      <c r="A119" s="667"/>
      <c r="B119" s="667"/>
      <c r="C119" s="667"/>
      <c r="D119" s="667"/>
      <c r="E119" s="667"/>
      <c r="F119" s="667"/>
      <c r="G119" s="667"/>
      <c r="H119" s="667"/>
      <c r="I119" s="667"/>
      <c r="J119" s="667"/>
      <c r="K119" s="667"/>
      <c r="L119" s="667"/>
      <c r="M119" s="667"/>
      <c r="N119" s="667"/>
    </row>
    <row r="120" spans="1:14" ht="17.7">
      <c r="A120" s="667"/>
      <c r="B120" s="667"/>
      <c r="C120" s="667"/>
      <c r="D120" s="667"/>
      <c r="E120" s="667"/>
      <c r="F120" s="667"/>
      <c r="G120" s="667"/>
      <c r="H120" s="667"/>
      <c r="I120" s="667"/>
      <c r="J120" s="667"/>
      <c r="K120" s="667"/>
      <c r="L120" s="667"/>
      <c r="M120" s="667"/>
      <c r="N120" s="667"/>
    </row>
    <row r="121" spans="1:14" ht="17.7">
      <c r="A121" s="667"/>
      <c r="B121" s="667"/>
      <c r="C121" s="667"/>
      <c r="D121" s="667"/>
      <c r="E121" s="667"/>
      <c r="F121" s="667"/>
      <c r="G121" s="667"/>
      <c r="H121" s="667"/>
      <c r="I121" s="667"/>
      <c r="J121" s="667"/>
      <c r="K121" s="667"/>
      <c r="L121" s="667"/>
      <c r="M121" s="667"/>
      <c r="N121" s="667"/>
    </row>
    <row r="122" spans="1:14" ht="17.7">
      <c r="A122" s="667"/>
      <c r="B122" s="667"/>
      <c r="C122" s="667"/>
      <c r="D122" s="667"/>
      <c r="E122" s="667"/>
      <c r="F122" s="667"/>
      <c r="G122" s="667"/>
      <c r="H122" s="667"/>
      <c r="I122" s="667"/>
      <c r="J122" s="667"/>
      <c r="K122" s="667"/>
      <c r="L122" s="667"/>
      <c r="M122" s="667"/>
      <c r="N122" s="667"/>
    </row>
    <row r="123" spans="1:14" ht="17.7">
      <c r="A123" s="667"/>
      <c r="B123" s="667"/>
      <c r="C123" s="667"/>
      <c r="D123" s="667"/>
      <c r="E123" s="667"/>
      <c r="F123" s="667"/>
      <c r="G123" s="667"/>
      <c r="H123" s="667"/>
      <c r="I123" s="667"/>
      <c r="J123" s="667"/>
      <c r="K123" s="667"/>
      <c r="L123" s="667"/>
      <c r="M123" s="667"/>
      <c r="N123" s="667"/>
    </row>
    <row r="124" spans="1:14" ht="17.7">
      <c r="A124" s="667"/>
      <c r="B124" s="667"/>
      <c r="C124" s="667"/>
      <c r="D124" s="667"/>
      <c r="E124" s="667"/>
      <c r="F124" s="667"/>
      <c r="G124" s="667"/>
      <c r="H124" s="667"/>
      <c r="I124" s="667"/>
      <c r="J124" s="667"/>
      <c r="K124" s="667"/>
      <c r="L124" s="667"/>
      <c r="M124" s="667"/>
      <c r="N124" s="667"/>
    </row>
    <row r="125" spans="1:14" ht="17.7">
      <c r="A125" s="667"/>
      <c r="B125" s="667"/>
      <c r="C125" s="667"/>
      <c r="D125" s="667"/>
      <c r="E125" s="667"/>
      <c r="F125" s="667"/>
      <c r="G125" s="667"/>
      <c r="H125" s="667"/>
      <c r="I125" s="667"/>
      <c r="J125" s="667"/>
      <c r="K125" s="667"/>
      <c r="L125" s="667"/>
      <c r="M125" s="667"/>
      <c r="N125" s="667"/>
    </row>
    <row r="126" spans="1:14" ht="17.7">
      <c r="A126" s="667"/>
      <c r="B126" s="667"/>
      <c r="C126" s="667"/>
      <c r="D126" s="667"/>
      <c r="E126" s="667"/>
      <c r="F126" s="667"/>
      <c r="G126" s="667"/>
      <c r="H126" s="667"/>
      <c r="I126" s="667"/>
      <c r="J126" s="667"/>
      <c r="K126" s="667"/>
      <c r="L126" s="667"/>
      <c r="M126" s="667"/>
      <c r="N126" s="667"/>
    </row>
    <row r="127" spans="1:14" ht="17.7">
      <c r="A127" s="667"/>
      <c r="B127" s="667"/>
      <c r="C127" s="667"/>
      <c r="D127" s="667"/>
      <c r="E127" s="667"/>
      <c r="F127" s="667"/>
      <c r="G127" s="667"/>
      <c r="H127" s="667"/>
      <c r="I127" s="667"/>
      <c r="J127" s="667"/>
      <c r="K127" s="667"/>
      <c r="L127" s="667"/>
      <c r="M127" s="667"/>
      <c r="N127" s="667"/>
    </row>
    <row r="128" spans="1:14" ht="17.7">
      <c r="A128" s="667"/>
      <c r="B128" s="667"/>
      <c r="C128" s="667"/>
      <c r="D128" s="667"/>
      <c r="E128" s="667"/>
      <c r="F128" s="667"/>
      <c r="G128" s="667"/>
      <c r="H128" s="667"/>
      <c r="I128" s="667"/>
      <c r="J128" s="667"/>
      <c r="K128" s="667"/>
      <c r="L128" s="667"/>
      <c r="M128" s="667"/>
      <c r="N128" s="667"/>
    </row>
    <row r="129" spans="1:14" ht="17.7">
      <c r="A129" s="667"/>
      <c r="B129" s="667"/>
      <c r="C129" s="667"/>
      <c r="D129" s="667"/>
      <c r="E129" s="667"/>
      <c r="F129" s="667"/>
      <c r="G129" s="667"/>
      <c r="H129" s="667"/>
      <c r="I129" s="667"/>
      <c r="J129" s="667"/>
      <c r="K129" s="667"/>
      <c r="L129" s="667"/>
      <c r="M129" s="667"/>
      <c r="N129" s="667"/>
    </row>
    <row r="130" spans="1:14" ht="17.7">
      <c r="A130" s="667"/>
      <c r="B130" s="667"/>
      <c r="C130" s="667"/>
      <c r="D130" s="667"/>
      <c r="E130" s="667"/>
      <c r="F130" s="667"/>
      <c r="G130" s="667"/>
      <c r="H130" s="667"/>
      <c r="I130" s="667"/>
      <c r="J130" s="667"/>
      <c r="K130" s="667"/>
      <c r="L130" s="667"/>
      <c r="M130" s="667"/>
      <c r="N130" s="667"/>
    </row>
    <row r="131" spans="1:14" ht="17.7">
      <c r="A131" s="667"/>
      <c r="B131" s="667"/>
      <c r="C131" s="667"/>
      <c r="D131" s="667"/>
      <c r="E131" s="667"/>
      <c r="F131" s="667"/>
      <c r="G131" s="667"/>
      <c r="H131" s="667"/>
      <c r="I131" s="667"/>
      <c r="J131" s="667"/>
      <c r="K131" s="667"/>
      <c r="L131" s="667"/>
      <c r="M131" s="667"/>
      <c r="N131" s="667"/>
    </row>
    <row r="132" spans="1:14" ht="17.7">
      <c r="A132" s="667"/>
      <c r="B132" s="667"/>
      <c r="C132" s="667"/>
      <c r="D132" s="667"/>
      <c r="E132" s="667"/>
      <c r="F132" s="667"/>
      <c r="G132" s="667"/>
      <c r="H132" s="667"/>
      <c r="I132" s="667"/>
      <c r="J132" s="667"/>
      <c r="K132" s="667"/>
      <c r="L132" s="667"/>
      <c r="M132" s="667"/>
      <c r="N132" s="667"/>
    </row>
    <row r="133" spans="1:14" ht="17.7">
      <c r="A133" s="667"/>
      <c r="B133" s="667"/>
      <c r="C133" s="667"/>
      <c r="D133" s="667"/>
      <c r="E133" s="667"/>
      <c r="F133" s="667"/>
      <c r="G133" s="667"/>
      <c r="H133" s="667"/>
      <c r="I133" s="667"/>
      <c r="J133" s="667"/>
      <c r="K133" s="667"/>
      <c r="L133" s="667"/>
      <c r="M133" s="667"/>
      <c r="N133" s="667"/>
    </row>
    <row r="134" spans="1:14" ht="17.7">
      <c r="A134" s="667"/>
      <c r="B134" s="667"/>
      <c r="C134" s="667"/>
      <c r="D134" s="667"/>
      <c r="E134" s="667"/>
      <c r="F134" s="667"/>
      <c r="G134" s="667"/>
      <c r="H134" s="667"/>
      <c r="I134" s="667"/>
      <c r="J134" s="667"/>
      <c r="K134" s="667"/>
      <c r="L134" s="667"/>
      <c r="M134" s="667"/>
      <c r="N134" s="667"/>
    </row>
    <row r="135" spans="1:14" ht="17.7">
      <c r="A135" s="667"/>
      <c r="B135" s="667"/>
      <c r="C135" s="667"/>
      <c r="D135" s="667"/>
      <c r="E135" s="667"/>
      <c r="F135" s="667"/>
      <c r="G135" s="667"/>
      <c r="H135" s="667"/>
      <c r="I135" s="667"/>
      <c r="J135" s="667"/>
      <c r="K135" s="667"/>
      <c r="L135" s="667"/>
      <c r="M135" s="667"/>
      <c r="N135" s="667"/>
    </row>
    <row r="136" spans="1:14" ht="17.7">
      <c r="A136" s="667"/>
      <c r="B136" s="667"/>
      <c r="C136" s="667"/>
      <c r="D136" s="667"/>
      <c r="E136" s="667"/>
      <c r="F136" s="667"/>
      <c r="G136" s="667"/>
      <c r="H136" s="667"/>
      <c r="I136" s="667"/>
      <c r="J136" s="667"/>
      <c r="K136" s="667"/>
      <c r="L136" s="667"/>
      <c r="M136" s="667"/>
      <c r="N136" s="667"/>
    </row>
    <row r="137" spans="1:14" ht="17.7">
      <c r="A137" s="667"/>
      <c r="B137" s="667"/>
      <c r="C137" s="667"/>
      <c r="D137" s="667"/>
      <c r="E137" s="667"/>
      <c r="F137" s="667"/>
      <c r="G137" s="667"/>
      <c r="H137" s="667"/>
      <c r="I137" s="667"/>
      <c r="J137" s="667"/>
      <c r="K137" s="667"/>
      <c r="L137" s="667"/>
      <c r="M137" s="667"/>
      <c r="N137" s="667"/>
    </row>
    <row r="138" spans="1:14" ht="17.7">
      <c r="A138" s="667"/>
      <c r="B138" s="667"/>
      <c r="C138" s="667"/>
      <c r="D138" s="667"/>
      <c r="E138" s="667"/>
      <c r="F138" s="667"/>
      <c r="G138" s="667"/>
      <c r="H138" s="667"/>
      <c r="I138" s="667"/>
      <c r="J138" s="667"/>
      <c r="K138" s="667"/>
      <c r="L138" s="667"/>
      <c r="M138" s="667"/>
      <c r="N138" s="667"/>
    </row>
    <row r="139" spans="1:14" ht="17.7">
      <c r="A139" s="667"/>
      <c r="B139" s="667"/>
      <c r="C139" s="667"/>
      <c r="D139" s="667"/>
      <c r="E139" s="667"/>
      <c r="F139" s="667"/>
      <c r="G139" s="667"/>
      <c r="H139" s="667"/>
      <c r="I139" s="667"/>
      <c r="J139" s="667"/>
      <c r="K139" s="667"/>
      <c r="L139" s="667"/>
      <c r="M139" s="667"/>
      <c r="N139" s="667"/>
    </row>
    <row r="140" spans="1:14" ht="17.7">
      <c r="A140" s="667"/>
      <c r="B140" s="667"/>
      <c r="C140" s="667"/>
      <c r="D140" s="667"/>
      <c r="E140" s="667"/>
      <c r="F140" s="667"/>
      <c r="G140" s="667"/>
      <c r="H140" s="667"/>
      <c r="I140" s="667"/>
      <c r="J140" s="667"/>
      <c r="K140" s="667"/>
      <c r="L140" s="667"/>
      <c r="M140" s="667"/>
      <c r="N140" s="667"/>
    </row>
    <row r="141" spans="1:14" ht="17.7">
      <c r="A141" s="667"/>
      <c r="B141" s="667"/>
      <c r="C141" s="667"/>
      <c r="D141" s="667"/>
      <c r="E141" s="667"/>
      <c r="F141" s="667"/>
      <c r="G141" s="667"/>
      <c r="H141" s="667"/>
      <c r="I141" s="667"/>
      <c r="J141" s="667"/>
      <c r="K141" s="667"/>
      <c r="L141" s="667"/>
      <c r="M141" s="667"/>
      <c r="N141" s="667"/>
    </row>
    <row r="142" spans="1:14" ht="17.7">
      <c r="A142" s="667"/>
      <c r="B142" s="667"/>
      <c r="C142" s="667"/>
      <c r="D142" s="667"/>
      <c r="E142" s="667"/>
      <c r="F142" s="667"/>
      <c r="G142" s="667"/>
      <c r="H142" s="667"/>
      <c r="I142" s="667"/>
      <c r="J142" s="667"/>
      <c r="K142" s="667"/>
      <c r="L142" s="667"/>
      <c r="M142" s="667"/>
      <c r="N142" s="667"/>
    </row>
    <row r="143" spans="1:14" ht="17.7">
      <c r="A143" s="667"/>
      <c r="B143" s="667"/>
      <c r="C143" s="667"/>
      <c r="D143" s="667"/>
      <c r="E143" s="667"/>
      <c r="F143" s="667"/>
      <c r="G143" s="667"/>
      <c r="H143" s="667"/>
      <c r="I143" s="667"/>
      <c r="J143" s="667"/>
      <c r="K143" s="667"/>
      <c r="L143" s="667"/>
      <c r="M143" s="667"/>
      <c r="N143" s="667"/>
    </row>
    <row r="144" spans="1:14" ht="17.7">
      <c r="A144" s="667"/>
      <c r="B144" s="667"/>
      <c r="C144" s="667"/>
      <c r="D144" s="667"/>
      <c r="E144" s="667"/>
      <c r="F144" s="667"/>
      <c r="G144" s="667"/>
      <c r="H144" s="667"/>
      <c r="I144" s="667"/>
      <c r="J144" s="667"/>
      <c r="K144" s="667"/>
      <c r="L144" s="667"/>
      <c r="M144" s="667"/>
      <c r="N144" s="667"/>
    </row>
    <row r="145" spans="1:14" ht="17.7">
      <c r="A145" s="667"/>
      <c r="B145" s="667"/>
      <c r="C145" s="667"/>
      <c r="D145" s="667"/>
      <c r="E145" s="667"/>
      <c r="F145" s="667"/>
      <c r="G145" s="667"/>
      <c r="H145" s="667"/>
      <c r="I145" s="667"/>
      <c r="J145" s="667"/>
      <c r="K145" s="667"/>
      <c r="L145" s="667"/>
      <c r="M145" s="667"/>
      <c r="N145" s="667"/>
    </row>
    <row r="146" spans="1:14" ht="17.7">
      <c r="A146" s="667"/>
      <c r="B146" s="667"/>
      <c r="C146" s="667"/>
      <c r="D146" s="667"/>
      <c r="E146" s="667"/>
      <c r="F146" s="667"/>
      <c r="G146" s="667"/>
      <c r="H146" s="667"/>
      <c r="I146" s="667"/>
      <c r="J146" s="667"/>
      <c r="K146" s="667"/>
      <c r="L146" s="667"/>
      <c r="M146" s="667"/>
      <c r="N146" s="667"/>
    </row>
    <row r="147" spans="1:14" ht="17.7">
      <c r="A147" s="667"/>
      <c r="B147" s="667"/>
      <c r="C147" s="667"/>
      <c r="D147" s="667"/>
      <c r="E147" s="667"/>
      <c r="F147" s="667"/>
      <c r="G147" s="667"/>
      <c r="H147" s="667"/>
      <c r="I147" s="667"/>
      <c r="J147" s="667"/>
      <c r="K147" s="667"/>
      <c r="L147" s="667"/>
      <c r="M147" s="667"/>
      <c r="N147" s="667"/>
    </row>
    <row r="148" spans="1:14" ht="17.7">
      <c r="A148" s="667"/>
      <c r="B148" s="667"/>
      <c r="C148" s="667"/>
      <c r="D148" s="667"/>
      <c r="E148" s="667"/>
      <c r="F148" s="667"/>
      <c r="G148" s="667"/>
      <c r="H148" s="667"/>
      <c r="I148" s="667"/>
      <c r="J148" s="667"/>
      <c r="K148" s="667"/>
      <c r="L148" s="667"/>
      <c r="M148" s="667"/>
      <c r="N148" s="667"/>
    </row>
    <row r="149" spans="1:14" ht="17.7">
      <c r="A149" s="667"/>
      <c r="B149" s="667"/>
      <c r="C149" s="667"/>
      <c r="D149" s="667"/>
      <c r="E149" s="667"/>
      <c r="F149" s="667"/>
      <c r="G149" s="667"/>
      <c r="H149" s="667"/>
      <c r="I149" s="667"/>
      <c r="J149" s="667"/>
      <c r="K149" s="667"/>
      <c r="L149" s="667"/>
      <c r="M149" s="667"/>
      <c r="N149" s="667"/>
    </row>
    <row r="150" spans="1:14" ht="17.7">
      <c r="A150" s="667"/>
      <c r="B150" s="667"/>
      <c r="C150" s="667"/>
      <c r="D150" s="667"/>
      <c r="E150" s="667"/>
      <c r="F150" s="667"/>
      <c r="G150" s="667"/>
      <c r="H150" s="667"/>
      <c r="I150" s="667"/>
      <c r="J150" s="667"/>
      <c r="K150" s="667"/>
      <c r="L150" s="667"/>
      <c r="M150" s="667"/>
      <c r="N150" s="667"/>
    </row>
    <row r="151" spans="1:14" ht="17.7">
      <c r="A151" s="667"/>
      <c r="B151" s="667"/>
      <c r="C151" s="667"/>
      <c r="D151" s="667"/>
      <c r="E151" s="667"/>
      <c r="F151" s="667"/>
      <c r="G151" s="667"/>
      <c r="H151" s="667"/>
      <c r="I151" s="667"/>
      <c r="J151" s="667"/>
      <c r="K151" s="667"/>
      <c r="L151" s="667"/>
      <c r="M151" s="667"/>
      <c r="N151" s="667"/>
    </row>
    <row r="152" spans="1:14" ht="17.7">
      <c r="A152" s="667"/>
      <c r="B152" s="667"/>
      <c r="C152" s="667"/>
      <c r="D152" s="667"/>
      <c r="E152" s="667"/>
      <c r="F152" s="667"/>
      <c r="G152" s="667"/>
      <c r="H152" s="667"/>
      <c r="I152" s="667"/>
      <c r="J152" s="667"/>
      <c r="K152" s="667"/>
      <c r="L152" s="667"/>
      <c r="M152" s="667"/>
      <c r="N152" s="667"/>
    </row>
    <row r="153" spans="1:14" ht="17.7">
      <c r="A153" s="667"/>
      <c r="B153" s="667"/>
      <c r="C153" s="667"/>
      <c r="D153" s="667"/>
      <c r="E153" s="667"/>
      <c r="F153" s="667"/>
      <c r="G153" s="667"/>
      <c r="H153" s="667"/>
      <c r="I153" s="667"/>
      <c r="J153" s="667"/>
      <c r="K153" s="667"/>
      <c r="L153" s="667"/>
      <c r="M153" s="667"/>
      <c r="N153" s="667"/>
    </row>
    <row r="154" spans="1:14" ht="17.7">
      <c r="A154" s="667"/>
      <c r="B154" s="667"/>
      <c r="C154" s="667"/>
      <c r="D154" s="667"/>
      <c r="E154" s="667"/>
      <c r="F154" s="667"/>
      <c r="G154" s="667"/>
      <c r="H154" s="667"/>
      <c r="I154" s="667"/>
      <c r="J154" s="667"/>
      <c r="K154" s="667"/>
      <c r="L154" s="667"/>
      <c r="M154" s="667"/>
      <c r="N154" s="667"/>
    </row>
    <row r="155" spans="1:14" ht="17.7">
      <c r="A155" s="667"/>
      <c r="B155" s="667"/>
      <c r="C155" s="667"/>
      <c r="D155" s="667"/>
      <c r="E155" s="667"/>
      <c r="F155" s="667"/>
      <c r="G155" s="667"/>
      <c r="H155" s="667"/>
      <c r="I155" s="667"/>
      <c r="J155" s="667"/>
      <c r="K155" s="667"/>
      <c r="L155" s="667"/>
      <c r="M155" s="667"/>
      <c r="N155" s="667"/>
    </row>
    <row r="156" spans="1:14" ht="17.7">
      <c r="A156" s="667"/>
      <c r="B156" s="667"/>
      <c r="C156" s="667"/>
      <c r="D156" s="667"/>
      <c r="E156" s="667"/>
      <c r="F156" s="667"/>
      <c r="G156" s="667"/>
      <c r="H156" s="667"/>
      <c r="I156" s="667"/>
      <c r="J156" s="667"/>
      <c r="K156" s="667"/>
      <c r="L156" s="667"/>
      <c r="M156" s="667"/>
      <c r="N156" s="667"/>
    </row>
    <row r="157" spans="1:14" ht="17.7">
      <c r="A157" s="667"/>
      <c r="B157" s="667"/>
      <c r="C157" s="667"/>
      <c r="D157" s="667"/>
      <c r="E157" s="667"/>
      <c r="F157" s="667"/>
      <c r="G157" s="667"/>
      <c r="H157" s="667"/>
      <c r="I157" s="667"/>
      <c r="J157" s="667"/>
      <c r="K157" s="667"/>
      <c r="L157" s="667"/>
      <c r="M157" s="667"/>
      <c r="N157" s="667"/>
    </row>
    <row r="158" spans="1:14" ht="17.7">
      <c r="A158" s="667"/>
      <c r="B158" s="667"/>
      <c r="C158" s="667"/>
      <c r="D158" s="667"/>
      <c r="E158" s="667"/>
      <c r="F158" s="667"/>
      <c r="G158" s="667"/>
      <c r="H158" s="667"/>
      <c r="I158" s="667"/>
      <c r="J158" s="667"/>
      <c r="K158" s="667"/>
      <c r="L158" s="667"/>
      <c r="M158" s="667"/>
      <c r="N158" s="667"/>
    </row>
    <row r="159" spans="1:14" ht="17.7">
      <c r="A159" s="667"/>
      <c r="B159" s="667"/>
      <c r="C159" s="667"/>
      <c r="D159" s="667"/>
      <c r="E159" s="667"/>
      <c r="F159" s="667"/>
      <c r="G159" s="667"/>
      <c r="H159" s="667"/>
      <c r="I159" s="667"/>
      <c r="J159" s="667"/>
      <c r="K159" s="667"/>
      <c r="L159" s="667"/>
      <c r="M159" s="667"/>
      <c r="N159" s="667"/>
    </row>
    <row r="160" spans="1:14" ht="17.7">
      <c r="A160" s="667"/>
      <c r="B160" s="667"/>
      <c r="C160" s="667"/>
      <c r="D160" s="667"/>
      <c r="E160" s="667"/>
      <c r="F160" s="667"/>
      <c r="G160" s="667"/>
      <c r="H160" s="667"/>
      <c r="I160" s="667"/>
      <c r="J160" s="667"/>
      <c r="K160" s="667"/>
      <c r="L160" s="667"/>
      <c r="M160" s="667"/>
      <c r="N160" s="667"/>
    </row>
    <row r="161" spans="1:14" ht="17.7">
      <c r="A161" s="667"/>
      <c r="B161" s="667"/>
      <c r="C161" s="667"/>
      <c r="D161" s="667"/>
      <c r="E161" s="667"/>
      <c r="F161" s="667"/>
      <c r="G161" s="667"/>
      <c r="H161" s="667"/>
      <c r="I161" s="667"/>
      <c r="J161" s="667"/>
      <c r="K161" s="667"/>
      <c r="L161" s="667"/>
      <c r="M161" s="667"/>
      <c r="N161" s="667"/>
    </row>
    <row r="162" spans="1:14" ht="17.7">
      <c r="A162" s="667"/>
      <c r="B162" s="667"/>
      <c r="C162" s="667"/>
      <c r="D162" s="667"/>
      <c r="E162" s="667"/>
      <c r="F162" s="667"/>
      <c r="G162" s="667"/>
      <c r="H162" s="667"/>
      <c r="I162" s="667"/>
      <c r="J162" s="667"/>
      <c r="K162" s="667"/>
      <c r="L162" s="667"/>
      <c r="M162" s="667"/>
      <c r="N162" s="667"/>
    </row>
    <row r="163" spans="1:14" ht="17.7">
      <c r="A163" s="667"/>
      <c r="B163" s="667"/>
      <c r="C163" s="667"/>
      <c r="D163" s="667"/>
      <c r="E163" s="667"/>
      <c r="F163" s="667"/>
      <c r="G163" s="667"/>
      <c r="H163" s="667"/>
      <c r="I163" s="667"/>
      <c r="J163" s="667"/>
      <c r="K163" s="667"/>
      <c r="L163" s="667"/>
      <c r="M163" s="667"/>
      <c r="N163" s="667"/>
    </row>
    <row r="164" spans="1:14" ht="17.7">
      <c r="A164" s="667"/>
      <c r="B164" s="667"/>
      <c r="C164" s="667"/>
      <c r="D164" s="667"/>
      <c r="E164" s="667"/>
      <c r="F164" s="667"/>
      <c r="G164" s="667"/>
      <c r="H164" s="667"/>
      <c r="I164" s="667"/>
      <c r="J164" s="667"/>
      <c r="K164" s="667"/>
      <c r="L164" s="667"/>
      <c r="M164" s="667"/>
      <c r="N164" s="667"/>
    </row>
    <row r="165" spans="1:14" ht="17.7">
      <c r="A165" s="667"/>
      <c r="B165" s="667"/>
      <c r="C165" s="667"/>
      <c r="D165" s="667"/>
      <c r="E165" s="667"/>
      <c r="F165" s="667"/>
      <c r="G165" s="667"/>
      <c r="H165" s="667"/>
      <c r="I165" s="667"/>
      <c r="J165" s="667"/>
      <c r="K165" s="667"/>
      <c r="L165" s="667"/>
      <c r="M165" s="667"/>
      <c r="N165" s="667"/>
    </row>
    <row r="166" spans="1:14" ht="17.7">
      <c r="A166" s="667"/>
      <c r="B166" s="667"/>
      <c r="C166" s="667"/>
      <c r="D166" s="667"/>
      <c r="E166" s="667"/>
      <c r="F166" s="667"/>
      <c r="G166" s="667"/>
      <c r="H166" s="667"/>
      <c r="I166" s="667"/>
      <c r="J166" s="667"/>
      <c r="K166" s="667"/>
      <c r="L166" s="667"/>
      <c r="M166" s="667"/>
      <c r="N166" s="667"/>
    </row>
    <row r="167" spans="1:14" ht="17.7">
      <c r="A167" s="667"/>
      <c r="B167" s="667"/>
      <c r="C167" s="667"/>
      <c r="D167" s="667"/>
      <c r="E167" s="667"/>
      <c r="F167" s="667"/>
      <c r="G167" s="667"/>
      <c r="H167" s="667"/>
      <c r="I167" s="667"/>
      <c r="J167" s="667"/>
      <c r="K167" s="667"/>
      <c r="L167" s="667"/>
      <c r="M167" s="667"/>
      <c r="N167" s="667"/>
    </row>
    <row r="168" spans="1:14" ht="17.7">
      <c r="A168" s="667"/>
      <c r="B168" s="667"/>
      <c r="C168" s="667"/>
      <c r="D168" s="667"/>
      <c r="E168" s="667"/>
      <c r="F168" s="667"/>
      <c r="G168" s="667"/>
      <c r="H168" s="667"/>
      <c r="I168" s="667"/>
      <c r="J168" s="667"/>
      <c r="K168" s="667"/>
      <c r="L168" s="667"/>
      <c r="M168" s="667"/>
      <c r="N168" s="667"/>
    </row>
    <row r="169" spans="1:14" ht="17.7">
      <c r="A169" s="667"/>
      <c r="B169" s="667"/>
      <c r="C169" s="667"/>
      <c r="D169" s="667"/>
      <c r="E169" s="667"/>
      <c r="F169" s="667"/>
      <c r="G169" s="667"/>
      <c r="H169" s="667"/>
      <c r="I169" s="667"/>
      <c r="J169" s="667"/>
      <c r="K169" s="667"/>
      <c r="L169" s="667"/>
      <c r="M169" s="667"/>
      <c r="N169" s="667"/>
    </row>
    <row r="170" spans="1:14" ht="17.7">
      <c r="A170" s="667"/>
      <c r="B170" s="667"/>
      <c r="C170" s="667"/>
      <c r="D170" s="667"/>
      <c r="E170" s="667"/>
      <c r="F170" s="667"/>
      <c r="G170" s="667"/>
      <c r="H170" s="667"/>
      <c r="I170" s="667"/>
      <c r="J170" s="667"/>
      <c r="K170" s="667"/>
      <c r="L170" s="667"/>
      <c r="M170" s="667"/>
      <c r="N170" s="667"/>
    </row>
    <row r="171" spans="1:14" ht="17.7">
      <c r="A171" s="667"/>
      <c r="B171" s="667"/>
      <c r="C171" s="667"/>
      <c r="D171" s="667"/>
      <c r="E171" s="667"/>
      <c r="F171" s="667"/>
      <c r="G171" s="667"/>
      <c r="H171" s="667"/>
      <c r="I171" s="667"/>
      <c r="J171" s="667"/>
      <c r="K171" s="667"/>
      <c r="L171" s="667"/>
      <c r="M171" s="667"/>
      <c r="N171" s="667"/>
    </row>
    <row r="172" spans="1:14" ht="17.7">
      <c r="A172" s="667"/>
      <c r="B172" s="667"/>
      <c r="C172" s="667"/>
      <c r="D172" s="667"/>
      <c r="E172" s="667"/>
      <c r="F172" s="667"/>
      <c r="G172" s="667"/>
      <c r="H172" s="667"/>
      <c r="I172" s="667"/>
      <c r="J172" s="667"/>
      <c r="K172" s="667"/>
      <c r="L172" s="667"/>
      <c r="M172" s="667"/>
      <c r="N172" s="667"/>
    </row>
    <row r="173" spans="1:14" ht="17.7">
      <c r="A173" s="667"/>
      <c r="B173" s="667"/>
      <c r="C173" s="667"/>
      <c r="D173" s="667"/>
      <c r="E173" s="667"/>
      <c r="F173" s="667"/>
      <c r="G173" s="667"/>
      <c r="H173" s="667"/>
      <c r="I173" s="667"/>
      <c r="J173" s="667"/>
      <c r="K173" s="667"/>
      <c r="L173" s="667"/>
      <c r="M173" s="667"/>
      <c r="N173" s="667"/>
    </row>
    <row r="174" spans="1:14" ht="17.7">
      <c r="A174" s="667"/>
      <c r="B174" s="667"/>
      <c r="C174" s="667"/>
      <c r="D174" s="667"/>
      <c r="E174" s="667"/>
      <c r="F174" s="667"/>
      <c r="G174" s="667"/>
      <c r="H174" s="667"/>
      <c r="I174" s="667"/>
      <c r="J174" s="667"/>
      <c r="K174" s="667"/>
      <c r="L174" s="667"/>
      <c r="M174" s="667"/>
      <c r="N174" s="667"/>
    </row>
    <row r="175" spans="1:14" ht="17.7">
      <c r="A175" s="667"/>
      <c r="B175" s="667"/>
      <c r="C175" s="667"/>
      <c r="D175" s="667"/>
      <c r="E175" s="667"/>
      <c r="F175" s="667"/>
      <c r="G175" s="667"/>
      <c r="H175" s="667"/>
      <c r="I175" s="667"/>
      <c r="J175" s="667"/>
      <c r="K175" s="667"/>
      <c r="L175" s="667"/>
      <c r="M175" s="667"/>
      <c r="N175" s="667"/>
    </row>
    <row r="176" spans="1:14" ht="17.7">
      <c r="A176" s="667"/>
      <c r="B176" s="667"/>
      <c r="C176" s="667"/>
      <c r="D176" s="667"/>
      <c r="E176" s="667"/>
      <c r="F176" s="667"/>
      <c r="G176" s="667"/>
      <c r="H176" s="667"/>
      <c r="I176" s="667"/>
      <c r="J176" s="667"/>
      <c r="K176" s="667"/>
      <c r="L176" s="667"/>
      <c r="M176" s="667"/>
      <c r="N176" s="667"/>
    </row>
    <row r="177" spans="1:14" ht="17.7">
      <c r="A177" s="667"/>
      <c r="B177" s="667"/>
      <c r="C177" s="667"/>
      <c r="D177" s="667"/>
      <c r="E177" s="667"/>
      <c r="F177" s="667"/>
      <c r="G177" s="667"/>
      <c r="H177" s="667"/>
      <c r="I177" s="667"/>
      <c r="J177" s="667"/>
      <c r="K177" s="667"/>
      <c r="L177" s="667"/>
      <c r="M177" s="667"/>
      <c r="N177" s="667"/>
    </row>
    <row r="178" spans="1:14" ht="17.7">
      <c r="A178" s="667"/>
      <c r="B178" s="667"/>
      <c r="C178" s="667"/>
      <c r="D178" s="667"/>
      <c r="E178" s="667"/>
      <c r="F178" s="667"/>
      <c r="G178" s="667"/>
      <c r="H178" s="667"/>
      <c r="I178" s="667"/>
      <c r="J178" s="667"/>
      <c r="K178" s="667"/>
      <c r="L178" s="667"/>
      <c r="M178" s="667"/>
      <c r="N178" s="667"/>
    </row>
    <row r="179" spans="1:14" ht="17.7">
      <c r="A179" s="667"/>
      <c r="B179" s="667"/>
      <c r="C179" s="667"/>
      <c r="D179" s="667"/>
      <c r="E179" s="667"/>
      <c r="F179" s="667"/>
      <c r="G179" s="667"/>
      <c r="H179" s="667"/>
      <c r="I179" s="667"/>
      <c r="J179" s="667"/>
      <c r="K179" s="667"/>
      <c r="L179" s="667"/>
      <c r="M179" s="667"/>
      <c r="N179" s="667"/>
    </row>
    <row r="180" spans="1:14" ht="17.7">
      <c r="A180" s="667"/>
      <c r="B180" s="667"/>
      <c r="C180" s="667"/>
      <c r="D180" s="667"/>
      <c r="E180" s="667"/>
      <c r="F180" s="667"/>
      <c r="G180" s="667"/>
      <c r="H180" s="667"/>
      <c r="I180" s="667"/>
      <c r="J180" s="667"/>
      <c r="K180" s="667"/>
      <c r="L180" s="667"/>
      <c r="M180" s="667"/>
      <c r="N180" s="667"/>
    </row>
    <row r="181" spans="1:14" ht="17.7">
      <c r="A181" s="667"/>
      <c r="B181" s="667"/>
      <c r="C181" s="667"/>
      <c r="D181" s="667"/>
      <c r="E181" s="667"/>
      <c r="F181" s="667"/>
      <c r="G181" s="667"/>
      <c r="H181" s="667"/>
      <c r="I181" s="667"/>
      <c r="J181" s="667"/>
      <c r="K181" s="667"/>
      <c r="L181" s="667"/>
      <c r="M181" s="667"/>
      <c r="N181" s="667"/>
    </row>
    <row r="182" spans="1:14" ht="17.7">
      <c r="A182" s="667"/>
      <c r="B182" s="667"/>
      <c r="C182" s="667"/>
      <c r="D182" s="667"/>
      <c r="E182" s="667"/>
      <c r="F182" s="667"/>
      <c r="G182" s="667"/>
      <c r="H182" s="667"/>
      <c r="I182" s="667"/>
      <c r="J182" s="667"/>
      <c r="K182" s="667"/>
      <c r="L182" s="667"/>
      <c r="M182" s="667"/>
      <c r="N182" s="667"/>
    </row>
    <row r="183" spans="1:14" ht="17.7">
      <c r="A183" s="667"/>
      <c r="B183" s="667"/>
      <c r="C183" s="667"/>
      <c r="D183" s="667"/>
      <c r="E183" s="667"/>
      <c r="F183" s="667"/>
      <c r="G183" s="667"/>
      <c r="H183" s="667"/>
      <c r="I183" s="667"/>
      <c r="J183" s="667"/>
      <c r="K183" s="667"/>
      <c r="L183" s="667"/>
      <c r="M183" s="667"/>
      <c r="N183" s="667"/>
    </row>
    <row r="184" spans="1:14" ht="17.7">
      <c r="A184" s="667"/>
      <c r="B184" s="667"/>
      <c r="C184" s="667"/>
      <c r="D184" s="667"/>
      <c r="E184" s="667"/>
      <c r="F184" s="667"/>
      <c r="G184" s="667"/>
      <c r="H184" s="667"/>
      <c r="I184" s="667"/>
      <c r="J184" s="667"/>
      <c r="K184" s="667"/>
      <c r="L184" s="667"/>
      <c r="M184" s="667"/>
      <c r="N184" s="667"/>
    </row>
    <row r="185" spans="1:14" ht="17.7">
      <c r="A185" s="667"/>
      <c r="B185" s="667"/>
      <c r="C185" s="667"/>
      <c r="D185" s="667"/>
      <c r="E185" s="667"/>
      <c r="F185" s="667"/>
      <c r="G185" s="667"/>
      <c r="H185" s="667"/>
      <c r="I185" s="667"/>
      <c r="J185" s="667"/>
      <c r="K185" s="667"/>
      <c r="L185" s="667"/>
      <c r="M185" s="667"/>
      <c r="N185" s="667"/>
    </row>
    <row r="186" spans="1:14" ht="17.7">
      <c r="A186" s="667"/>
      <c r="B186" s="667"/>
      <c r="C186" s="667"/>
      <c r="D186" s="667"/>
      <c r="E186" s="667"/>
      <c r="F186" s="667"/>
      <c r="G186" s="667"/>
      <c r="H186" s="667"/>
      <c r="I186" s="667"/>
      <c r="J186" s="667"/>
      <c r="K186" s="667"/>
      <c r="L186" s="667"/>
      <c r="M186" s="667"/>
      <c r="N186" s="667"/>
    </row>
    <row r="187" spans="1:14" ht="17.7">
      <c r="A187" s="667"/>
      <c r="B187" s="667"/>
      <c r="C187" s="667"/>
      <c r="D187" s="667"/>
      <c r="E187" s="667"/>
      <c r="F187" s="667"/>
      <c r="G187" s="667"/>
      <c r="H187" s="667"/>
      <c r="I187" s="667"/>
      <c r="J187" s="667"/>
      <c r="K187" s="667"/>
      <c r="L187" s="667"/>
      <c r="M187" s="667"/>
      <c r="N187" s="667"/>
    </row>
    <row r="188" spans="1:14" ht="17.7">
      <c r="A188" s="667"/>
      <c r="B188" s="667"/>
      <c r="C188" s="667"/>
      <c r="D188" s="667"/>
      <c r="E188" s="667"/>
      <c r="F188" s="667"/>
      <c r="G188" s="667"/>
      <c r="H188" s="667"/>
      <c r="I188" s="667"/>
      <c r="J188" s="667"/>
      <c r="K188" s="667"/>
      <c r="L188" s="667"/>
      <c r="M188" s="667"/>
      <c r="N188" s="667"/>
    </row>
    <row r="189" spans="1:14" ht="17.7">
      <c r="A189" s="667"/>
      <c r="B189" s="667"/>
      <c r="C189" s="667"/>
      <c r="D189" s="667"/>
      <c r="E189" s="667"/>
      <c r="F189" s="667"/>
      <c r="G189" s="667"/>
      <c r="H189" s="667"/>
      <c r="I189" s="667"/>
      <c r="J189" s="667"/>
      <c r="K189" s="667"/>
      <c r="L189" s="667"/>
      <c r="M189" s="667"/>
      <c r="N189" s="667"/>
    </row>
    <row r="190" spans="1:14" ht="17.7">
      <c r="A190" s="667"/>
      <c r="B190" s="667"/>
      <c r="C190" s="667"/>
      <c r="D190" s="667"/>
      <c r="E190" s="667"/>
      <c r="F190" s="667"/>
      <c r="G190" s="667"/>
      <c r="H190" s="667"/>
      <c r="I190" s="667"/>
      <c r="J190" s="667"/>
      <c r="K190" s="667"/>
      <c r="L190" s="667"/>
      <c r="M190" s="667"/>
      <c r="N190" s="667"/>
    </row>
    <row r="191" spans="1:14" ht="17.7">
      <c r="A191" s="667"/>
      <c r="B191" s="667"/>
      <c r="C191" s="667"/>
      <c r="D191" s="667"/>
      <c r="E191" s="667"/>
      <c r="F191" s="667"/>
      <c r="G191" s="667"/>
      <c r="H191" s="667"/>
      <c r="I191" s="667"/>
      <c r="J191" s="667"/>
      <c r="K191" s="667"/>
      <c r="L191" s="667"/>
      <c r="M191" s="667"/>
      <c r="N191" s="667"/>
    </row>
    <row r="192" spans="1:14" ht="17.7">
      <c r="A192" s="667"/>
      <c r="B192" s="667"/>
      <c r="C192" s="667"/>
      <c r="D192" s="667"/>
      <c r="E192" s="667"/>
      <c r="F192" s="667"/>
      <c r="G192" s="667"/>
      <c r="H192" s="667"/>
      <c r="I192" s="667"/>
      <c r="J192" s="667"/>
      <c r="K192" s="667"/>
      <c r="L192" s="667"/>
      <c r="M192" s="667"/>
      <c r="N192" s="667"/>
    </row>
    <row r="193" spans="1:14" ht="17.7">
      <c r="A193" s="667"/>
      <c r="B193" s="667"/>
      <c r="C193" s="667"/>
      <c r="D193" s="667"/>
      <c r="E193" s="667"/>
      <c r="F193" s="667"/>
      <c r="G193" s="667"/>
      <c r="H193" s="667"/>
      <c r="I193" s="667"/>
      <c r="J193" s="667"/>
      <c r="K193" s="667"/>
      <c r="L193" s="667"/>
      <c r="M193" s="667"/>
      <c r="N193" s="667"/>
    </row>
    <row r="194" spans="1:14" ht="17.7">
      <c r="A194" s="667"/>
      <c r="B194" s="667"/>
      <c r="C194" s="667"/>
      <c r="D194" s="667"/>
      <c r="E194" s="667"/>
      <c r="F194" s="667"/>
      <c r="G194" s="667"/>
      <c r="H194" s="667"/>
      <c r="I194" s="667"/>
      <c r="J194" s="667"/>
      <c r="K194" s="667"/>
      <c r="L194" s="667"/>
      <c r="M194" s="667"/>
      <c r="N194" s="667"/>
    </row>
    <row r="195" spans="1:14" ht="17.7">
      <c r="A195" s="667"/>
      <c r="B195" s="667"/>
      <c r="C195" s="667"/>
      <c r="D195" s="667"/>
      <c r="E195" s="667"/>
      <c r="F195" s="667"/>
      <c r="G195" s="667"/>
      <c r="H195" s="667"/>
      <c r="I195" s="667"/>
      <c r="J195" s="667"/>
      <c r="K195" s="667"/>
      <c r="L195" s="667"/>
      <c r="M195" s="667"/>
      <c r="N195" s="667"/>
    </row>
    <row r="196" spans="1:14" ht="17.7">
      <c r="A196" s="667"/>
      <c r="B196" s="667"/>
      <c r="C196" s="667"/>
      <c r="D196" s="667"/>
      <c r="E196" s="667"/>
      <c r="F196" s="667"/>
      <c r="G196" s="667"/>
      <c r="H196" s="667"/>
      <c r="I196" s="667"/>
      <c r="J196" s="667"/>
      <c r="K196" s="667"/>
      <c r="L196" s="667"/>
      <c r="M196" s="667"/>
      <c r="N196" s="667"/>
    </row>
    <row r="197" spans="1:14" ht="17.7">
      <c r="A197" s="667"/>
      <c r="B197" s="667"/>
      <c r="C197" s="667"/>
      <c r="D197" s="667"/>
      <c r="E197" s="667"/>
      <c r="F197" s="667"/>
      <c r="G197" s="667"/>
      <c r="H197" s="667"/>
      <c r="I197" s="667"/>
      <c r="J197" s="667"/>
      <c r="K197" s="667"/>
      <c r="L197" s="667"/>
      <c r="M197" s="667"/>
      <c r="N197" s="667"/>
    </row>
    <row r="198" spans="1:14" ht="17.7">
      <c r="A198" s="667"/>
      <c r="B198" s="667"/>
      <c r="C198" s="667"/>
      <c r="D198" s="667"/>
      <c r="E198" s="667"/>
      <c r="F198" s="667"/>
      <c r="G198" s="667"/>
      <c r="H198" s="667"/>
      <c r="I198" s="667"/>
      <c r="J198" s="667"/>
      <c r="K198" s="667"/>
      <c r="L198" s="667"/>
      <c r="M198" s="667"/>
      <c r="N198" s="667"/>
    </row>
    <row r="199" spans="1:14" ht="17.7">
      <c r="A199" s="667"/>
      <c r="B199" s="667"/>
      <c r="C199" s="667"/>
      <c r="D199" s="667"/>
      <c r="E199" s="667"/>
      <c r="F199" s="667"/>
      <c r="G199" s="667"/>
      <c r="H199" s="667"/>
      <c r="I199" s="667"/>
      <c r="J199" s="667"/>
      <c r="K199" s="667"/>
      <c r="L199" s="667"/>
      <c r="M199" s="667"/>
      <c r="N199" s="667"/>
    </row>
    <row r="200" spans="1:14" ht="17.7">
      <c r="A200" s="667"/>
      <c r="B200" s="667"/>
      <c r="C200" s="667"/>
      <c r="D200" s="667"/>
      <c r="E200" s="667"/>
      <c r="F200" s="667"/>
      <c r="G200" s="667"/>
      <c r="H200" s="667"/>
      <c r="I200" s="667"/>
      <c r="J200" s="667"/>
      <c r="K200" s="667"/>
      <c r="L200" s="667"/>
      <c r="M200" s="667"/>
      <c r="N200" s="667"/>
    </row>
    <row r="201" spans="1:14" ht="17.7">
      <c r="A201" s="667"/>
      <c r="B201" s="667"/>
      <c r="C201" s="667"/>
      <c r="D201" s="667"/>
      <c r="E201" s="667"/>
      <c r="F201" s="667"/>
      <c r="G201" s="667"/>
      <c r="H201" s="667"/>
      <c r="I201" s="667"/>
      <c r="J201" s="667"/>
      <c r="K201" s="667"/>
      <c r="L201" s="667"/>
      <c r="M201" s="667"/>
      <c r="N201" s="667"/>
    </row>
    <row r="202" spans="1:14" ht="17.7">
      <c r="A202" s="667"/>
      <c r="B202" s="667"/>
      <c r="C202" s="667"/>
      <c r="D202" s="667"/>
      <c r="E202" s="667"/>
      <c r="F202" s="667"/>
      <c r="G202" s="667"/>
      <c r="H202" s="667"/>
      <c r="I202" s="667"/>
      <c r="J202" s="667"/>
      <c r="K202" s="667"/>
      <c r="L202" s="667"/>
      <c r="M202" s="667"/>
      <c r="N202" s="667"/>
    </row>
    <row r="203" spans="1:14" ht="17.7">
      <c r="A203" s="667"/>
      <c r="B203" s="667"/>
      <c r="C203" s="667"/>
      <c r="D203" s="667"/>
      <c r="E203" s="667"/>
      <c r="F203" s="667"/>
      <c r="G203" s="667"/>
      <c r="H203" s="667"/>
      <c r="I203" s="667"/>
      <c r="J203" s="667"/>
      <c r="K203" s="667"/>
      <c r="L203" s="667"/>
      <c r="M203" s="667"/>
      <c r="N203" s="667"/>
    </row>
    <row r="204" spans="1:14" ht="17.7">
      <c r="A204" s="667"/>
      <c r="B204" s="667"/>
      <c r="C204" s="667"/>
      <c r="D204" s="667"/>
      <c r="E204" s="667"/>
      <c r="F204" s="667"/>
      <c r="G204" s="667"/>
      <c r="H204" s="667"/>
      <c r="I204" s="667"/>
      <c r="J204" s="667"/>
      <c r="K204" s="667"/>
      <c r="L204" s="667"/>
      <c r="M204" s="667"/>
      <c r="N204" s="667"/>
    </row>
    <row r="205" spans="1:14" ht="17.7">
      <c r="A205" s="667"/>
      <c r="B205" s="667"/>
      <c r="C205" s="667"/>
      <c r="D205" s="667"/>
      <c r="E205" s="667"/>
      <c r="F205" s="667"/>
      <c r="G205" s="667"/>
      <c r="H205" s="667"/>
      <c r="I205" s="667"/>
      <c r="J205" s="667"/>
      <c r="K205" s="667"/>
      <c r="L205" s="667"/>
      <c r="M205" s="667"/>
      <c r="N205" s="667"/>
    </row>
    <row r="206" spans="1:14" ht="17.7">
      <c r="A206" s="667"/>
      <c r="B206" s="667"/>
      <c r="C206" s="667"/>
      <c r="D206" s="667"/>
      <c r="E206" s="667"/>
      <c r="F206" s="667"/>
      <c r="G206" s="667"/>
      <c r="H206" s="667"/>
      <c r="I206" s="667"/>
      <c r="J206" s="667"/>
      <c r="K206" s="667"/>
      <c r="L206" s="667"/>
      <c r="M206" s="667"/>
      <c r="N206" s="667"/>
    </row>
    <row r="207" spans="1:14" ht="17.7">
      <c r="A207" s="667"/>
      <c r="B207" s="667"/>
      <c r="C207" s="667"/>
      <c r="D207" s="667"/>
      <c r="E207" s="667"/>
      <c r="F207" s="667"/>
      <c r="G207" s="667"/>
      <c r="H207" s="667"/>
      <c r="I207" s="667"/>
      <c r="J207" s="667"/>
      <c r="K207" s="667"/>
      <c r="L207" s="667"/>
      <c r="M207" s="667"/>
      <c r="N207" s="667"/>
    </row>
    <row r="208" spans="1:14" ht="17.7">
      <c r="A208" s="667"/>
      <c r="B208" s="667"/>
      <c r="C208" s="667"/>
      <c r="D208" s="667"/>
      <c r="E208" s="667"/>
      <c r="F208" s="667"/>
      <c r="G208" s="667"/>
      <c r="H208" s="667"/>
      <c r="I208" s="667"/>
      <c r="J208" s="667"/>
      <c r="K208" s="667"/>
      <c r="L208" s="667"/>
      <c r="M208" s="667"/>
      <c r="N208" s="667"/>
    </row>
    <row r="209" spans="1:14" ht="17.7">
      <c r="A209" s="667"/>
      <c r="B209" s="667"/>
      <c r="C209" s="667"/>
      <c r="D209" s="667"/>
      <c r="E209" s="667"/>
      <c r="F209" s="667"/>
      <c r="G209" s="667"/>
      <c r="H209" s="667"/>
      <c r="I209" s="667"/>
      <c r="J209" s="667"/>
      <c r="K209" s="667"/>
      <c r="L209" s="667"/>
      <c r="M209" s="667"/>
      <c r="N209" s="667"/>
    </row>
    <row r="210" spans="1:14" ht="17.7">
      <c r="A210" s="667"/>
      <c r="B210" s="667"/>
      <c r="C210" s="667"/>
      <c r="D210" s="667"/>
      <c r="E210" s="667"/>
      <c r="F210" s="667"/>
      <c r="G210" s="667"/>
      <c r="H210" s="667"/>
      <c r="I210" s="667"/>
      <c r="J210" s="667"/>
      <c r="K210" s="667"/>
      <c r="L210" s="667"/>
      <c r="M210" s="667"/>
      <c r="N210" s="667"/>
    </row>
    <row r="211" spans="1:14" ht="17.7">
      <c r="A211" s="667"/>
      <c r="B211" s="667"/>
      <c r="C211" s="667"/>
      <c r="D211" s="667"/>
      <c r="E211" s="667"/>
      <c r="F211" s="667"/>
      <c r="G211" s="667"/>
      <c r="H211" s="667"/>
      <c r="I211" s="667"/>
      <c r="J211" s="667"/>
      <c r="K211" s="667"/>
      <c r="L211" s="667"/>
      <c r="M211" s="667"/>
      <c r="N211" s="667"/>
    </row>
    <row r="212" spans="1:14" ht="17.7">
      <c r="A212" s="667"/>
      <c r="B212" s="667"/>
      <c r="C212" s="667"/>
      <c r="D212" s="667"/>
      <c r="E212" s="667"/>
      <c r="F212" s="667"/>
      <c r="G212" s="667"/>
      <c r="H212" s="667"/>
      <c r="I212" s="667"/>
      <c r="J212" s="667"/>
      <c r="K212" s="667"/>
      <c r="L212" s="667"/>
      <c r="M212" s="667"/>
      <c r="N212" s="667"/>
    </row>
    <row r="213" spans="1:14" ht="17.7">
      <c r="A213" s="667"/>
      <c r="B213" s="667"/>
      <c r="C213" s="667"/>
      <c r="D213" s="667"/>
      <c r="E213" s="667"/>
      <c r="F213" s="667"/>
      <c r="G213" s="667"/>
      <c r="H213" s="667"/>
      <c r="I213" s="667"/>
      <c r="J213" s="667"/>
      <c r="K213" s="667"/>
      <c r="L213" s="667"/>
      <c r="M213" s="667"/>
      <c r="N213" s="667"/>
    </row>
    <row r="214" spans="1:14" ht="17.7">
      <c r="A214" s="667"/>
      <c r="B214" s="667"/>
      <c r="C214" s="667"/>
      <c r="D214" s="667"/>
      <c r="E214" s="667"/>
      <c r="F214" s="667"/>
      <c r="G214" s="667"/>
      <c r="H214" s="667"/>
      <c r="I214" s="667"/>
      <c r="J214" s="667"/>
      <c r="K214" s="667"/>
      <c r="L214" s="667"/>
      <c r="M214" s="667"/>
      <c r="N214" s="667"/>
    </row>
    <row r="215" spans="1:14" ht="17.7">
      <c r="A215" s="667"/>
      <c r="B215" s="667"/>
      <c r="C215" s="667"/>
      <c r="D215" s="667"/>
      <c r="E215" s="667"/>
      <c r="F215" s="667"/>
      <c r="G215" s="667"/>
      <c r="H215" s="667"/>
      <c r="I215" s="667"/>
      <c r="J215" s="667"/>
      <c r="K215" s="667"/>
      <c r="L215" s="667"/>
      <c r="M215" s="667"/>
      <c r="N215" s="667"/>
    </row>
    <row r="216" spans="1:14" ht="17.7">
      <c r="A216" s="667"/>
      <c r="B216" s="667"/>
      <c r="C216" s="667"/>
      <c r="D216" s="667"/>
      <c r="E216" s="667"/>
      <c r="F216" s="667"/>
      <c r="G216" s="667"/>
      <c r="H216" s="667"/>
      <c r="I216" s="667"/>
      <c r="J216" s="667"/>
      <c r="K216" s="667"/>
      <c r="L216" s="667"/>
      <c r="M216" s="667"/>
      <c r="N216" s="667"/>
    </row>
    <row r="217" spans="1:14" ht="17.7">
      <c r="A217" s="667"/>
      <c r="B217" s="667"/>
      <c r="C217" s="667"/>
      <c r="D217" s="667"/>
      <c r="E217" s="667"/>
      <c r="F217" s="667"/>
      <c r="G217" s="667"/>
      <c r="H217" s="667"/>
      <c r="I217" s="667"/>
      <c r="J217" s="667"/>
      <c r="K217" s="667"/>
      <c r="L217" s="667"/>
      <c r="M217" s="667"/>
      <c r="N217" s="667"/>
    </row>
    <row r="218" spans="1:14" ht="17.7">
      <c r="A218" s="667"/>
      <c r="B218" s="667"/>
      <c r="C218" s="667"/>
      <c r="D218" s="667"/>
      <c r="E218" s="667"/>
      <c r="F218" s="667"/>
      <c r="G218" s="667"/>
      <c r="H218" s="667"/>
      <c r="I218" s="667"/>
      <c r="J218" s="667"/>
      <c r="K218" s="667"/>
      <c r="L218" s="667"/>
      <c r="M218" s="667"/>
      <c r="N218" s="667"/>
    </row>
    <row r="219" spans="1:14" ht="17.7">
      <c r="A219" s="667"/>
      <c r="B219" s="667"/>
      <c r="C219" s="667"/>
      <c r="D219" s="667"/>
      <c r="E219" s="667"/>
      <c r="F219" s="667"/>
      <c r="G219" s="667"/>
      <c r="H219" s="667"/>
      <c r="I219" s="667"/>
      <c r="J219" s="667"/>
      <c r="K219" s="667"/>
      <c r="L219" s="667"/>
      <c r="M219" s="667"/>
      <c r="N219" s="667"/>
    </row>
    <row r="220" spans="1:14" ht="17.7">
      <c r="A220" s="667"/>
      <c r="B220" s="667"/>
      <c r="C220" s="667"/>
      <c r="D220" s="667"/>
      <c r="E220" s="667"/>
      <c r="F220" s="667"/>
      <c r="G220" s="667"/>
      <c r="H220" s="667"/>
      <c r="I220" s="667"/>
      <c r="J220" s="667"/>
      <c r="K220" s="667"/>
      <c r="L220" s="667"/>
      <c r="M220" s="667"/>
      <c r="N220" s="667"/>
    </row>
    <row r="221" spans="1:14" ht="17.7">
      <c r="A221" s="667"/>
      <c r="B221" s="667"/>
      <c r="C221" s="667"/>
      <c r="D221" s="667"/>
      <c r="E221" s="667"/>
      <c r="F221" s="667"/>
      <c r="G221" s="667"/>
      <c r="H221" s="667"/>
      <c r="I221" s="667"/>
      <c r="J221" s="667"/>
      <c r="K221" s="667"/>
      <c r="L221" s="667"/>
      <c r="M221" s="667"/>
      <c r="N221" s="667"/>
    </row>
    <row r="222" spans="1:14" ht="17.7">
      <c r="A222" s="667"/>
      <c r="B222" s="667"/>
      <c r="C222" s="667"/>
      <c r="D222" s="667"/>
      <c r="E222" s="667"/>
      <c r="F222" s="667"/>
      <c r="G222" s="667"/>
      <c r="H222" s="667"/>
      <c r="I222" s="667"/>
      <c r="J222" s="667"/>
      <c r="K222" s="667"/>
      <c r="L222" s="667"/>
      <c r="M222" s="667"/>
      <c r="N222" s="667"/>
    </row>
    <row r="223" spans="1:14" ht="17.7">
      <c r="A223" s="667"/>
      <c r="B223" s="667"/>
      <c r="C223" s="667"/>
      <c r="D223" s="667"/>
      <c r="E223" s="667"/>
      <c r="F223" s="667"/>
      <c r="G223" s="667"/>
      <c r="H223" s="667"/>
      <c r="I223" s="667"/>
      <c r="J223" s="667"/>
      <c r="K223" s="667"/>
      <c r="L223" s="667"/>
      <c r="M223" s="667"/>
      <c r="N223" s="667"/>
    </row>
    <row r="224" spans="1:14" ht="17.7">
      <c r="A224" s="667"/>
      <c r="B224" s="667"/>
      <c r="C224" s="667"/>
      <c r="D224" s="667"/>
      <c r="E224" s="667"/>
      <c r="F224" s="667"/>
      <c r="G224" s="667"/>
      <c r="H224" s="667"/>
      <c r="I224" s="667"/>
      <c r="J224" s="667"/>
      <c r="K224" s="667"/>
      <c r="L224" s="667"/>
      <c r="M224" s="667"/>
      <c r="N224" s="667"/>
    </row>
    <row r="225" spans="1:14" ht="17.7">
      <c r="A225" s="667"/>
      <c r="B225" s="667"/>
      <c r="C225" s="667"/>
      <c r="D225" s="667"/>
      <c r="E225" s="667"/>
      <c r="F225" s="667"/>
      <c r="G225" s="667"/>
      <c r="H225" s="667"/>
      <c r="I225" s="667"/>
      <c r="J225" s="667"/>
      <c r="K225" s="667"/>
      <c r="L225" s="667"/>
      <c r="M225" s="667"/>
      <c r="N225" s="667"/>
    </row>
    <row r="226" spans="1:14" ht="17.7">
      <c r="A226" s="667"/>
      <c r="B226" s="667"/>
      <c r="C226" s="667"/>
      <c r="D226" s="667"/>
      <c r="E226" s="667"/>
      <c r="F226" s="667"/>
      <c r="G226" s="667"/>
      <c r="H226" s="667"/>
      <c r="I226" s="667"/>
      <c r="J226" s="667"/>
      <c r="K226" s="667"/>
      <c r="L226" s="667"/>
      <c r="M226" s="667"/>
      <c r="N226" s="667"/>
    </row>
    <row r="227" spans="1:14" ht="17.7">
      <c r="A227" s="667"/>
      <c r="B227" s="667"/>
      <c r="C227" s="667"/>
      <c r="D227" s="667"/>
      <c r="E227" s="667"/>
      <c r="F227" s="667"/>
      <c r="G227" s="667"/>
      <c r="H227" s="667"/>
      <c r="I227" s="667"/>
      <c r="J227" s="667"/>
      <c r="K227" s="667"/>
      <c r="L227" s="667"/>
      <c r="M227" s="667"/>
      <c r="N227" s="667"/>
    </row>
    <row r="228" spans="1:14" ht="17.7">
      <c r="A228" s="667"/>
      <c r="B228" s="667"/>
      <c r="C228" s="667"/>
      <c r="D228" s="667"/>
      <c r="E228" s="667"/>
      <c r="F228" s="667"/>
      <c r="G228" s="667"/>
      <c r="H228" s="667"/>
      <c r="I228" s="667"/>
      <c r="J228" s="667"/>
      <c r="K228" s="667"/>
      <c r="L228" s="667"/>
      <c r="M228" s="667"/>
      <c r="N228" s="667"/>
    </row>
    <row r="229" spans="1:14" ht="17.7">
      <c r="A229" s="667"/>
      <c r="B229" s="667"/>
      <c r="C229" s="667"/>
      <c r="D229" s="667"/>
      <c r="E229" s="667"/>
      <c r="F229" s="667"/>
      <c r="G229" s="667"/>
      <c r="H229" s="667"/>
      <c r="I229" s="667"/>
      <c r="J229" s="667"/>
      <c r="K229" s="667"/>
      <c r="L229" s="667"/>
      <c r="M229" s="667"/>
      <c r="N229" s="667"/>
    </row>
    <row r="230" spans="1:14" ht="17.7">
      <c r="A230" s="667"/>
      <c r="B230" s="667"/>
      <c r="C230" s="667"/>
      <c r="D230" s="667"/>
      <c r="E230" s="667"/>
      <c r="F230" s="667"/>
      <c r="G230" s="667"/>
      <c r="H230" s="667"/>
      <c r="I230" s="667"/>
      <c r="J230" s="667"/>
      <c r="K230" s="667"/>
      <c r="L230" s="667"/>
      <c r="M230" s="667"/>
      <c r="N230" s="667"/>
    </row>
    <row r="231" spans="1:14" ht="17.7">
      <c r="A231" s="667"/>
      <c r="B231" s="667"/>
      <c r="C231" s="667"/>
      <c r="D231" s="667"/>
      <c r="E231" s="667"/>
      <c r="F231" s="667"/>
      <c r="G231" s="667"/>
      <c r="H231" s="667"/>
      <c r="I231" s="667"/>
      <c r="J231" s="667"/>
      <c r="K231" s="667"/>
      <c r="L231" s="667"/>
      <c r="M231" s="667"/>
      <c r="N231" s="667"/>
    </row>
    <row r="232" spans="1:14" ht="17.7">
      <c r="A232" s="667"/>
      <c r="B232" s="667"/>
      <c r="C232" s="667"/>
      <c r="D232" s="667"/>
      <c r="E232" s="667"/>
      <c r="F232" s="667"/>
      <c r="G232" s="667"/>
      <c r="H232" s="667"/>
      <c r="I232" s="667"/>
      <c r="J232" s="667"/>
      <c r="K232" s="667"/>
      <c r="L232" s="667"/>
      <c r="M232" s="667"/>
      <c r="N232" s="667"/>
    </row>
    <row r="233" spans="1:14" ht="17.7">
      <c r="A233" s="667"/>
      <c r="B233" s="667"/>
      <c r="C233" s="667"/>
      <c r="D233" s="667"/>
      <c r="E233" s="667"/>
      <c r="F233" s="667"/>
      <c r="G233" s="667"/>
      <c r="H233" s="667"/>
      <c r="I233" s="667"/>
      <c r="J233" s="667"/>
      <c r="K233" s="667"/>
      <c r="L233" s="667"/>
      <c r="M233" s="667"/>
      <c r="N233" s="667"/>
    </row>
    <row r="234" spans="1:14" ht="17.7">
      <c r="A234" s="667"/>
      <c r="B234" s="667"/>
      <c r="C234" s="667"/>
      <c r="D234" s="667"/>
      <c r="E234" s="667"/>
      <c r="F234" s="667"/>
      <c r="G234" s="667"/>
      <c r="H234" s="667"/>
      <c r="I234" s="667"/>
      <c r="J234" s="667"/>
      <c r="K234" s="667"/>
      <c r="L234" s="667"/>
      <c r="M234" s="667"/>
      <c r="N234" s="667"/>
    </row>
    <row r="235" spans="1:14" ht="17.7">
      <c r="A235" s="667"/>
      <c r="B235" s="667"/>
      <c r="C235" s="667"/>
      <c r="D235" s="667"/>
      <c r="E235" s="667"/>
      <c r="F235" s="667"/>
      <c r="G235" s="667"/>
      <c r="H235" s="667"/>
      <c r="I235" s="667"/>
      <c r="J235" s="667"/>
      <c r="K235" s="667"/>
      <c r="L235" s="667"/>
      <c r="M235" s="667"/>
      <c r="N235" s="667"/>
    </row>
    <row r="236" spans="1:14" ht="17.7">
      <c r="A236" s="667"/>
      <c r="B236" s="667"/>
      <c r="C236" s="667"/>
      <c r="D236" s="667"/>
      <c r="E236" s="667"/>
      <c r="F236" s="667"/>
      <c r="G236" s="667"/>
      <c r="H236" s="667"/>
      <c r="I236" s="667"/>
      <c r="J236" s="667"/>
      <c r="K236" s="667"/>
      <c r="L236" s="667"/>
      <c r="M236" s="667"/>
      <c r="N236" s="667"/>
    </row>
    <row r="237" spans="1:14" ht="17.7">
      <c r="A237" s="667"/>
      <c r="B237" s="667"/>
      <c r="C237" s="667"/>
      <c r="D237" s="667"/>
      <c r="E237" s="667"/>
      <c r="F237" s="667"/>
      <c r="G237" s="667"/>
      <c r="H237" s="667"/>
      <c r="I237" s="667"/>
      <c r="J237" s="667"/>
      <c r="K237" s="667"/>
      <c r="L237" s="667"/>
      <c r="M237" s="667"/>
      <c r="N237" s="667"/>
    </row>
    <row r="238" spans="1:14" ht="17.7">
      <c r="A238" s="667"/>
      <c r="B238" s="667"/>
      <c r="C238" s="667"/>
      <c r="D238" s="667"/>
      <c r="E238" s="667"/>
      <c r="F238" s="667"/>
      <c r="G238" s="667"/>
      <c r="H238" s="667"/>
      <c r="I238" s="667"/>
      <c r="J238" s="667"/>
      <c r="K238" s="667"/>
      <c r="L238" s="667"/>
      <c r="M238" s="667"/>
      <c r="N238" s="667"/>
    </row>
    <row r="239" spans="1:14" ht="17.7">
      <c r="A239" s="667"/>
      <c r="B239" s="667"/>
      <c r="C239" s="667"/>
      <c r="D239" s="667"/>
      <c r="E239" s="667"/>
      <c r="F239" s="667"/>
      <c r="G239" s="667"/>
      <c r="H239" s="667"/>
      <c r="I239" s="667"/>
      <c r="J239" s="667"/>
      <c r="K239" s="667"/>
      <c r="L239" s="667"/>
      <c r="M239" s="667"/>
      <c r="N239" s="667"/>
    </row>
    <row r="240" spans="1:14" ht="17.7">
      <c r="A240" s="667"/>
      <c r="B240" s="667"/>
      <c r="C240" s="667"/>
      <c r="D240" s="667"/>
      <c r="E240" s="667"/>
      <c r="F240" s="667"/>
      <c r="G240" s="667"/>
      <c r="H240" s="667"/>
      <c r="I240" s="667"/>
      <c r="J240" s="667"/>
      <c r="K240" s="667"/>
      <c r="L240" s="667"/>
      <c r="M240" s="667"/>
      <c r="N240" s="667"/>
    </row>
    <row r="241" spans="1:14" ht="17.7">
      <c r="A241" s="667"/>
      <c r="B241" s="667"/>
      <c r="C241" s="667"/>
      <c r="D241" s="667"/>
      <c r="E241" s="667"/>
      <c r="F241" s="667"/>
      <c r="G241" s="667"/>
      <c r="H241" s="667"/>
      <c r="I241" s="667"/>
      <c r="J241" s="667"/>
      <c r="K241" s="667"/>
      <c r="L241" s="667"/>
      <c r="M241" s="667"/>
      <c r="N241" s="667"/>
    </row>
    <row r="242" spans="1:14" ht="17.7">
      <c r="A242" s="667"/>
      <c r="B242" s="667"/>
      <c r="C242" s="667"/>
      <c r="D242" s="667"/>
      <c r="E242" s="667"/>
      <c r="F242" s="667"/>
      <c r="G242" s="667"/>
      <c r="H242" s="667"/>
      <c r="I242" s="667"/>
      <c r="J242" s="667"/>
      <c r="K242" s="667"/>
      <c r="L242" s="667"/>
      <c r="M242" s="667"/>
      <c r="N242" s="667"/>
    </row>
    <row r="243" spans="1:14" ht="17.7">
      <c r="A243" s="667"/>
      <c r="B243" s="667"/>
      <c r="C243" s="667"/>
      <c r="D243" s="667"/>
      <c r="E243" s="667"/>
      <c r="F243" s="667"/>
      <c r="G243" s="667"/>
      <c r="H243" s="667"/>
      <c r="I243" s="667"/>
      <c r="J243" s="667"/>
      <c r="K243" s="667"/>
      <c r="L243" s="667"/>
      <c r="M243" s="667"/>
      <c r="N243" s="667"/>
    </row>
    <row r="244" spans="1:14" ht="17.7">
      <c r="A244" s="667"/>
      <c r="B244" s="667"/>
      <c r="C244" s="667"/>
      <c r="D244" s="667"/>
      <c r="E244" s="667"/>
      <c r="F244" s="667"/>
      <c r="G244" s="667"/>
      <c r="H244" s="667"/>
      <c r="I244" s="667"/>
      <c r="J244" s="667"/>
      <c r="K244" s="667"/>
      <c r="L244" s="667"/>
      <c r="M244" s="667"/>
      <c r="N244" s="667"/>
    </row>
    <row r="245" spans="1:14" ht="17.7">
      <c r="A245" s="667"/>
      <c r="B245" s="667"/>
      <c r="C245" s="667"/>
      <c r="D245" s="667"/>
      <c r="E245" s="667"/>
      <c r="F245" s="667"/>
      <c r="G245" s="667"/>
      <c r="H245" s="667"/>
      <c r="I245" s="667"/>
      <c r="J245" s="667"/>
      <c r="K245" s="667"/>
      <c r="L245" s="667"/>
      <c r="M245" s="667"/>
      <c r="N245" s="667"/>
    </row>
    <row r="246" spans="1:14" ht="17.7">
      <c r="A246" s="667"/>
      <c r="B246" s="667"/>
      <c r="C246" s="667"/>
      <c r="D246" s="667"/>
      <c r="E246" s="667"/>
      <c r="F246" s="667"/>
      <c r="G246" s="667"/>
      <c r="H246" s="667"/>
      <c r="I246" s="667"/>
      <c r="J246" s="667"/>
      <c r="K246" s="667"/>
      <c r="L246" s="667"/>
      <c r="M246" s="667"/>
      <c r="N246" s="667"/>
    </row>
    <row r="247" spans="1:14" ht="17.7">
      <c r="A247" s="667"/>
      <c r="B247" s="667"/>
      <c r="C247" s="667"/>
      <c r="D247" s="667"/>
      <c r="E247" s="667"/>
      <c r="F247" s="667"/>
      <c r="G247" s="667"/>
      <c r="H247" s="667"/>
      <c r="I247" s="667"/>
      <c r="J247" s="667"/>
      <c r="K247" s="667"/>
      <c r="L247" s="667"/>
      <c r="M247" s="667"/>
      <c r="N247" s="667"/>
    </row>
    <row r="248" spans="1:14" ht="17.7">
      <c r="A248" s="667"/>
      <c r="B248" s="667"/>
      <c r="C248" s="667"/>
      <c r="D248" s="667"/>
      <c r="E248" s="667"/>
      <c r="F248" s="667"/>
      <c r="G248" s="667"/>
      <c r="H248" s="667"/>
      <c r="I248" s="667"/>
      <c r="J248" s="667"/>
      <c r="K248" s="667"/>
      <c r="L248" s="667"/>
      <c r="M248" s="667"/>
      <c r="N248" s="667"/>
    </row>
    <row r="249" spans="1:14" ht="17.7">
      <c r="A249" s="667"/>
      <c r="B249" s="667"/>
      <c r="C249" s="667"/>
      <c r="D249" s="667"/>
      <c r="E249" s="667"/>
      <c r="F249" s="667"/>
      <c r="G249" s="667"/>
      <c r="H249" s="667"/>
      <c r="I249" s="667"/>
      <c r="J249" s="667"/>
      <c r="K249" s="667"/>
      <c r="L249" s="667"/>
      <c r="M249" s="667"/>
      <c r="N249" s="667"/>
    </row>
    <row r="250" spans="1:14" ht="17.7">
      <c r="A250" s="667"/>
      <c r="B250" s="667"/>
      <c r="C250" s="667"/>
      <c r="D250" s="667"/>
      <c r="E250" s="667"/>
      <c r="F250" s="667"/>
      <c r="G250" s="667"/>
      <c r="H250" s="667"/>
      <c r="I250" s="667"/>
      <c r="J250" s="667"/>
      <c r="K250" s="667"/>
      <c r="L250" s="667"/>
      <c r="M250" s="667"/>
      <c r="N250" s="667"/>
    </row>
    <row r="251" spans="1:14" ht="17.7">
      <c r="A251" s="667"/>
      <c r="B251" s="667"/>
      <c r="C251" s="667"/>
      <c r="D251" s="667"/>
      <c r="E251" s="667"/>
      <c r="F251" s="667"/>
      <c r="G251" s="667"/>
      <c r="H251" s="667"/>
      <c r="I251" s="667"/>
      <c r="J251" s="667"/>
      <c r="K251" s="667"/>
      <c r="L251" s="667"/>
      <c r="M251" s="667"/>
      <c r="N251" s="667"/>
    </row>
    <row r="252" spans="1:14" ht="17.7">
      <c r="A252" s="667"/>
      <c r="B252" s="667"/>
      <c r="C252" s="667"/>
      <c r="D252" s="667"/>
      <c r="E252" s="667"/>
      <c r="F252" s="667"/>
      <c r="G252" s="667"/>
      <c r="H252" s="667"/>
      <c r="I252" s="667"/>
      <c r="J252" s="667"/>
      <c r="K252" s="667"/>
      <c r="L252" s="667"/>
      <c r="M252" s="667"/>
      <c r="N252" s="667"/>
    </row>
    <row r="253" spans="1:14" ht="17.7">
      <c r="A253" s="667"/>
      <c r="B253" s="667"/>
      <c r="C253" s="667"/>
      <c r="D253" s="667"/>
      <c r="E253" s="667"/>
      <c r="F253" s="667"/>
      <c r="G253" s="667"/>
      <c r="H253" s="667"/>
      <c r="I253" s="667"/>
      <c r="J253" s="667"/>
      <c r="K253" s="667"/>
      <c r="L253" s="667"/>
      <c r="M253" s="667"/>
      <c r="N253" s="667"/>
    </row>
    <row r="254" spans="1:14" ht="17.7">
      <c r="A254" s="667"/>
      <c r="B254" s="667"/>
      <c r="C254" s="667"/>
      <c r="D254" s="667"/>
      <c r="E254" s="667"/>
      <c r="F254" s="667"/>
      <c r="G254" s="667"/>
      <c r="H254" s="667"/>
      <c r="I254" s="667"/>
      <c r="J254" s="667"/>
      <c r="K254" s="667"/>
      <c r="L254" s="667"/>
      <c r="M254" s="667"/>
      <c r="N254" s="667"/>
    </row>
    <row r="255" spans="1:14" ht="17.7">
      <c r="A255" s="667"/>
      <c r="B255" s="667"/>
      <c r="C255" s="667"/>
      <c r="D255" s="667"/>
      <c r="E255" s="667"/>
      <c r="F255" s="667"/>
      <c r="G255" s="667"/>
      <c r="H255" s="667"/>
      <c r="I255" s="667"/>
      <c r="J255" s="667"/>
      <c r="K255" s="667"/>
      <c r="L255" s="667"/>
      <c r="M255" s="667"/>
      <c r="N255" s="667"/>
    </row>
    <row r="256" spans="1:14" ht="17.7">
      <c r="A256" s="667"/>
      <c r="B256" s="667"/>
      <c r="C256" s="667"/>
      <c r="D256" s="667"/>
      <c r="E256" s="667"/>
      <c r="F256" s="667"/>
      <c r="G256" s="667"/>
      <c r="H256" s="667"/>
      <c r="I256" s="667"/>
      <c r="J256" s="667"/>
      <c r="K256" s="667"/>
      <c r="L256" s="667"/>
      <c r="M256" s="667"/>
      <c r="N256" s="667"/>
    </row>
    <row r="257" spans="1:14" ht="17.7">
      <c r="A257" s="667"/>
      <c r="B257" s="667"/>
      <c r="C257" s="667"/>
      <c r="D257" s="667"/>
      <c r="E257" s="667"/>
      <c r="F257" s="667"/>
      <c r="G257" s="667"/>
      <c r="H257" s="667"/>
      <c r="I257" s="667"/>
      <c r="J257" s="667"/>
      <c r="K257" s="667"/>
      <c r="L257" s="667"/>
      <c r="M257" s="667"/>
      <c r="N257" s="667"/>
    </row>
    <row r="258" spans="1:14" ht="17.7">
      <c r="A258" s="667"/>
      <c r="B258" s="667"/>
      <c r="C258" s="667"/>
      <c r="D258" s="667"/>
      <c r="E258" s="667"/>
      <c r="F258" s="667"/>
      <c r="G258" s="667"/>
      <c r="H258" s="667"/>
      <c r="I258" s="667"/>
      <c r="J258" s="667"/>
      <c r="K258" s="667"/>
      <c r="L258" s="667"/>
      <c r="M258" s="667"/>
      <c r="N258" s="667"/>
    </row>
    <row r="259" spans="1:14" ht="17.7">
      <c r="A259" s="667"/>
      <c r="B259" s="667"/>
      <c r="C259" s="667"/>
      <c r="D259" s="667"/>
      <c r="E259" s="667"/>
      <c r="F259" s="667"/>
      <c r="G259" s="667"/>
      <c r="H259" s="667"/>
      <c r="I259" s="667"/>
      <c r="J259" s="667"/>
      <c r="K259" s="667"/>
      <c r="L259" s="667"/>
      <c r="M259" s="667"/>
      <c r="N259" s="667"/>
    </row>
    <row r="260" spans="1:14" ht="17.7">
      <c r="A260" s="667"/>
      <c r="B260" s="667"/>
      <c r="C260" s="667"/>
      <c r="D260" s="667"/>
      <c r="E260" s="667"/>
      <c r="F260" s="667"/>
      <c r="G260" s="667"/>
      <c r="H260" s="667"/>
      <c r="I260" s="667"/>
      <c r="J260" s="667"/>
      <c r="K260" s="667"/>
      <c r="L260" s="667"/>
      <c r="M260" s="667"/>
      <c r="N260" s="667"/>
    </row>
    <row r="261" spans="1:14" ht="17.7">
      <c r="A261" s="667"/>
      <c r="B261" s="667"/>
      <c r="C261" s="667"/>
      <c r="D261" s="667"/>
      <c r="E261" s="667"/>
      <c r="F261" s="667"/>
      <c r="G261" s="667"/>
      <c r="H261" s="667"/>
      <c r="I261" s="667"/>
      <c r="J261" s="667"/>
      <c r="K261" s="667"/>
      <c r="L261" s="667"/>
      <c r="M261" s="667"/>
      <c r="N261" s="667"/>
    </row>
    <row r="262" spans="1:14" ht="17.7">
      <c r="A262" s="667"/>
      <c r="B262" s="667"/>
      <c r="C262" s="667"/>
      <c r="D262" s="667"/>
      <c r="E262" s="667"/>
      <c r="F262" s="667"/>
      <c r="G262" s="667"/>
      <c r="H262" s="667"/>
      <c r="I262" s="667"/>
      <c r="J262" s="667"/>
      <c r="K262" s="667"/>
      <c r="L262" s="667"/>
      <c r="M262" s="667"/>
      <c r="N262" s="667"/>
    </row>
    <row r="263" spans="1:14" ht="17.7">
      <c r="A263" s="667"/>
      <c r="B263" s="667"/>
      <c r="C263" s="667"/>
      <c r="D263" s="667"/>
      <c r="E263" s="667"/>
      <c r="F263" s="667"/>
      <c r="G263" s="667"/>
      <c r="H263" s="667"/>
      <c r="I263" s="667"/>
      <c r="J263" s="667"/>
      <c r="K263" s="667"/>
      <c r="L263" s="667"/>
      <c r="M263" s="667"/>
      <c r="N263" s="667"/>
    </row>
    <row r="264" spans="1:14" ht="17.7">
      <c r="A264" s="667"/>
      <c r="B264" s="667"/>
      <c r="C264" s="667"/>
      <c r="D264" s="667"/>
      <c r="E264" s="667"/>
      <c r="F264" s="667"/>
      <c r="G264" s="667"/>
      <c r="H264" s="667"/>
      <c r="I264" s="667"/>
      <c r="J264" s="667"/>
      <c r="K264" s="667"/>
      <c r="L264" s="667"/>
      <c r="M264" s="667"/>
      <c r="N264" s="667"/>
    </row>
    <row r="265" spans="1:14" ht="17.7">
      <c r="A265" s="667"/>
      <c r="B265" s="667"/>
      <c r="C265" s="667"/>
      <c r="D265" s="667"/>
      <c r="E265" s="667"/>
      <c r="F265" s="667"/>
      <c r="G265" s="667"/>
      <c r="H265" s="667"/>
      <c r="I265" s="667"/>
      <c r="J265" s="667"/>
      <c r="K265" s="667"/>
      <c r="L265" s="667"/>
      <c r="M265" s="667"/>
      <c r="N265" s="667"/>
    </row>
    <row r="266" spans="1:14" ht="17.7">
      <c r="A266" s="667"/>
      <c r="B266" s="667"/>
      <c r="C266" s="667"/>
      <c r="D266" s="667"/>
      <c r="E266" s="667"/>
      <c r="F266" s="667"/>
      <c r="G266" s="667"/>
      <c r="H266" s="667"/>
      <c r="I266" s="667"/>
      <c r="J266" s="667"/>
      <c r="K266" s="667"/>
      <c r="L266" s="667"/>
      <c r="M266" s="667"/>
      <c r="N266" s="667"/>
    </row>
    <row r="267" spans="1:14" ht="17.7">
      <c r="A267" s="667"/>
      <c r="B267" s="667"/>
      <c r="C267" s="667"/>
      <c r="D267" s="667"/>
      <c r="E267" s="667"/>
      <c r="F267" s="667"/>
      <c r="G267" s="667"/>
      <c r="H267" s="667"/>
      <c r="I267" s="667"/>
      <c r="J267" s="667"/>
      <c r="K267" s="667"/>
      <c r="L267" s="667"/>
      <c r="M267" s="667"/>
      <c r="N267" s="667"/>
    </row>
    <row r="268" spans="1:14" ht="17.7">
      <c r="A268" s="667"/>
      <c r="B268" s="667"/>
      <c r="C268" s="667"/>
      <c r="D268" s="667"/>
      <c r="E268" s="667"/>
      <c r="F268" s="667"/>
      <c r="G268" s="667"/>
      <c r="H268" s="667"/>
      <c r="I268" s="667"/>
      <c r="J268" s="667"/>
      <c r="K268" s="667"/>
      <c r="L268" s="667"/>
      <c r="M268" s="667"/>
      <c r="N268" s="667"/>
    </row>
    <row r="269" spans="1:14" ht="17.7">
      <c r="A269" s="667"/>
      <c r="B269" s="667"/>
      <c r="C269" s="667"/>
      <c r="D269" s="667"/>
      <c r="E269" s="667"/>
      <c r="F269" s="667"/>
      <c r="G269" s="667"/>
      <c r="H269" s="667"/>
      <c r="I269" s="667"/>
      <c r="J269" s="667"/>
      <c r="K269" s="667"/>
      <c r="L269" s="667"/>
      <c r="M269" s="667"/>
      <c r="N269" s="667"/>
    </row>
    <row r="270" spans="1:14" ht="17.7">
      <c r="A270" s="667"/>
      <c r="B270" s="667"/>
      <c r="C270" s="667"/>
      <c r="D270" s="667"/>
      <c r="E270" s="667"/>
      <c r="F270" s="667"/>
      <c r="G270" s="667"/>
      <c r="H270" s="667"/>
      <c r="I270" s="667"/>
      <c r="J270" s="667"/>
      <c r="K270" s="667"/>
      <c r="L270" s="667"/>
      <c r="M270" s="667"/>
      <c r="N270" s="667"/>
    </row>
    <row r="271" spans="1:14" ht="17.7">
      <c r="A271" s="667"/>
      <c r="B271" s="667"/>
      <c r="C271" s="667"/>
      <c r="D271" s="667"/>
      <c r="E271" s="667"/>
      <c r="F271" s="667"/>
      <c r="G271" s="667"/>
      <c r="H271" s="667"/>
      <c r="I271" s="667"/>
      <c r="J271" s="667"/>
      <c r="K271" s="667"/>
      <c r="L271" s="667"/>
      <c r="M271" s="667"/>
      <c r="N271" s="667"/>
    </row>
    <row r="272" spans="1:14" ht="17.7">
      <c r="A272" s="667"/>
      <c r="B272" s="667"/>
      <c r="C272" s="667"/>
      <c r="D272" s="667"/>
      <c r="E272" s="667"/>
      <c r="F272" s="667"/>
      <c r="G272" s="667"/>
      <c r="H272" s="667"/>
      <c r="I272" s="667"/>
      <c r="J272" s="667"/>
      <c r="K272" s="667"/>
      <c r="L272" s="667"/>
      <c r="M272" s="667"/>
      <c r="N272" s="667"/>
    </row>
    <row r="273" spans="1:14" ht="17.7">
      <c r="A273" s="667"/>
      <c r="B273" s="667"/>
      <c r="C273" s="667"/>
      <c r="D273" s="667"/>
      <c r="E273" s="667"/>
      <c r="F273" s="667"/>
      <c r="G273" s="667"/>
      <c r="H273" s="667"/>
      <c r="I273" s="667"/>
      <c r="J273" s="667"/>
      <c r="K273" s="667"/>
      <c r="L273" s="667"/>
      <c r="M273" s="667"/>
      <c r="N273" s="667"/>
    </row>
    <row r="274" spans="1:14" ht="17.7">
      <c r="A274" s="667"/>
      <c r="B274" s="667"/>
      <c r="C274" s="667"/>
      <c r="D274" s="667"/>
      <c r="E274" s="667"/>
      <c r="F274" s="667"/>
      <c r="G274" s="667"/>
      <c r="H274" s="667"/>
      <c r="I274" s="667"/>
      <c r="J274" s="667"/>
      <c r="K274" s="667"/>
      <c r="L274" s="667"/>
      <c r="M274" s="667"/>
      <c r="N274" s="667"/>
    </row>
    <row r="275" spans="1:14" ht="17.7">
      <c r="A275" s="667"/>
      <c r="B275" s="667"/>
      <c r="C275" s="667"/>
      <c r="D275" s="667"/>
      <c r="E275" s="667"/>
      <c r="F275" s="667"/>
      <c r="G275" s="667"/>
      <c r="H275" s="667"/>
      <c r="I275" s="667"/>
      <c r="J275" s="667"/>
      <c r="K275" s="667"/>
      <c r="L275" s="667"/>
      <c r="M275" s="667"/>
      <c r="N275" s="667"/>
    </row>
    <row r="276" spans="1:14" ht="17.7">
      <c r="A276" s="667"/>
      <c r="B276" s="667"/>
      <c r="C276" s="667"/>
      <c r="D276" s="667"/>
      <c r="E276" s="667"/>
      <c r="F276" s="667"/>
      <c r="G276" s="667"/>
      <c r="H276" s="667"/>
      <c r="I276" s="667"/>
      <c r="J276" s="667"/>
      <c r="K276" s="667"/>
      <c r="L276" s="667"/>
      <c r="M276" s="667"/>
      <c r="N276" s="667"/>
    </row>
    <row r="277" spans="1:14" ht="17.7">
      <c r="A277" s="667"/>
      <c r="B277" s="667"/>
      <c r="C277" s="667"/>
      <c r="D277" s="667"/>
      <c r="E277" s="667"/>
      <c r="F277" s="667"/>
      <c r="G277" s="667"/>
      <c r="H277" s="667"/>
      <c r="I277" s="667"/>
      <c r="J277" s="667"/>
      <c r="K277" s="667"/>
      <c r="L277" s="667"/>
      <c r="M277" s="667"/>
      <c r="N277" s="667"/>
    </row>
    <row r="278" spans="1:14" ht="17.7">
      <c r="A278" s="667"/>
      <c r="B278" s="667"/>
      <c r="C278" s="667"/>
      <c r="D278" s="667"/>
      <c r="E278" s="667"/>
      <c r="F278" s="667"/>
      <c r="G278" s="667"/>
      <c r="H278" s="667"/>
      <c r="I278" s="667"/>
      <c r="J278" s="667"/>
      <c r="K278" s="667"/>
      <c r="L278" s="667"/>
      <c r="M278" s="667"/>
      <c r="N278" s="667"/>
    </row>
    <row r="279" spans="1:14" ht="17.7">
      <c r="A279" s="667"/>
      <c r="B279" s="667"/>
      <c r="C279" s="667"/>
      <c r="D279" s="667"/>
      <c r="E279" s="667"/>
      <c r="F279" s="667"/>
      <c r="G279" s="667"/>
      <c r="H279" s="667"/>
      <c r="I279" s="667"/>
      <c r="J279" s="667"/>
      <c r="K279" s="667"/>
      <c r="L279" s="667"/>
      <c r="M279" s="667"/>
      <c r="N279" s="667"/>
    </row>
    <row r="280" spans="1:14" ht="17.7">
      <c r="A280" s="667"/>
      <c r="B280" s="667"/>
      <c r="C280" s="667"/>
      <c r="D280" s="667"/>
      <c r="E280" s="667"/>
      <c r="F280" s="667"/>
      <c r="G280" s="667"/>
      <c r="H280" s="667"/>
      <c r="I280" s="667"/>
      <c r="J280" s="667"/>
      <c r="K280" s="667"/>
      <c r="L280" s="667"/>
      <c r="M280" s="667"/>
      <c r="N280" s="667"/>
    </row>
    <row r="281" spans="1:14" ht="17.7">
      <c r="A281" s="667"/>
      <c r="B281" s="667"/>
      <c r="C281" s="667"/>
      <c r="D281" s="667"/>
      <c r="E281" s="667"/>
      <c r="F281" s="667"/>
      <c r="G281" s="667"/>
      <c r="H281" s="667"/>
      <c r="I281" s="667"/>
      <c r="J281" s="667"/>
      <c r="K281" s="667"/>
      <c r="L281" s="667"/>
      <c r="M281" s="667"/>
      <c r="N281" s="667"/>
    </row>
    <row r="282" spans="1:14" ht="17.7">
      <c r="A282" s="667"/>
      <c r="B282" s="667"/>
      <c r="C282" s="667"/>
      <c r="D282" s="667"/>
      <c r="E282" s="667"/>
      <c r="F282" s="667"/>
      <c r="G282" s="667"/>
      <c r="H282" s="667"/>
      <c r="I282" s="667"/>
      <c r="J282" s="667"/>
      <c r="K282" s="667"/>
      <c r="L282" s="667"/>
      <c r="M282" s="667"/>
      <c r="N282" s="667"/>
    </row>
    <row r="283" spans="1:14" ht="17.7">
      <c r="A283" s="667"/>
      <c r="B283" s="667"/>
      <c r="C283" s="667"/>
      <c r="D283" s="667"/>
      <c r="E283" s="667"/>
      <c r="F283" s="667"/>
      <c r="G283" s="667"/>
      <c r="H283" s="667"/>
      <c r="I283" s="667"/>
      <c r="J283" s="667"/>
      <c r="K283" s="667"/>
      <c r="L283" s="667"/>
      <c r="M283" s="667"/>
      <c r="N283" s="667"/>
    </row>
    <row r="284" spans="1:14" ht="17.7">
      <c r="A284" s="667"/>
      <c r="B284" s="667"/>
      <c r="C284" s="667"/>
      <c r="D284" s="667"/>
      <c r="E284" s="667"/>
      <c r="F284" s="667"/>
      <c r="G284" s="667"/>
      <c r="H284" s="667"/>
      <c r="I284" s="667"/>
      <c r="J284" s="667"/>
      <c r="K284" s="667"/>
      <c r="L284" s="667"/>
      <c r="M284" s="667"/>
      <c r="N284" s="667"/>
    </row>
    <row r="285" spans="1:14" ht="17.7">
      <c r="A285" s="667"/>
      <c r="B285" s="667"/>
      <c r="C285" s="667"/>
      <c r="D285" s="667"/>
      <c r="E285" s="667"/>
      <c r="F285" s="667"/>
      <c r="G285" s="667"/>
      <c r="H285" s="667"/>
      <c r="I285" s="667"/>
      <c r="J285" s="667"/>
      <c r="K285" s="667"/>
      <c r="L285" s="667"/>
      <c r="M285" s="667"/>
      <c r="N285" s="667"/>
    </row>
    <row r="286" spans="1:14" ht="17.7">
      <c r="A286" s="667"/>
      <c r="B286" s="667"/>
      <c r="C286" s="667"/>
      <c r="D286" s="667"/>
      <c r="E286" s="667"/>
      <c r="F286" s="667"/>
      <c r="G286" s="667"/>
      <c r="H286" s="667"/>
      <c r="I286" s="667"/>
      <c r="J286" s="667"/>
      <c r="K286" s="667"/>
      <c r="L286" s="667"/>
      <c r="M286" s="667"/>
      <c r="N286" s="667"/>
    </row>
    <row r="287" spans="1:14" ht="17.7">
      <c r="A287" s="667"/>
      <c r="B287" s="667"/>
      <c r="C287" s="667"/>
      <c r="D287" s="667"/>
      <c r="E287" s="667"/>
      <c r="F287" s="667"/>
      <c r="G287" s="667"/>
      <c r="H287" s="667"/>
      <c r="I287" s="667"/>
      <c r="J287" s="667"/>
      <c r="K287" s="667"/>
      <c r="L287" s="667"/>
      <c r="M287" s="667"/>
      <c r="N287" s="667"/>
    </row>
    <row r="288" spans="1:14" ht="17.7">
      <c r="A288" s="667"/>
      <c r="B288" s="667"/>
      <c r="C288" s="667"/>
      <c r="D288" s="667"/>
      <c r="E288" s="667"/>
      <c r="F288" s="667"/>
      <c r="G288" s="667"/>
      <c r="H288" s="667"/>
      <c r="I288" s="667"/>
      <c r="J288" s="667"/>
      <c r="K288" s="667"/>
      <c r="L288" s="667"/>
      <c r="M288" s="667"/>
      <c r="N288" s="667"/>
    </row>
    <row r="289" spans="1:14" ht="17.7">
      <c r="A289" s="667"/>
      <c r="B289" s="667"/>
      <c r="C289" s="667"/>
      <c r="D289" s="667"/>
      <c r="E289" s="667"/>
      <c r="F289" s="667"/>
      <c r="G289" s="667"/>
      <c r="H289" s="667"/>
      <c r="I289" s="667"/>
      <c r="J289" s="667"/>
      <c r="K289" s="667"/>
      <c r="L289" s="667"/>
      <c r="M289" s="667"/>
      <c r="N289" s="667"/>
    </row>
    <row r="290" spans="1:14" ht="17.7">
      <c r="A290" s="667"/>
      <c r="B290" s="667"/>
      <c r="C290" s="667"/>
      <c r="D290" s="667"/>
      <c r="E290" s="667"/>
      <c r="F290" s="667"/>
      <c r="G290" s="667"/>
      <c r="H290" s="667"/>
      <c r="I290" s="667"/>
      <c r="J290" s="667"/>
      <c r="K290" s="667"/>
      <c r="L290" s="667"/>
      <c r="M290" s="667"/>
      <c r="N290" s="667"/>
    </row>
    <row r="291" spans="1:14" ht="17.7">
      <c r="A291" s="667"/>
      <c r="B291" s="667"/>
      <c r="C291" s="667"/>
      <c r="D291" s="667"/>
      <c r="E291" s="667"/>
      <c r="F291" s="667"/>
      <c r="G291" s="667"/>
      <c r="H291" s="667"/>
      <c r="I291" s="667"/>
      <c r="J291" s="667"/>
      <c r="K291" s="667"/>
      <c r="L291" s="667"/>
      <c r="M291" s="667"/>
      <c r="N291" s="667"/>
    </row>
    <row r="292" spans="1:14" ht="17.7">
      <c r="A292" s="667"/>
      <c r="B292" s="667"/>
      <c r="C292" s="667"/>
      <c r="D292" s="667"/>
      <c r="E292" s="667"/>
      <c r="F292" s="667"/>
      <c r="G292" s="667"/>
      <c r="H292" s="667"/>
      <c r="I292" s="667"/>
      <c r="J292" s="667"/>
      <c r="K292" s="667"/>
      <c r="L292" s="667"/>
      <c r="M292" s="667"/>
      <c r="N292" s="667"/>
    </row>
    <row r="293" spans="1:14" ht="17.7">
      <c r="A293" s="667"/>
      <c r="B293" s="667"/>
      <c r="C293" s="667"/>
      <c r="D293" s="667"/>
      <c r="E293" s="667"/>
      <c r="F293" s="667"/>
      <c r="G293" s="667"/>
      <c r="H293" s="667"/>
      <c r="I293" s="667"/>
      <c r="J293" s="667"/>
      <c r="K293" s="667"/>
      <c r="L293" s="667"/>
      <c r="M293" s="667"/>
      <c r="N293" s="667"/>
    </row>
    <row r="294" spans="1:14" ht="17.7">
      <c r="A294" s="667"/>
      <c r="B294" s="667"/>
      <c r="C294" s="667"/>
      <c r="D294" s="667"/>
      <c r="E294" s="667"/>
      <c r="F294" s="667"/>
      <c r="G294" s="667"/>
      <c r="H294" s="667"/>
      <c r="I294" s="667"/>
      <c r="J294" s="667"/>
      <c r="K294" s="667"/>
      <c r="L294" s="667"/>
      <c r="M294" s="667"/>
      <c r="N294" s="667"/>
    </row>
    <row r="295" spans="1:14" ht="17.7">
      <c r="A295" s="667"/>
      <c r="B295" s="667"/>
      <c r="C295" s="667"/>
      <c r="D295" s="667"/>
      <c r="E295" s="667"/>
      <c r="F295" s="667"/>
      <c r="G295" s="667"/>
      <c r="H295" s="667"/>
      <c r="I295" s="667"/>
      <c r="J295" s="667"/>
      <c r="K295" s="667"/>
      <c r="L295" s="667"/>
      <c r="M295" s="667"/>
      <c r="N295" s="667"/>
    </row>
    <row r="296" spans="1:14" ht="17.7">
      <c r="A296" s="667"/>
      <c r="B296" s="667"/>
      <c r="C296" s="667"/>
      <c r="D296" s="667"/>
      <c r="E296" s="667"/>
      <c r="F296" s="667"/>
      <c r="G296" s="667"/>
      <c r="H296" s="667"/>
      <c r="I296" s="667"/>
      <c r="J296" s="667"/>
      <c r="K296" s="667"/>
      <c r="L296" s="667"/>
      <c r="M296" s="667"/>
      <c r="N296" s="667"/>
    </row>
    <row r="297" spans="1:14" ht="17.7">
      <c r="A297" s="667"/>
      <c r="B297" s="667"/>
      <c r="C297" s="667"/>
      <c r="D297" s="667"/>
      <c r="E297" s="667"/>
      <c r="F297" s="667"/>
      <c r="G297" s="667"/>
      <c r="H297" s="667"/>
      <c r="I297" s="667"/>
      <c r="J297" s="667"/>
      <c r="K297" s="667"/>
      <c r="L297" s="667"/>
      <c r="M297" s="667"/>
      <c r="N297" s="667"/>
    </row>
    <row r="298" spans="1:14" ht="17.7">
      <c r="A298" s="667"/>
      <c r="B298" s="667"/>
      <c r="C298" s="667"/>
      <c r="D298" s="667"/>
      <c r="E298" s="667"/>
      <c r="F298" s="667"/>
      <c r="G298" s="667"/>
      <c r="H298" s="667"/>
      <c r="I298" s="667"/>
      <c r="J298" s="667"/>
      <c r="K298" s="667"/>
      <c r="L298" s="667"/>
      <c r="M298" s="667"/>
      <c r="N298" s="667"/>
    </row>
    <row r="299" spans="1:14" ht="17.7">
      <c r="A299" s="667"/>
      <c r="B299" s="667"/>
      <c r="C299" s="667"/>
      <c r="D299" s="667"/>
      <c r="E299" s="667"/>
      <c r="F299" s="667"/>
      <c r="G299" s="667"/>
      <c r="H299" s="667"/>
      <c r="I299" s="667"/>
      <c r="J299" s="667"/>
      <c r="K299" s="667"/>
      <c r="L299" s="667"/>
      <c r="M299" s="667"/>
      <c r="N299" s="667"/>
    </row>
    <row r="300" spans="1:14" ht="17.7">
      <c r="A300" s="667"/>
      <c r="B300" s="667"/>
      <c r="C300" s="667"/>
      <c r="D300" s="667"/>
      <c r="E300" s="667"/>
      <c r="F300" s="667"/>
      <c r="G300" s="667"/>
      <c r="H300" s="667"/>
      <c r="I300" s="667"/>
      <c r="J300" s="667"/>
      <c r="K300" s="667"/>
      <c r="L300" s="667"/>
      <c r="M300" s="667"/>
      <c r="N300" s="667"/>
    </row>
    <row r="301" spans="1:14" ht="17.7">
      <c r="A301" s="667"/>
      <c r="B301" s="667"/>
      <c r="C301" s="667"/>
      <c r="D301" s="667"/>
      <c r="E301" s="667"/>
      <c r="F301" s="667"/>
      <c r="G301" s="667"/>
      <c r="H301" s="667"/>
      <c r="I301" s="667"/>
      <c r="J301" s="667"/>
      <c r="K301" s="667"/>
      <c r="L301" s="667"/>
      <c r="M301" s="667"/>
      <c r="N301" s="667"/>
    </row>
    <row r="302" spans="1:14" ht="17.7">
      <c r="A302" s="667"/>
      <c r="B302" s="667"/>
      <c r="C302" s="667"/>
      <c r="D302" s="667"/>
      <c r="E302" s="667"/>
      <c r="F302" s="667"/>
      <c r="G302" s="667"/>
      <c r="H302" s="667"/>
      <c r="I302" s="667"/>
      <c r="J302" s="667"/>
      <c r="K302" s="667"/>
      <c r="L302" s="667"/>
      <c r="M302" s="667"/>
      <c r="N302" s="667"/>
    </row>
    <row r="303" spans="1:14" ht="17.7">
      <c r="A303" s="667"/>
      <c r="B303" s="667"/>
      <c r="C303" s="667"/>
      <c r="D303" s="667"/>
      <c r="E303" s="667"/>
      <c r="F303" s="667"/>
      <c r="G303" s="667"/>
      <c r="H303" s="667"/>
      <c r="I303" s="667"/>
      <c r="J303" s="667"/>
      <c r="K303" s="667"/>
      <c r="L303" s="667"/>
      <c r="M303" s="667"/>
      <c r="N303" s="667"/>
    </row>
    <row r="304" spans="1:14" ht="17.7">
      <c r="A304" s="667"/>
      <c r="B304" s="667"/>
      <c r="C304" s="667"/>
      <c r="D304" s="667"/>
      <c r="E304" s="667"/>
      <c r="F304" s="667"/>
      <c r="G304" s="667"/>
      <c r="H304" s="667"/>
      <c r="I304" s="667"/>
      <c r="J304" s="667"/>
      <c r="K304" s="667"/>
      <c r="L304" s="667"/>
      <c r="M304" s="667"/>
      <c r="N304" s="667"/>
    </row>
    <row r="305" spans="1:14" ht="17.7">
      <c r="A305" s="667"/>
      <c r="B305" s="667"/>
      <c r="C305" s="667"/>
      <c r="D305" s="667"/>
      <c r="E305" s="667"/>
      <c r="F305" s="667"/>
      <c r="G305" s="667"/>
      <c r="H305" s="667"/>
      <c r="I305" s="667"/>
      <c r="J305" s="667"/>
      <c r="K305" s="667"/>
      <c r="L305" s="667"/>
      <c r="M305" s="667"/>
      <c r="N305" s="667"/>
    </row>
    <row r="306" spans="1:14" ht="17.7">
      <c r="A306" s="667"/>
      <c r="B306" s="667"/>
      <c r="C306" s="667"/>
      <c r="D306" s="667"/>
      <c r="E306" s="667"/>
      <c r="F306" s="667"/>
      <c r="G306" s="667"/>
      <c r="H306" s="667"/>
      <c r="I306" s="667"/>
      <c r="J306" s="667"/>
      <c r="K306" s="667"/>
      <c r="L306" s="667"/>
      <c r="M306" s="667"/>
      <c r="N306" s="667"/>
    </row>
    <row r="307" spans="1:14" ht="17.7">
      <c r="A307" s="667"/>
      <c r="B307" s="667"/>
      <c r="C307" s="667"/>
      <c r="D307" s="667"/>
      <c r="E307" s="667"/>
      <c r="F307" s="667"/>
      <c r="G307" s="667"/>
      <c r="H307" s="667"/>
      <c r="I307" s="667"/>
      <c r="J307" s="667"/>
      <c r="K307" s="667"/>
      <c r="L307" s="667"/>
      <c r="M307" s="667"/>
      <c r="N307" s="667"/>
    </row>
    <row r="308" spans="1:14" ht="17.7">
      <c r="A308" s="667"/>
      <c r="B308" s="667"/>
      <c r="C308" s="667"/>
      <c r="D308" s="667"/>
      <c r="E308" s="667"/>
      <c r="F308" s="667"/>
      <c r="G308" s="667"/>
      <c r="H308" s="667"/>
      <c r="I308" s="667"/>
      <c r="J308" s="667"/>
      <c r="K308" s="667"/>
      <c r="L308" s="667"/>
      <c r="M308" s="667"/>
      <c r="N308" s="667"/>
    </row>
    <row r="309" spans="1:14" ht="17.7">
      <c r="A309" s="667"/>
      <c r="B309" s="667"/>
      <c r="C309" s="667"/>
      <c r="D309" s="667"/>
      <c r="E309" s="667"/>
      <c r="F309" s="667"/>
      <c r="G309" s="667"/>
      <c r="H309" s="667"/>
      <c r="I309" s="667"/>
      <c r="J309" s="667"/>
      <c r="K309" s="667"/>
      <c r="L309" s="667"/>
      <c r="M309" s="667"/>
      <c r="N309" s="667"/>
    </row>
    <row r="310" spans="1:14" ht="17.7">
      <c r="A310" s="667"/>
      <c r="B310" s="667"/>
      <c r="C310" s="667"/>
      <c r="D310" s="667"/>
      <c r="E310" s="667"/>
      <c r="F310" s="667"/>
      <c r="G310" s="667"/>
      <c r="H310" s="667"/>
      <c r="I310" s="667"/>
      <c r="J310" s="667"/>
      <c r="K310" s="667"/>
      <c r="L310" s="667"/>
      <c r="M310" s="667"/>
      <c r="N310" s="667"/>
    </row>
    <row r="311" spans="1:14" ht="17.7">
      <c r="A311" s="667"/>
      <c r="B311" s="667"/>
      <c r="C311" s="667"/>
      <c r="D311" s="667"/>
      <c r="E311" s="667"/>
      <c r="F311" s="667"/>
      <c r="G311" s="667"/>
      <c r="H311" s="667"/>
      <c r="I311" s="667"/>
      <c r="J311" s="667"/>
      <c r="K311" s="667"/>
      <c r="L311" s="667"/>
      <c r="M311" s="667"/>
      <c r="N311" s="667"/>
    </row>
    <row r="312" spans="1:14" ht="17.7">
      <c r="A312" s="667"/>
      <c r="B312" s="667"/>
      <c r="C312" s="667"/>
      <c r="D312" s="667"/>
      <c r="E312" s="667"/>
      <c r="F312" s="667"/>
      <c r="G312" s="667"/>
      <c r="H312" s="667"/>
      <c r="I312" s="667"/>
      <c r="J312" s="667"/>
      <c r="K312" s="667"/>
      <c r="L312" s="667"/>
      <c r="M312" s="667"/>
      <c r="N312" s="667"/>
    </row>
    <row r="313" spans="1:14" ht="17.7">
      <c r="A313" s="667"/>
      <c r="B313" s="667"/>
      <c r="C313" s="667"/>
      <c r="D313" s="667"/>
      <c r="E313" s="667"/>
      <c r="F313" s="667"/>
      <c r="G313" s="667"/>
      <c r="H313" s="667"/>
      <c r="I313" s="667"/>
      <c r="J313" s="667"/>
      <c r="K313" s="667"/>
      <c r="L313" s="667"/>
      <c r="M313" s="667"/>
      <c r="N313" s="667"/>
    </row>
    <row r="314" spans="1:14" ht="17.7">
      <c r="A314" s="667"/>
      <c r="B314" s="667"/>
      <c r="C314" s="667"/>
      <c r="D314" s="667"/>
      <c r="E314" s="667"/>
      <c r="F314" s="667"/>
      <c r="G314" s="667"/>
      <c r="H314" s="667"/>
      <c r="I314" s="667"/>
      <c r="J314" s="667"/>
      <c r="K314" s="667"/>
      <c r="L314" s="667"/>
      <c r="M314" s="667"/>
      <c r="N314" s="667"/>
    </row>
    <row r="315" spans="1:14" ht="17.7">
      <c r="A315" s="667"/>
      <c r="B315" s="667"/>
      <c r="C315" s="667"/>
      <c r="D315" s="667"/>
      <c r="E315" s="667"/>
      <c r="F315" s="667"/>
      <c r="G315" s="667"/>
      <c r="H315" s="667"/>
      <c r="I315" s="667"/>
      <c r="J315" s="667"/>
      <c r="K315" s="667"/>
      <c r="L315" s="667"/>
      <c r="M315" s="667"/>
      <c r="N315" s="667"/>
    </row>
    <row r="316" spans="1:14" ht="17.7">
      <c r="A316" s="667"/>
      <c r="B316" s="667"/>
      <c r="C316" s="667"/>
      <c r="D316" s="667"/>
      <c r="E316" s="667"/>
      <c r="F316" s="667"/>
      <c r="G316" s="667"/>
      <c r="H316" s="667"/>
      <c r="I316" s="667"/>
      <c r="J316" s="667"/>
      <c r="K316" s="667"/>
      <c r="L316" s="667"/>
      <c r="M316" s="667"/>
      <c r="N316" s="667"/>
    </row>
    <row r="317" spans="1:14" ht="17.7">
      <c r="A317" s="667"/>
      <c r="B317" s="667"/>
      <c r="C317" s="667"/>
      <c r="D317" s="667"/>
      <c r="E317" s="667"/>
      <c r="F317" s="667"/>
      <c r="G317" s="667"/>
      <c r="H317" s="667"/>
      <c r="I317" s="667"/>
      <c r="J317" s="667"/>
      <c r="K317" s="667"/>
      <c r="L317" s="667"/>
      <c r="M317" s="667"/>
      <c r="N317" s="667"/>
    </row>
    <row r="318" spans="1:14" ht="17.7">
      <c r="A318" s="667"/>
      <c r="B318" s="667"/>
      <c r="C318" s="667"/>
      <c r="D318" s="667"/>
      <c r="E318" s="667"/>
      <c r="F318" s="667"/>
      <c r="G318" s="667"/>
      <c r="H318" s="667"/>
      <c r="I318" s="667"/>
      <c r="J318" s="667"/>
      <c r="K318" s="667"/>
      <c r="L318" s="667"/>
      <c r="M318" s="667"/>
      <c r="N318" s="667"/>
    </row>
    <row r="319" spans="1:14" ht="17.7">
      <c r="A319" s="667"/>
      <c r="B319" s="667"/>
      <c r="C319" s="667"/>
      <c r="D319" s="667"/>
      <c r="E319" s="667"/>
      <c r="F319" s="667"/>
      <c r="G319" s="667"/>
      <c r="H319" s="667"/>
      <c r="I319" s="667"/>
      <c r="J319" s="667"/>
      <c r="K319" s="667"/>
      <c r="L319" s="667"/>
      <c r="M319" s="667"/>
      <c r="N319" s="667"/>
    </row>
    <row r="320" spans="1:14" ht="17.7">
      <c r="A320" s="667"/>
      <c r="B320" s="667"/>
      <c r="C320" s="667"/>
      <c r="D320" s="667"/>
      <c r="E320" s="667"/>
      <c r="F320" s="667"/>
      <c r="G320" s="667"/>
      <c r="H320" s="667"/>
      <c r="I320" s="667"/>
      <c r="J320" s="667"/>
      <c r="K320" s="667"/>
      <c r="L320" s="667"/>
      <c r="M320" s="667"/>
      <c r="N320" s="667"/>
    </row>
    <row r="321" spans="1:14" ht="17.7">
      <c r="A321" s="667"/>
      <c r="B321" s="667"/>
      <c r="C321" s="667"/>
      <c r="D321" s="667"/>
      <c r="E321" s="667"/>
      <c r="F321" s="667"/>
      <c r="G321" s="667"/>
      <c r="H321" s="667"/>
      <c r="I321" s="667"/>
      <c r="J321" s="667"/>
      <c r="K321" s="667"/>
      <c r="L321" s="667"/>
      <c r="M321" s="667"/>
      <c r="N321" s="667"/>
    </row>
    <row r="322" spans="1:14" ht="17.7">
      <c r="A322" s="667"/>
      <c r="B322" s="667"/>
      <c r="C322" s="667"/>
      <c r="D322" s="667"/>
      <c r="E322" s="667"/>
      <c r="F322" s="667"/>
      <c r="G322" s="667"/>
      <c r="H322" s="667"/>
      <c r="I322" s="667"/>
      <c r="J322" s="667"/>
      <c r="K322" s="667"/>
      <c r="L322" s="667"/>
      <c r="M322" s="667"/>
      <c r="N322" s="667"/>
    </row>
    <row r="323" spans="1:14" ht="17.7">
      <c r="A323" s="667"/>
      <c r="B323" s="667"/>
      <c r="C323" s="667"/>
      <c r="D323" s="667"/>
      <c r="E323" s="667"/>
      <c r="F323" s="667"/>
      <c r="G323" s="667"/>
      <c r="H323" s="667"/>
      <c r="I323" s="667"/>
      <c r="J323" s="667"/>
      <c r="K323" s="667"/>
      <c r="L323" s="667"/>
      <c r="M323" s="667"/>
      <c r="N323" s="667"/>
    </row>
    <row r="324" spans="1:14" ht="17.7">
      <c r="A324" s="667"/>
      <c r="B324" s="667"/>
      <c r="C324" s="667"/>
      <c r="D324" s="667"/>
      <c r="E324" s="667"/>
      <c r="F324" s="667"/>
      <c r="G324" s="667"/>
      <c r="H324" s="667"/>
      <c r="I324" s="667"/>
      <c r="J324" s="667"/>
      <c r="K324" s="667"/>
      <c r="L324" s="667"/>
      <c r="M324" s="667"/>
      <c r="N324" s="667"/>
    </row>
  </sheetData>
  <pageMargins left="0.70866141732283472" right="0.70866141732283472" top="0.74803149606299213" bottom="0.74803149606299213" header="0.31496062992125984" footer="0.31496062992125984"/>
  <pageSetup paperSize="126"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topLeftCell="A12" zoomScaleNormal="100" workbookViewId="0">
      <selection activeCell="K34" sqref="K34"/>
    </sheetView>
  </sheetViews>
  <sheetFormatPr baseColWidth="10" defaultColWidth="10.9140625" defaultRowHeight="12.45"/>
  <cols>
    <col min="1" max="1" width="2.08203125" style="8" customWidth="1"/>
    <col min="2" max="2" width="7.83203125" style="8" bestFit="1" customWidth="1"/>
    <col min="3" max="3" width="7.33203125" style="8" bestFit="1" customWidth="1"/>
    <col min="4" max="4" width="8" style="8" bestFit="1" customWidth="1"/>
    <col min="5" max="5" width="8.75" style="8" bestFit="1" customWidth="1"/>
    <col min="6" max="6" width="7.33203125" style="8" bestFit="1" customWidth="1"/>
    <col min="7" max="7" width="8" style="8" bestFit="1" customWidth="1"/>
    <col min="8" max="8" width="8.75" style="8" bestFit="1" customWidth="1"/>
    <col min="9" max="16384" width="10.9140625" style="8"/>
  </cols>
  <sheetData>
    <row r="1" spans="2:9" s="19" customFormat="1" ht="15.05" customHeight="1">
      <c r="B1" s="813" t="s">
        <v>132</v>
      </c>
      <c r="C1" s="813"/>
      <c r="D1" s="813"/>
      <c r="E1" s="813"/>
      <c r="F1" s="813"/>
      <c r="G1" s="813"/>
      <c r="H1" s="813"/>
    </row>
    <row r="2" spans="2:9" s="19" customFormat="1" ht="15.05" customHeight="1">
      <c r="B2" s="31"/>
      <c r="C2" s="31"/>
      <c r="D2" s="31"/>
      <c r="E2" s="31"/>
    </row>
    <row r="3" spans="2:9" s="19" customFormat="1" ht="18.649999999999999" customHeight="1">
      <c r="B3" s="814" t="s">
        <v>133</v>
      </c>
      <c r="C3" s="814"/>
      <c r="D3" s="814"/>
      <c r="E3" s="814"/>
      <c r="F3" s="814"/>
      <c r="G3" s="814"/>
      <c r="H3" s="814"/>
    </row>
    <row r="4" spans="2:9" s="19" customFormat="1" ht="18" customHeight="1">
      <c r="B4" s="813" t="s">
        <v>759</v>
      </c>
      <c r="C4" s="813"/>
      <c r="D4" s="813"/>
      <c r="E4" s="813"/>
      <c r="F4" s="813"/>
      <c r="G4" s="813"/>
      <c r="H4" s="813"/>
    </row>
    <row r="5" spans="2:9" s="19" customFormat="1" ht="27" customHeight="1">
      <c r="B5" s="817" t="s">
        <v>134</v>
      </c>
      <c r="C5" s="817" t="s">
        <v>135</v>
      </c>
      <c r="D5" s="817"/>
      <c r="E5" s="817"/>
      <c r="F5" s="817" t="s">
        <v>136</v>
      </c>
      <c r="G5" s="817"/>
      <c r="H5" s="817"/>
    </row>
    <row r="6" spans="2:9" s="19" customFormat="1" ht="42.75" customHeight="1">
      <c r="B6" s="817"/>
      <c r="C6" s="388" t="s">
        <v>137</v>
      </c>
      <c r="D6" s="125" t="s">
        <v>138</v>
      </c>
      <c r="E6" s="125" t="s">
        <v>139</v>
      </c>
      <c r="F6" s="388" t="s">
        <v>137</v>
      </c>
      <c r="G6" s="388" t="s">
        <v>138</v>
      </c>
      <c r="H6" s="388" t="s">
        <v>139</v>
      </c>
    </row>
    <row r="7" spans="2:9" s="19" customFormat="1" ht="15.75" customHeight="1">
      <c r="B7" s="42" t="s">
        <v>140</v>
      </c>
      <c r="C7" s="370">
        <v>228.58699999999999</v>
      </c>
      <c r="D7" s="370">
        <v>1114.4113</v>
      </c>
      <c r="E7" s="370">
        <v>48.8</v>
      </c>
      <c r="F7" s="370">
        <v>16.690000000000001</v>
      </c>
      <c r="G7" s="370">
        <v>98.689700000000002</v>
      </c>
      <c r="H7" s="370">
        <v>59.1</v>
      </c>
    </row>
    <row r="8" spans="2:9" s="19" customFormat="1" ht="15.75" customHeight="1">
      <c r="B8" s="42" t="s">
        <v>105</v>
      </c>
      <c r="C8" s="370">
        <v>238.41</v>
      </c>
      <c r="D8" s="370">
        <v>1365.1233</v>
      </c>
      <c r="E8" s="370">
        <v>57.259481565370578</v>
      </c>
      <c r="F8" s="370">
        <v>15.217000000000001</v>
      </c>
      <c r="G8" s="370">
        <v>109.53919999999999</v>
      </c>
      <c r="H8" s="370">
        <v>71.984753893671552</v>
      </c>
    </row>
    <row r="9" spans="2:9" s="19" customFormat="1" ht="15.75" customHeight="1">
      <c r="B9" s="42" t="s">
        <v>106</v>
      </c>
      <c r="C9" s="370">
        <v>236.12200000000001</v>
      </c>
      <c r="D9" s="370">
        <v>1236.0917400000001</v>
      </c>
      <c r="E9" s="370">
        <v>52.349706507652819</v>
      </c>
      <c r="F9" s="370">
        <v>18.734999999999999</v>
      </c>
      <c r="G9" s="370">
        <v>122.03686999999999</v>
      </c>
      <c r="H9" s="370">
        <v>65.138441419802504</v>
      </c>
    </row>
    <row r="10" spans="2:9" s="19" customFormat="1" ht="15.75" customHeight="1">
      <c r="B10" s="42" t="s">
        <v>141</v>
      </c>
      <c r="C10" s="370">
        <v>241.16</v>
      </c>
      <c r="D10" s="370">
        <v>1333.2125000000001</v>
      </c>
      <c r="E10" s="370">
        <v>55.283318129042961</v>
      </c>
      <c r="F10" s="370">
        <v>22.004000000000001</v>
      </c>
      <c r="G10" s="370">
        <v>149.0976</v>
      </c>
      <c r="H10" s="370">
        <v>67.759316487911292</v>
      </c>
    </row>
    <row r="11" spans="2:9" s="19" customFormat="1" ht="15.75" customHeight="1">
      <c r="B11" s="49" t="s">
        <v>142</v>
      </c>
      <c r="C11" s="370">
        <v>257.786</v>
      </c>
      <c r="D11" s="370">
        <v>1531.0056</v>
      </c>
      <c r="E11" s="370">
        <v>59.4</v>
      </c>
      <c r="F11" s="370">
        <v>27.510999999999999</v>
      </c>
      <c r="G11" s="370">
        <v>200.92939999999999</v>
      </c>
      <c r="H11" s="370">
        <v>73</v>
      </c>
    </row>
    <row r="12" spans="2:9" ht="15.75" customHeight="1">
      <c r="B12" s="49" t="s">
        <v>143</v>
      </c>
      <c r="C12" s="65">
        <v>205.18899999999999</v>
      </c>
      <c r="D12" s="65">
        <v>1221.2691400000001</v>
      </c>
      <c r="E12" s="370">
        <v>59.51923056304188</v>
      </c>
      <c r="F12" s="370">
        <v>19.853000000000002</v>
      </c>
      <c r="G12" s="370">
        <v>128.22280000000001</v>
      </c>
      <c r="H12" s="370">
        <v>64.586107893013647</v>
      </c>
      <c r="I12" s="38"/>
    </row>
    <row r="13" spans="2:9" ht="15.75" customHeight="1">
      <c r="B13" s="49" t="s">
        <v>144</v>
      </c>
      <c r="C13" s="65">
        <v>208.23699999999999</v>
      </c>
      <c r="D13" s="65">
        <v>1281.3397</v>
      </c>
      <c r="E13" s="370">
        <v>61.532758347459868</v>
      </c>
      <c r="F13" s="370">
        <v>28.178000000000001</v>
      </c>
      <c r="G13" s="370">
        <v>187.66370000000001</v>
      </c>
      <c r="H13" s="370">
        <v>66.599368301511817</v>
      </c>
      <c r="I13" s="38"/>
    </row>
    <row r="14" spans="2:9" ht="15.75" customHeight="1">
      <c r="B14" s="49" t="s">
        <v>111</v>
      </c>
      <c r="C14" s="65">
        <v>195.40299999999999</v>
      </c>
      <c r="D14" s="65">
        <v>1204.8561999999999</v>
      </c>
      <c r="E14" s="370">
        <v>61.660066631525616</v>
      </c>
      <c r="F14" s="370">
        <v>27.302</v>
      </c>
      <c r="G14" s="370">
        <v>195.06280000000001</v>
      </c>
      <c r="H14" s="370">
        <v>71.446340927404592</v>
      </c>
      <c r="I14" s="38"/>
    </row>
    <row r="15" spans="2:9" ht="15.75" customHeight="1">
      <c r="B15" s="49" t="s">
        <v>145</v>
      </c>
      <c r="C15" s="65">
        <v>183.07300000000001</v>
      </c>
      <c r="D15" s="65">
        <v>1086.1401000000001</v>
      </c>
      <c r="E15" s="370">
        <v>59.328251571777379</v>
      </c>
      <c r="F15" s="370">
        <v>21.963000000000001</v>
      </c>
      <c r="G15" s="370">
        <v>144.84829999999999</v>
      </c>
      <c r="H15" s="370">
        <v>65.95105404544006</v>
      </c>
      <c r="I15" s="38"/>
    </row>
    <row r="16" spans="2:9" ht="15.75" customHeight="1">
      <c r="B16" s="49" t="s">
        <v>113</v>
      </c>
      <c r="C16" s="65">
        <v>204.99299999999999</v>
      </c>
      <c r="D16" s="546">
        <f>12033828/10000</f>
        <v>1203.3828000000001</v>
      </c>
      <c r="E16" s="370">
        <v>58.7</v>
      </c>
      <c r="F16" s="370">
        <v>21.282</v>
      </c>
      <c r="G16" s="548">
        <f>1502251.43576732/10000</f>
        <v>150.22514357673199</v>
      </c>
      <c r="H16" s="370">
        <v>70.599999999999994</v>
      </c>
      <c r="I16" s="38"/>
    </row>
    <row r="17" spans="2:10" ht="15.75" customHeight="1">
      <c r="B17" s="49" t="s">
        <v>146</v>
      </c>
      <c r="C17" s="65">
        <v>173.10599999999999</v>
      </c>
      <c r="D17" s="547">
        <f>10097426.9228811/10000</f>
        <v>1009.74269228811</v>
      </c>
      <c r="E17" s="370">
        <v>58.330889298355451</v>
      </c>
      <c r="F17" s="370">
        <v>14.772</v>
      </c>
      <c r="G17" s="549">
        <f>971837.761353962/10000</f>
        <v>97.183776135396201</v>
      </c>
      <c r="H17" s="370">
        <v>65.789179620495645</v>
      </c>
      <c r="I17" s="38"/>
    </row>
    <row r="18" spans="2:10" ht="15.75" customHeight="1">
      <c r="B18" s="49" t="s">
        <v>692</v>
      </c>
      <c r="C18" s="65">
        <f>193613/1000</f>
        <v>193.613</v>
      </c>
      <c r="D18" s="547">
        <f>11320239.8504102/10/1000</f>
        <v>1132.0239850410201</v>
      </c>
      <c r="E18" s="370">
        <v>58.468387197193593</v>
      </c>
      <c r="F18" s="65">
        <f>23120/1000</f>
        <v>23.12</v>
      </c>
      <c r="G18" s="549">
        <f>1577498.02385357/10/1000</f>
        <v>157.74980238535701</v>
      </c>
      <c r="H18" s="370">
        <v>68.230883384670065</v>
      </c>
      <c r="I18" s="38"/>
    </row>
    <row r="19" spans="2:10" ht="15.75" customHeight="1">
      <c r="B19" s="49" t="s">
        <v>758</v>
      </c>
      <c r="C19" s="65">
        <f>179443/1000</f>
        <v>179.44300000000001</v>
      </c>
      <c r="D19" s="547">
        <f>10632272.3297274/10/1000</f>
        <v>1063.22723297274</v>
      </c>
      <c r="E19" s="370">
        <v>59.251530177980484</v>
      </c>
      <c r="F19" s="65">
        <f>18624/1000</f>
        <v>18.623999999999999</v>
      </c>
      <c r="G19" s="549">
        <f>1255576.30913405/10/1000</f>
        <v>125.55763091340501</v>
      </c>
      <c r="H19" s="370">
        <v>67.417112818623821</v>
      </c>
      <c r="I19" s="761"/>
      <c r="J19" s="265"/>
    </row>
    <row r="20" spans="2:10" ht="28.8" customHeight="1">
      <c r="B20" s="816" t="s">
        <v>147</v>
      </c>
      <c r="C20" s="816"/>
      <c r="D20" s="816"/>
      <c r="E20" s="816"/>
      <c r="F20" s="816"/>
      <c r="G20" s="816"/>
      <c r="H20" s="816"/>
      <c r="I20" s="1"/>
    </row>
    <row r="21" spans="2:10">
      <c r="B21" s="38"/>
      <c r="C21" s="450"/>
      <c r="D21" s="450"/>
      <c r="E21" s="451"/>
      <c r="F21" s="38"/>
      <c r="G21" s="38"/>
      <c r="H21" s="38"/>
      <c r="I21" s="38"/>
    </row>
    <row r="23" spans="2:10">
      <c r="B23" s="38"/>
      <c r="C23" s="38"/>
      <c r="D23" s="38"/>
      <c r="E23" s="38"/>
      <c r="F23" s="87"/>
      <c r="G23" s="38"/>
      <c r="H23" s="38"/>
      <c r="I23" s="38"/>
    </row>
    <row r="39" spans="1:1" ht="38.299999999999997" customHeight="1">
      <c r="A39" s="38"/>
    </row>
    <row r="41" spans="1:1">
      <c r="A41" s="38"/>
    </row>
    <row r="55" spans="1:8" ht="29.95" customHeight="1">
      <c r="A55" s="35"/>
      <c r="B55" s="38"/>
      <c r="C55" s="38"/>
      <c r="D55" s="38"/>
      <c r="E55" s="38"/>
      <c r="F55" s="38"/>
      <c r="G55" s="38"/>
      <c r="H55" s="35"/>
    </row>
  </sheetData>
  <mergeCells count="7">
    <mergeCell ref="B20:H20"/>
    <mergeCell ref="C5:E5"/>
    <mergeCell ref="B5:B6"/>
    <mergeCell ref="B1:H1"/>
    <mergeCell ref="B3:H3"/>
    <mergeCell ref="B4:H4"/>
    <mergeCell ref="F5:H5"/>
  </mergeCells>
  <pageMargins left="0.70866141732283472" right="0.70866141732283472" top="0.74803149606299213" bottom="0.74803149606299213" header="0.31496062992125984" footer="0.31496062992125984"/>
  <pageSetup paperSize="126" orientation="portrait" r:id="rId1"/>
  <headerFooter>
    <oddFooter>&amp;C&amp;10 7</oddFooter>
  </headerFooter>
  <ignoredErrors>
    <ignoredError sqref="C18 F18"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3"/>
  <sheetViews>
    <sheetView zoomScaleNormal="100" zoomScaleSheetLayoutView="50" workbookViewId="0">
      <selection activeCell="K27" sqref="K27"/>
    </sheetView>
  </sheetViews>
  <sheetFormatPr baseColWidth="10" defaultColWidth="10.9140625" defaultRowHeight="12.45"/>
  <cols>
    <col min="1" max="1" width="0.9140625" style="8" customWidth="1"/>
    <col min="2" max="2" width="10.83203125" style="8" customWidth="1"/>
    <col min="3" max="6" width="11.1640625" style="8" customWidth="1"/>
    <col min="7" max="7" width="1.4140625" style="8" customWidth="1"/>
    <col min="8" max="8" width="3.9140625" style="8" customWidth="1"/>
    <col min="9" max="9" width="7" style="8" bestFit="1" customWidth="1"/>
    <col min="10" max="16384" width="10.9140625" style="8"/>
  </cols>
  <sheetData>
    <row r="1" spans="2:9" s="19" customFormat="1" ht="15.05" customHeight="1">
      <c r="B1" s="813" t="s">
        <v>148</v>
      </c>
      <c r="C1" s="813"/>
      <c r="D1" s="813"/>
      <c r="E1" s="813"/>
      <c r="F1" s="813"/>
    </row>
    <row r="2" spans="2:9" s="19" customFormat="1" ht="15.05" customHeight="1"/>
    <row r="3" spans="2:9" s="19" customFormat="1" ht="31.75" customHeight="1">
      <c r="B3" s="821" t="s">
        <v>149</v>
      </c>
      <c r="C3" s="822"/>
      <c r="D3" s="822"/>
      <c r="E3" s="822"/>
      <c r="F3" s="822"/>
    </row>
    <row r="4" spans="2:9" s="19" customFormat="1" ht="15.75" customHeight="1">
      <c r="B4" s="822" t="s">
        <v>760</v>
      </c>
      <c r="C4" s="822"/>
      <c r="D4" s="822"/>
      <c r="E4" s="822"/>
      <c r="F4" s="822"/>
    </row>
    <row r="5" spans="2:9" s="19" customFormat="1" ht="45" customHeight="1">
      <c r="B5" s="258" t="s">
        <v>134</v>
      </c>
      <c r="C5" s="258" t="s">
        <v>150</v>
      </c>
      <c r="D5" s="259" t="s">
        <v>151</v>
      </c>
      <c r="E5" s="259" t="s">
        <v>152</v>
      </c>
      <c r="F5" s="259" t="s">
        <v>153</v>
      </c>
    </row>
    <row r="6" spans="2:9" ht="15.75" customHeight="1">
      <c r="B6" s="824" t="s">
        <v>146</v>
      </c>
      <c r="C6" s="33" t="s">
        <v>154</v>
      </c>
      <c r="D6" s="297">
        <v>1312</v>
      </c>
      <c r="E6" s="297">
        <f>22410.6915143869/10</f>
        <v>2241.0691514386899</v>
      </c>
      <c r="F6" s="298">
        <v>17.081319751819311</v>
      </c>
      <c r="G6" s="27"/>
      <c r="H6" s="56"/>
      <c r="I6" s="376"/>
    </row>
    <row r="7" spans="2:9" ht="15.75" customHeight="1">
      <c r="B7" s="823"/>
      <c r="C7" s="33" t="s">
        <v>155</v>
      </c>
      <c r="D7" s="297">
        <v>1162</v>
      </c>
      <c r="E7" s="297">
        <f>48267.2741000036/10</f>
        <v>4826.7274100003597</v>
      </c>
      <c r="F7" s="298">
        <v>41.538101635115012</v>
      </c>
      <c r="G7" s="27"/>
      <c r="H7" s="56"/>
      <c r="I7" s="376"/>
    </row>
    <row r="8" spans="2:9" ht="15.75" customHeight="1">
      <c r="B8" s="823"/>
      <c r="C8" s="33" t="s">
        <v>156</v>
      </c>
      <c r="D8" s="297">
        <v>6003</v>
      </c>
      <c r="E8" s="297">
        <f>349104.256532799/10</f>
        <v>34910.425653279897</v>
      </c>
      <c r="F8" s="298">
        <v>58.154965272830118</v>
      </c>
      <c r="G8" s="27"/>
      <c r="H8" s="56"/>
      <c r="I8" s="376"/>
    </row>
    <row r="9" spans="2:9" ht="17.7">
      <c r="B9" s="823"/>
      <c r="C9" s="33" t="s">
        <v>157</v>
      </c>
      <c r="D9" s="297">
        <v>16152</v>
      </c>
      <c r="E9" s="297">
        <f>760810.389130156/10</f>
        <v>76081.038913015596</v>
      </c>
      <c r="F9" s="298">
        <v>47.103169213110235</v>
      </c>
      <c r="G9" s="27"/>
      <c r="H9" s="56"/>
      <c r="I9" s="376"/>
    </row>
    <row r="10" spans="2:9" ht="15.75" customHeight="1">
      <c r="B10" s="823"/>
      <c r="C10" s="33" t="s">
        <v>158</v>
      </c>
      <c r="D10" s="297">
        <v>30851</v>
      </c>
      <c r="E10" s="297">
        <f>1745509.58031792/10</f>
        <v>174550.95803179202</v>
      </c>
      <c r="F10" s="298">
        <v>56.57870345589825</v>
      </c>
      <c r="G10" s="27"/>
      <c r="H10" s="56"/>
      <c r="I10" s="376"/>
    </row>
    <row r="11" spans="2:9" ht="15.75" customHeight="1">
      <c r="B11" s="823"/>
      <c r="C11" s="33" t="s">
        <v>159</v>
      </c>
      <c r="D11" s="297">
        <v>17192</v>
      </c>
      <c r="E11" s="297">
        <f>940004.990136534/10</f>
        <v>94000.499013653403</v>
      </c>
      <c r="F11" s="298">
        <v>54.676884023763009</v>
      </c>
      <c r="G11" s="27"/>
      <c r="H11" s="56"/>
      <c r="I11" s="376"/>
    </row>
    <row r="12" spans="2:9" ht="15.75" customHeight="1">
      <c r="B12" s="823"/>
      <c r="C12" s="33" t="s">
        <v>160</v>
      </c>
      <c r="D12" s="297">
        <v>79103</v>
      </c>
      <c r="E12" s="297">
        <f>4504598.62021768/10</f>
        <v>450459.862021768</v>
      </c>
      <c r="F12" s="298">
        <v>56.945989661803928</v>
      </c>
      <c r="G12" s="27"/>
      <c r="H12" s="56"/>
      <c r="I12" s="376"/>
    </row>
    <row r="13" spans="2:9" ht="15.75" customHeight="1">
      <c r="B13" s="823"/>
      <c r="C13" s="33" t="s">
        <v>161</v>
      </c>
      <c r="D13" s="297">
        <v>10066</v>
      </c>
      <c r="E13" s="297">
        <f>865196.152550995/10</f>
        <v>86519.615255099503</v>
      </c>
      <c r="F13" s="298">
        <v>85.952329877905314</v>
      </c>
      <c r="G13" s="27"/>
      <c r="H13" s="56"/>
      <c r="I13" s="376"/>
    </row>
    <row r="14" spans="2:9" ht="15.75" customHeight="1">
      <c r="B14" s="823"/>
      <c r="C14" s="33" t="s">
        <v>162</v>
      </c>
      <c r="D14" s="297">
        <v>11219</v>
      </c>
      <c r="E14" s="297">
        <f>860346.968380651/10</f>
        <v>86034.696838065094</v>
      </c>
      <c r="F14" s="298">
        <v>76.686600265678848</v>
      </c>
      <c r="G14" s="27"/>
      <c r="H14" s="56"/>
      <c r="I14" s="376"/>
    </row>
    <row r="15" spans="2:9" ht="15.75" customHeight="1">
      <c r="B15" s="823"/>
      <c r="C15" s="33" t="s">
        <v>163</v>
      </c>
      <c r="D15" s="297">
        <v>46</v>
      </c>
      <c r="E15" s="297">
        <f>1178/10</f>
        <v>117.8</v>
      </c>
      <c r="F15" s="298">
        <v>25.608695652173914</v>
      </c>
      <c r="G15" s="27"/>
      <c r="H15" s="56"/>
      <c r="I15" s="376"/>
    </row>
    <row r="16" spans="2:9" ht="31.45" customHeight="1">
      <c r="B16" s="825"/>
      <c r="C16" s="644" t="s">
        <v>164</v>
      </c>
      <c r="D16" s="645">
        <v>173106</v>
      </c>
      <c r="E16" s="645">
        <f>10097426.9228811/10</f>
        <v>1009742.69228811</v>
      </c>
      <c r="F16" s="646">
        <v>58.330889298355451</v>
      </c>
      <c r="G16" s="27"/>
      <c r="H16" s="56"/>
      <c r="I16" s="376"/>
    </row>
    <row r="17" spans="2:9" ht="15.75" customHeight="1">
      <c r="B17" s="823" t="s">
        <v>692</v>
      </c>
      <c r="C17" s="33" t="s">
        <v>154</v>
      </c>
      <c r="D17" s="297">
        <v>515</v>
      </c>
      <c r="E17" s="297">
        <v>2032.3257088498499</v>
      </c>
      <c r="F17" s="298">
        <v>39.462635123298099</v>
      </c>
      <c r="G17" s="27"/>
      <c r="H17" s="277"/>
      <c r="I17" s="567"/>
    </row>
    <row r="18" spans="2:9" ht="15.75" customHeight="1">
      <c r="B18" s="823"/>
      <c r="C18" s="33" t="s">
        <v>155</v>
      </c>
      <c r="D18" s="297">
        <v>3620</v>
      </c>
      <c r="E18" s="297">
        <v>24384.860709500303</v>
      </c>
      <c r="F18" s="298">
        <v>67.361493672652799</v>
      </c>
      <c r="G18" s="27"/>
      <c r="H18" s="134"/>
      <c r="I18" s="567"/>
    </row>
    <row r="19" spans="2:9" ht="15.75" customHeight="1">
      <c r="B19" s="823"/>
      <c r="C19" s="33" t="s">
        <v>156</v>
      </c>
      <c r="D19" s="297">
        <v>9564</v>
      </c>
      <c r="E19" s="297">
        <v>57122.330463794198</v>
      </c>
      <c r="F19" s="298">
        <v>59.7264015723486</v>
      </c>
      <c r="G19" s="27"/>
      <c r="H19" s="134"/>
      <c r="I19" s="567"/>
    </row>
    <row r="20" spans="2:9">
      <c r="B20" s="823"/>
      <c r="C20" s="33" t="s">
        <v>157</v>
      </c>
      <c r="D20" s="297">
        <v>20836</v>
      </c>
      <c r="E20" s="297">
        <v>105624.50331544699</v>
      </c>
      <c r="F20" s="298">
        <v>50.693272852489301</v>
      </c>
      <c r="G20" s="27"/>
      <c r="H20" s="134"/>
      <c r="I20" s="567"/>
    </row>
    <row r="21" spans="2:9" ht="15.75" customHeight="1">
      <c r="B21" s="823"/>
      <c r="C21" s="33" t="s">
        <v>158</v>
      </c>
      <c r="D21" s="297">
        <v>34527</v>
      </c>
      <c r="E21" s="297">
        <v>178449.33666197601</v>
      </c>
      <c r="F21" s="298">
        <v>51.6839970637403</v>
      </c>
      <c r="G21" s="27"/>
      <c r="H21" s="134"/>
      <c r="I21" s="567"/>
    </row>
    <row r="22" spans="2:9" ht="15.75" customHeight="1">
      <c r="B22" s="823"/>
      <c r="C22" s="33" t="s">
        <v>159</v>
      </c>
      <c r="D22" s="297">
        <v>21704</v>
      </c>
      <c r="E22" s="297">
        <v>103899.217245515</v>
      </c>
      <c r="F22" s="298">
        <v>47.870999468077301</v>
      </c>
      <c r="G22" s="27"/>
      <c r="H22" s="134"/>
      <c r="I22" s="567"/>
    </row>
    <row r="23" spans="2:9" ht="15.75" customHeight="1">
      <c r="B23" s="823"/>
      <c r="C23" s="33" t="s">
        <v>160</v>
      </c>
      <c r="D23" s="297">
        <v>81087</v>
      </c>
      <c r="E23" s="297">
        <v>479204.23882580607</v>
      </c>
      <c r="F23" s="298">
        <v>59.097542001283301</v>
      </c>
      <c r="G23" s="27"/>
      <c r="H23" s="134"/>
      <c r="I23" s="567"/>
    </row>
    <row r="24" spans="2:9" ht="15.75" customHeight="1">
      <c r="B24" s="823"/>
      <c r="C24" s="33" t="s">
        <v>161</v>
      </c>
      <c r="D24" s="297">
        <v>7843</v>
      </c>
      <c r="E24" s="297">
        <v>65733.969856313895</v>
      </c>
      <c r="F24" s="298">
        <v>83.812278281670103</v>
      </c>
      <c r="G24" s="27"/>
      <c r="H24" s="134"/>
      <c r="I24" s="567"/>
    </row>
    <row r="25" spans="2:9" ht="15.75" customHeight="1">
      <c r="B25" s="823"/>
      <c r="C25" s="33" t="s">
        <v>162</v>
      </c>
      <c r="D25" s="297">
        <v>13871</v>
      </c>
      <c r="E25" s="297">
        <v>115455.402253822</v>
      </c>
      <c r="F25" s="298">
        <v>83.235096426949994</v>
      </c>
      <c r="G25" s="27"/>
      <c r="H25" s="134"/>
      <c r="I25" s="567"/>
    </row>
    <row r="26" spans="2:9" ht="15.75" customHeight="1">
      <c r="B26" s="823"/>
      <c r="C26" s="33" t="s">
        <v>163</v>
      </c>
      <c r="D26" s="297">
        <v>46</v>
      </c>
      <c r="E26" s="297">
        <v>117.8</v>
      </c>
      <c r="F26" s="298">
        <v>25.6086956521739</v>
      </c>
      <c r="G26" s="27"/>
      <c r="H26" s="134"/>
      <c r="I26" s="681"/>
    </row>
    <row r="27" spans="2:9" ht="15.75" customHeight="1">
      <c r="B27" s="823"/>
      <c r="C27" s="644" t="s">
        <v>164</v>
      </c>
      <c r="D27" s="645">
        <f>SUM(D17:D26)</f>
        <v>193613</v>
      </c>
      <c r="E27" s="645">
        <f>SUM(E17:E26)</f>
        <v>1132023.9850410244</v>
      </c>
      <c r="F27" s="646">
        <v>58.468387197193593</v>
      </c>
      <c r="G27" s="27"/>
      <c r="H27" s="134"/>
      <c r="I27" s="27"/>
    </row>
    <row r="28" spans="2:9" ht="15.75" customHeight="1">
      <c r="B28" s="824" t="s">
        <v>758</v>
      </c>
      <c r="C28" s="33" t="s">
        <v>154</v>
      </c>
      <c r="D28" s="297">
        <v>1288</v>
      </c>
      <c r="E28" s="297">
        <f>55635.980080626/10</f>
        <v>5563.5980080626005</v>
      </c>
      <c r="F28" s="298">
        <v>43.195636708560599</v>
      </c>
      <c r="G28" s="27"/>
      <c r="H28" s="134"/>
      <c r="I28" s="27"/>
    </row>
    <row r="29" spans="2:9" ht="15.75" customHeight="1">
      <c r="B29" s="823"/>
      <c r="C29" s="33" t="s">
        <v>155</v>
      </c>
      <c r="D29" s="297">
        <v>2237</v>
      </c>
      <c r="E29" s="297">
        <f>113726.341501278/10</f>
        <v>11372.6341501278</v>
      </c>
      <c r="F29" s="298">
        <v>50.8387758163963</v>
      </c>
      <c r="G29" s="27"/>
      <c r="H29" s="134"/>
      <c r="I29" s="27"/>
    </row>
    <row r="30" spans="2:9" ht="15.75" customHeight="1">
      <c r="B30" s="823"/>
      <c r="C30" s="33" t="s">
        <v>156</v>
      </c>
      <c r="D30" s="297">
        <v>7188</v>
      </c>
      <c r="E30" s="297">
        <f>235536.64108143/10</f>
        <v>23553.664108142999</v>
      </c>
      <c r="F30" s="298">
        <v>32.768035765363102</v>
      </c>
      <c r="G30" s="27"/>
      <c r="H30" s="134"/>
      <c r="I30" s="27"/>
    </row>
    <row r="31" spans="2:9" ht="15.75" customHeight="1">
      <c r="B31" s="823"/>
      <c r="C31" s="33" t="s">
        <v>157</v>
      </c>
      <c r="D31" s="297">
        <v>18660</v>
      </c>
      <c r="E31" s="297">
        <f>808484.15516118/10</f>
        <v>80848.415516117995</v>
      </c>
      <c r="F31" s="298">
        <v>43.327125142614101</v>
      </c>
      <c r="G31" s="27"/>
      <c r="H31" s="134"/>
      <c r="I31" s="27"/>
    </row>
    <row r="32" spans="2:9" ht="15.75" customHeight="1">
      <c r="B32" s="823"/>
      <c r="C32" s="33" t="s">
        <v>158</v>
      </c>
      <c r="D32" s="297">
        <v>28645</v>
      </c>
      <c r="E32" s="297">
        <f>1562444.10045111/10</f>
        <v>156244.410045111</v>
      </c>
      <c r="F32" s="298">
        <v>54.545089909272598</v>
      </c>
      <c r="G32" s="27"/>
      <c r="H32" s="134"/>
      <c r="I32" s="27"/>
    </row>
    <row r="33" spans="2:9" ht="15.75" customHeight="1">
      <c r="B33" s="823"/>
      <c r="C33" s="33" t="s">
        <v>159</v>
      </c>
      <c r="D33" s="297">
        <v>21610</v>
      </c>
      <c r="E33" s="297">
        <f>1113149.12549045/10</f>
        <v>111314.91254904501</v>
      </c>
      <c r="F33" s="298">
        <v>51.510834127276503</v>
      </c>
      <c r="G33" s="27"/>
      <c r="H33" s="134"/>
      <c r="I33" s="27"/>
    </row>
    <row r="34" spans="2:9" ht="15.75" customHeight="1">
      <c r="B34" s="823"/>
      <c r="C34" s="33" t="s">
        <v>160</v>
      </c>
      <c r="D34" s="297">
        <v>82264</v>
      </c>
      <c r="E34" s="297">
        <f>5196850.34979993/10</f>
        <v>519685.03497999301</v>
      </c>
      <c r="F34" s="298">
        <v>63.172838055527698</v>
      </c>
      <c r="G34" s="27"/>
      <c r="H34" s="134"/>
      <c r="I34" s="27"/>
    </row>
    <row r="35" spans="2:9" ht="15.75" customHeight="1">
      <c r="B35" s="823"/>
      <c r="C35" s="33" t="s">
        <v>161</v>
      </c>
      <c r="D35" s="297">
        <v>7593</v>
      </c>
      <c r="E35" s="297">
        <f>695122.590883029/10</f>
        <v>69512.259088302904</v>
      </c>
      <c r="F35" s="298">
        <v>91.547819160151306</v>
      </c>
      <c r="G35" s="27"/>
      <c r="H35" s="134"/>
      <c r="I35" s="27"/>
    </row>
    <row r="36" spans="2:9" ht="15.75" customHeight="1">
      <c r="B36" s="823"/>
      <c r="C36" s="33" t="s">
        <v>162</v>
      </c>
      <c r="D36" s="297">
        <v>9912</v>
      </c>
      <c r="E36" s="297">
        <f>850145.045278318/10</f>
        <v>85014.504527831799</v>
      </c>
      <c r="F36" s="298">
        <v>85.769274140266205</v>
      </c>
      <c r="G36" s="27"/>
      <c r="H36" s="134"/>
      <c r="I36" s="27"/>
    </row>
    <row r="37" spans="2:9" ht="15.75" customHeight="1">
      <c r="B37" s="823"/>
      <c r="C37" s="33" t="s">
        <v>163</v>
      </c>
      <c r="D37" s="297">
        <v>46</v>
      </c>
      <c r="E37" s="297">
        <v>117.8</v>
      </c>
      <c r="F37" s="298">
        <v>25.6086956521739</v>
      </c>
      <c r="G37" s="27"/>
      <c r="H37" s="134"/>
      <c r="I37" s="27"/>
    </row>
    <row r="38" spans="2:9" ht="15.75" customHeight="1">
      <c r="B38" s="825"/>
      <c r="C38" s="644" t="s">
        <v>164</v>
      </c>
      <c r="D38" s="645">
        <f>SUM(D28:D37)</f>
        <v>179443</v>
      </c>
      <c r="E38" s="645">
        <f>SUM(E28:E37)</f>
        <v>1063227.2329727353</v>
      </c>
      <c r="F38" s="646">
        <v>59.251530177980484</v>
      </c>
      <c r="G38" s="27"/>
      <c r="H38" s="134"/>
      <c r="I38" s="27"/>
    </row>
    <row r="39" spans="2:9" ht="38.450000000000003" customHeight="1">
      <c r="B39" s="818" t="s">
        <v>166</v>
      </c>
      <c r="C39" s="819"/>
      <c r="D39" s="819"/>
      <c r="E39" s="819"/>
      <c r="F39" s="820"/>
      <c r="G39" s="27"/>
      <c r="H39" s="134"/>
      <c r="I39" s="76"/>
    </row>
    <row r="40" spans="2:9" ht="15.05" customHeight="1">
      <c r="B40" s="38"/>
      <c r="C40" s="38"/>
      <c r="D40" s="38"/>
      <c r="E40" s="38"/>
      <c r="F40" s="38"/>
      <c r="G40" s="38"/>
      <c r="H40" s="38"/>
      <c r="I40" s="38"/>
    </row>
    <row r="43" spans="2:9" ht="17.7">
      <c r="B43" s="38"/>
      <c r="C43" s="38"/>
      <c r="D43" s="265"/>
      <c r="E43" s="38"/>
      <c r="F43" s="38"/>
      <c r="G43" s="38"/>
      <c r="H43" s="38"/>
      <c r="I43" s="38"/>
    </row>
    <row r="44" spans="2:9">
      <c r="B44" s="38"/>
      <c r="C44" s="38"/>
      <c r="D44" s="128"/>
      <c r="E44" s="38"/>
      <c r="F44" s="38"/>
      <c r="G44" s="38"/>
      <c r="H44" s="38"/>
      <c r="I44" s="38"/>
    </row>
    <row r="62" spans="1:9">
      <c r="A62" s="38"/>
      <c r="B62" s="38"/>
      <c r="C62" s="38"/>
      <c r="D62" s="38"/>
      <c r="E62" s="38"/>
      <c r="F62" s="38"/>
      <c r="G62" s="38"/>
      <c r="H62" s="38"/>
      <c r="I62" s="38"/>
    </row>
    <row r="63" spans="1:9" ht="29.95" customHeight="1">
      <c r="A63" s="35"/>
      <c r="B63" s="38"/>
      <c r="C63" s="38"/>
      <c r="D63" s="38"/>
      <c r="E63" s="38"/>
      <c r="F63" s="38"/>
      <c r="G63" s="38"/>
      <c r="H63" s="35"/>
      <c r="I63" s="38"/>
    </row>
  </sheetData>
  <customSheetViews>
    <customSheetView guid="{5CDC6F58-B038-4A0E-A13D-C643B013E119}" topLeftCell="A13">
      <selection activeCell="F29" sqref="F29"/>
      <pageMargins left="0" right="0" top="0" bottom="0" header="0" footer="0"/>
      <printOptions horizontalCentered="1"/>
      <pageSetup scale="95" firstPageNumber="0" orientation="portrait" r:id="rId1"/>
      <headerFooter alignWithMargins="0">
        <oddFooter>&amp;C&amp;10&amp;A</oddFooter>
      </headerFooter>
    </customSheetView>
  </customSheetViews>
  <mergeCells count="7">
    <mergeCell ref="B39:F39"/>
    <mergeCell ref="B1:F1"/>
    <mergeCell ref="B3:F3"/>
    <mergeCell ref="B4:F4"/>
    <mergeCell ref="B17:B27"/>
    <mergeCell ref="B6:B16"/>
    <mergeCell ref="B28:B38"/>
  </mergeCells>
  <printOptions horizontalCentered="1"/>
  <pageMargins left="0.6692913385826772" right="0.35433070866141736" top="0.78740157480314965" bottom="0.78740157480314965" header="0.51181102362204722" footer="0.59055118110236227"/>
  <pageSetup paperSize="126" scale="98" firstPageNumber="0" orientation="portrait" r:id="rId2"/>
  <headerFooter alignWithMargins="0">
    <oddFooter>&amp;C&amp;10&amp;A</oddFooter>
  </headerFooter>
  <ignoredErrors>
    <ignoredError sqref="D2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7"/>
  <sheetViews>
    <sheetView topLeftCell="A5" zoomScaleNormal="100" zoomScaleSheetLayoutView="50" workbookViewId="0">
      <selection activeCell="H25" sqref="H25"/>
    </sheetView>
  </sheetViews>
  <sheetFormatPr baseColWidth="10" defaultColWidth="10.9140625" defaultRowHeight="12.45"/>
  <cols>
    <col min="1" max="1" width="1.9140625" style="8" customWidth="1"/>
    <col min="2" max="2" width="8.6640625" style="8" customWidth="1"/>
    <col min="3" max="6" width="11.83203125" style="8" customWidth="1"/>
    <col min="7" max="16384" width="10.9140625" style="8"/>
  </cols>
  <sheetData>
    <row r="1" spans="2:17" s="19" customFormat="1" ht="15.05" customHeight="1">
      <c r="B1" s="813" t="s">
        <v>167</v>
      </c>
      <c r="C1" s="813"/>
      <c r="D1" s="813"/>
      <c r="E1" s="813"/>
      <c r="F1" s="813"/>
    </row>
    <row r="2" spans="2:17" s="19" customFormat="1" ht="15.05" customHeight="1"/>
    <row r="3" spans="2:17" s="19" customFormat="1" ht="31.75" customHeight="1">
      <c r="B3" s="821" t="s">
        <v>168</v>
      </c>
      <c r="C3" s="822"/>
      <c r="D3" s="822"/>
      <c r="E3" s="822"/>
      <c r="F3" s="822"/>
    </row>
    <row r="4" spans="2:17" s="19" customFormat="1" ht="15.75" customHeight="1">
      <c r="B4" s="822" t="s">
        <v>760</v>
      </c>
      <c r="C4" s="822"/>
      <c r="D4" s="822"/>
      <c r="E4" s="822"/>
      <c r="F4" s="822"/>
    </row>
    <row r="5" spans="2:17" s="19" customFormat="1" ht="43.55" customHeight="1">
      <c r="B5" s="258" t="s">
        <v>134</v>
      </c>
      <c r="C5" s="258" t="s">
        <v>150</v>
      </c>
      <c r="D5" s="259" t="s">
        <v>151</v>
      </c>
      <c r="E5" s="259" t="s">
        <v>152</v>
      </c>
      <c r="F5" s="259" t="s">
        <v>153</v>
      </c>
    </row>
    <row r="6" spans="2:17" ht="15.75" customHeight="1">
      <c r="B6" s="830" t="s">
        <v>146</v>
      </c>
      <c r="C6" s="33" t="s">
        <v>154</v>
      </c>
      <c r="D6" s="297">
        <v>137</v>
      </c>
      <c r="E6" s="297">
        <f>7888.52786174772/10</f>
        <v>788.85278617477195</v>
      </c>
      <c r="F6" s="298">
        <v>57.580495341224236</v>
      </c>
      <c r="G6" s="128"/>
      <c r="H6" s="28"/>
      <c r="I6" s="38"/>
      <c r="J6" s="38"/>
      <c r="K6" s="38"/>
      <c r="L6" s="38"/>
      <c r="M6" s="38"/>
      <c r="N6" s="38"/>
      <c r="O6" s="38"/>
      <c r="P6" s="38"/>
      <c r="Q6" s="38"/>
    </row>
    <row r="7" spans="2:17" ht="15.75" customHeight="1">
      <c r="B7" s="828"/>
      <c r="C7" s="33" t="s">
        <v>155</v>
      </c>
      <c r="D7" s="297">
        <v>2196</v>
      </c>
      <c r="E7" s="297">
        <f>140453.146278525/10</f>
        <v>14045.3146278525</v>
      </c>
      <c r="F7" s="298">
        <v>63.958627631386413</v>
      </c>
      <c r="G7" s="128"/>
      <c r="H7" s="28"/>
      <c r="I7" s="38"/>
      <c r="J7" s="38"/>
      <c r="K7" s="38"/>
      <c r="L7" s="38"/>
      <c r="M7" s="38"/>
      <c r="N7" s="38"/>
      <c r="O7" s="38"/>
      <c r="P7" s="38"/>
      <c r="Q7" s="38"/>
    </row>
    <row r="8" spans="2:17" ht="15.75" customHeight="1">
      <c r="B8" s="828"/>
      <c r="C8" s="33" t="s">
        <v>156</v>
      </c>
      <c r="D8" s="297">
        <v>3508</v>
      </c>
      <c r="E8" s="297">
        <f>220297.103651025/10</f>
        <v>22029.710365102503</v>
      </c>
      <c r="F8" s="298">
        <v>62.798490208387875</v>
      </c>
      <c r="G8" s="128"/>
      <c r="H8" s="28"/>
      <c r="I8" s="38"/>
      <c r="J8" s="38"/>
      <c r="K8" s="38"/>
      <c r="L8" s="38"/>
      <c r="M8" s="38"/>
      <c r="N8" s="38"/>
      <c r="O8" s="38"/>
      <c r="P8" s="38"/>
      <c r="Q8" s="38"/>
    </row>
    <row r="9" spans="2:17" ht="15.75" customHeight="1">
      <c r="B9" s="828"/>
      <c r="C9" s="33" t="s">
        <v>157</v>
      </c>
      <c r="D9" s="297">
        <v>3753</v>
      </c>
      <c r="E9" s="297">
        <f>231075.650113294/10</f>
        <v>23107.5650113294</v>
      </c>
      <c r="F9" s="298">
        <v>61.570916630240752</v>
      </c>
      <c r="G9" s="128"/>
      <c r="H9" s="28"/>
      <c r="I9" s="38"/>
      <c r="J9" s="38"/>
      <c r="K9" s="38"/>
      <c r="L9" s="38"/>
      <c r="M9" s="38"/>
      <c r="N9" s="38"/>
      <c r="O9" s="38"/>
      <c r="P9" s="38"/>
      <c r="Q9" s="38"/>
    </row>
    <row r="10" spans="2:17" ht="15.75" customHeight="1">
      <c r="B10" s="828"/>
      <c r="C10" s="33" t="s">
        <v>158</v>
      </c>
      <c r="D10" s="297">
        <v>1796</v>
      </c>
      <c r="E10" s="297">
        <f>128274.269598208/10</f>
        <v>12827.426959820801</v>
      </c>
      <c r="F10" s="298">
        <v>71.422199108133825</v>
      </c>
      <c r="G10" s="128"/>
      <c r="H10" s="28"/>
      <c r="I10" s="38"/>
      <c r="J10" s="38"/>
      <c r="K10" s="38"/>
      <c r="L10" s="38"/>
      <c r="M10" s="38"/>
      <c r="N10" s="38"/>
      <c r="O10" s="38"/>
      <c r="P10" s="38"/>
      <c r="Q10" s="38"/>
    </row>
    <row r="11" spans="2:17" ht="15.75" customHeight="1">
      <c r="B11" s="828"/>
      <c r="C11" s="33" t="s">
        <v>159</v>
      </c>
      <c r="D11" s="297">
        <v>3094</v>
      </c>
      <c r="E11" s="297">
        <f>223773.835064342/10</f>
        <v>22377.383506434202</v>
      </c>
      <c r="F11" s="298">
        <v>72.3250921345644</v>
      </c>
      <c r="G11" s="128"/>
      <c r="H11" s="28"/>
      <c r="I11" s="38"/>
      <c r="J11" s="38"/>
      <c r="K11" s="38"/>
      <c r="L11" s="38"/>
      <c r="M11" s="38"/>
      <c r="N11" s="38"/>
      <c r="O11" s="38"/>
      <c r="P11" s="38"/>
      <c r="Q11" s="38"/>
    </row>
    <row r="12" spans="2:17" ht="15.75" customHeight="1">
      <c r="B12" s="828"/>
      <c r="C12" s="33" t="s">
        <v>160</v>
      </c>
      <c r="D12" s="297">
        <v>288</v>
      </c>
      <c r="E12" s="297">
        <f>20075.2287868205/10</f>
        <v>2007.5228786820498</v>
      </c>
      <c r="F12" s="298">
        <v>69.705655509793417</v>
      </c>
      <c r="G12" s="128"/>
      <c r="H12" s="28"/>
      <c r="I12" s="38"/>
      <c r="J12" s="38"/>
      <c r="K12" s="38"/>
      <c r="L12" s="38"/>
      <c r="M12" s="38"/>
      <c r="N12" s="38"/>
      <c r="O12" s="38"/>
      <c r="P12" s="38"/>
      <c r="Q12" s="38"/>
    </row>
    <row r="13" spans="2:17" ht="15.75" customHeight="1">
      <c r="B13" s="829"/>
      <c r="C13" s="644" t="s">
        <v>164</v>
      </c>
      <c r="D13" s="645">
        <v>14772</v>
      </c>
      <c r="E13" s="645">
        <f>971837.761353962/10</f>
        <v>97183.776135396198</v>
      </c>
      <c r="F13" s="646">
        <v>65.789179620495645</v>
      </c>
      <c r="G13" s="128"/>
      <c r="H13" s="28"/>
      <c r="I13" s="38"/>
      <c r="J13" s="38"/>
      <c r="K13" s="38"/>
      <c r="L13" s="38"/>
      <c r="M13" s="38"/>
      <c r="N13" s="38"/>
      <c r="O13" s="38"/>
      <c r="P13" s="38"/>
      <c r="Q13" s="38"/>
    </row>
    <row r="14" spans="2:17" ht="15.75" customHeight="1">
      <c r="B14" s="828" t="s">
        <v>692</v>
      </c>
      <c r="C14" s="33" t="s">
        <v>154</v>
      </c>
      <c r="D14" s="297">
        <v>58</v>
      </c>
      <c r="E14" s="297">
        <v>65.325823340774193</v>
      </c>
      <c r="F14" s="298">
        <v>11.2630729897887</v>
      </c>
      <c r="G14" s="86"/>
      <c r="H14" s="86"/>
      <c r="I14" s="86"/>
      <c r="J14" s="452"/>
      <c r="K14" s="127"/>
      <c r="L14" s="128"/>
      <c r="M14" s="28"/>
      <c r="N14" s="38"/>
      <c r="O14" s="38"/>
      <c r="P14" s="38"/>
      <c r="Q14" s="38"/>
    </row>
    <row r="15" spans="2:17" ht="15.05" customHeight="1">
      <c r="B15" s="828"/>
      <c r="C15" s="33" t="s">
        <v>155</v>
      </c>
      <c r="D15" s="297">
        <v>2324</v>
      </c>
      <c r="E15" s="297">
        <v>15517.3559337435</v>
      </c>
      <c r="F15" s="298">
        <v>66.770034138311004</v>
      </c>
      <c r="G15" s="78"/>
      <c r="H15" s="135"/>
      <c r="I15" s="453"/>
      <c r="J15" s="127"/>
      <c r="K15" s="127"/>
      <c r="L15" s="128"/>
      <c r="M15" s="28"/>
      <c r="N15" s="38"/>
      <c r="O15" s="38"/>
      <c r="P15" s="38"/>
      <c r="Q15" s="38"/>
    </row>
    <row r="16" spans="2:17">
      <c r="B16" s="828"/>
      <c r="C16" s="33" t="s">
        <v>156</v>
      </c>
      <c r="D16" s="297">
        <v>4508</v>
      </c>
      <c r="E16" s="297">
        <v>31802.772717034699</v>
      </c>
      <c r="F16" s="298">
        <v>70.547410641159502</v>
      </c>
      <c r="G16" s="38"/>
      <c r="H16" s="38"/>
      <c r="I16" s="38"/>
      <c r="J16" s="38"/>
      <c r="K16" s="38"/>
      <c r="L16" s="38"/>
      <c r="M16" s="38"/>
      <c r="N16" s="38"/>
      <c r="O16" s="38"/>
      <c r="P16" s="38"/>
      <c r="Q16" s="38"/>
    </row>
    <row r="17" spans="2:17">
      <c r="B17" s="828"/>
      <c r="C17" s="33" t="s">
        <v>157</v>
      </c>
      <c r="D17" s="297">
        <v>4179</v>
      </c>
      <c r="E17" s="297">
        <v>23846.0277680728</v>
      </c>
      <c r="F17" s="298">
        <v>57.061564412713103</v>
      </c>
      <c r="G17" s="38"/>
      <c r="H17" s="38"/>
      <c r="I17" s="38"/>
      <c r="J17" s="38"/>
      <c r="K17" s="38"/>
      <c r="L17" s="38"/>
      <c r="M17" s="38"/>
      <c r="N17" s="38"/>
      <c r="O17" s="38"/>
      <c r="P17" s="38"/>
      <c r="Q17" s="38"/>
    </row>
    <row r="18" spans="2:17">
      <c r="B18" s="828"/>
      <c r="C18" s="33" t="s">
        <v>158</v>
      </c>
      <c r="D18" s="297">
        <v>2037</v>
      </c>
      <c r="E18" s="297">
        <v>14649.321967114101</v>
      </c>
      <c r="F18" s="298">
        <v>71.916160859666604</v>
      </c>
      <c r="G18" s="38"/>
      <c r="H18" s="38"/>
      <c r="I18" s="38"/>
      <c r="J18" s="38"/>
      <c r="K18" s="38"/>
      <c r="L18" s="38"/>
      <c r="M18" s="38"/>
      <c r="N18" s="38"/>
      <c r="O18" s="38"/>
      <c r="P18" s="38"/>
      <c r="Q18" s="38"/>
    </row>
    <row r="19" spans="2:17">
      <c r="B19" s="828"/>
      <c r="C19" s="33" t="s">
        <v>159</v>
      </c>
      <c r="D19" s="297">
        <v>9736</v>
      </c>
      <c r="E19" s="297">
        <v>69927.960880591796</v>
      </c>
      <c r="F19" s="298">
        <v>71.824117584831299</v>
      </c>
      <c r="G19" s="38"/>
      <c r="H19" s="38"/>
      <c r="I19" s="38"/>
      <c r="J19" s="38"/>
      <c r="K19" s="38"/>
      <c r="L19" s="38"/>
      <c r="M19" s="38"/>
      <c r="N19" s="38"/>
      <c r="O19" s="38"/>
      <c r="P19" s="38"/>
      <c r="Q19" s="38"/>
    </row>
    <row r="20" spans="2:17">
      <c r="B20" s="828"/>
      <c r="C20" s="33" t="s">
        <v>160</v>
      </c>
      <c r="D20" s="297">
        <v>278</v>
      </c>
      <c r="E20" s="297">
        <v>1941.03729545952</v>
      </c>
      <c r="F20" s="298">
        <v>69.821485448184106</v>
      </c>
      <c r="G20" s="38"/>
      <c r="H20" s="38"/>
      <c r="I20" s="38"/>
      <c r="J20" s="38"/>
      <c r="K20" s="38"/>
      <c r="L20" s="38"/>
      <c r="M20" s="38"/>
      <c r="N20" s="38"/>
      <c r="O20" s="38"/>
      <c r="P20" s="38"/>
      <c r="Q20" s="38"/>
    </row>
    <row r="21" spans="2:17" ht="13.1">
      <c r="B21" s="829"/>
      <c r="C21" s="644" t="s">
        <v>164</v>
      </c>
      <c r="D21" s="645">
        <f>SUM(D14:D20)</f>
        <v>23120</v>
      </c>
      <c r="E21" s="645">
        <f>SUM(E14:E20)</f>
        <v>157749.80238535718</v>
      </c>
      <c r="F21" s="646">
        <v>68.230883384670065</v>
      </c>
      <c r="G21" s="38"/>
      <c r="H21" s="38"/>
      <c r="I21" s="38" t="s">
        <v>97</v>
      </c>
      <c r="J21" s="38"/>
      <c r="K21" s="38"/>
      <c r="L21" s="38"/>
      <c r="M21" s="38"/>
      <c r="N21" s="38"/>
      <c r="O21" s="38"/>
      <c r="P21" s="38"/>
      <c r="Q21" s="38"/>
    </row>
    <row r="22" spans="2:17">
      <c r="B22" s="828" t="s">
        <v>758</v>
      </c>
      <c r="C22" s="33" t="s">
        <v>154</v>
      </c>
      <c r="D22" s="297">
        <v>57</v>
      </c>
      <c r="E22" s="297">
        <v>339.386666666667</v>
      </c>
      <c r="F22" s="298">
        <v>59.5415204678363</v>
      </c>
      <c r="G22" s="38"/>
      <c r="H22" s="38"/>
      <c r="I22" s="38"/>
      <c r="J22" s="38"/>
      <c r="K22" s="38"/>
      <c r="L22" s="38"/>
      <c r="M22" s="38"/>
      <c r="N22" s="38"/>
      <c r="O22" s="38"/>
      <c r="P22" s="38"/>
      <c r="Q22" s="38"/>
    </row>
    <row r="23" spans="2:17">
      <c r="B23" s="828"/>
      <c r="C23" s="33" t="s">
        <v>155</v>
      </c>
      <c r="D23" s="297">
        <v>2398</v>
      </c>
      <c r="E23" s="297">
        <v>14093.882877169401</v>
      </c>
      <c r="F23" s="298">
        <v>58.773489896453</v>
      </c>
      <c r="G23" s="38"/>
      <c r="H23" s="38"/>
      <c r="I23" s="38"/>
      <c r="J23" s="38"/>
      <c r="K23" s="38"/>
      <c r="L23" s="38"/>
      <c r="M23" s="38"/>
      <c r="N23" s="38"/>
      <c r="O23" s="38"/>
      <c r="P23" s="38"/>
      <c r="Q23" s="38"/>
    </row>
    <row r="24" spans="2:17">
      <c r="B24" s="828"/>
      <c r="C24" s="33" t="s">
        <v>156</v>
      </c>
      <c r="D24" s="297">
        <v>3806</v>
      </c>
      <c r="E24" s="297">
        <v>17785.231223648902</v>
      </c>
      <c r="F24" s="298">
        <v>46.729456709534801</v>
      </c>
      <c r="G24" s="38"/>
      <c r="H24" s="38"/>
      <c r="I24" s="38"/>
      <c r="J24" s="38"/>
      <c r="K24" s="38"/>
      <c r="L24" s="38"/>
      <c r="M24" s="38"/>
      <c r="N24" s="38"/>
      <c r="O24" s="38"/>
      <c r="P24" s="38"/>
      <c r="Q24" s="38"/>
    </row>
    <row r="25" spans="2:17">
      <c r="B25" s="828"/>
      <c r="C25" s="33" t="s">
        <v>157</v>
      </c>
      <c r="D25" s="297">
        <v>2030</v>
      </c>
      <c r="E25" s="297">
        <v>10441.143291145399</v>
      </c>
      <c r="F25" s="298">
        <v>51.434203404656998</v>
      </c>
      <c r="G25" s="38"/>
      <c r="H25" s="38"/>
      <c r="I25" s="38"/>
      <c r="J25" s="38"/>
      <c r="K25" s="38"/>
      <c r="L25" s="38"/>
      <c r="M25" s="38"/>
      <c r="N25" s="38"/>
      <c r="O25" s="38"/>
      <c r="P25" s="38"/>
      <c r="Q25" s="38"/>
    </row>
    <row r="26" spans="2:17">
      <c r="B26" s="828"/>
      <c r="C26" s="33" t="s">
        <v>158</v>
      </c>
      <c r="D26" s="297">
        <v>1717</v>
      </c>
      <c r="E26" s="297">
        <v>11770.6659789405</v>
      </c>
      <c r="F26" s="298">
        <v>68.553674891907406</v>
      </c>
      <c r="G26" s="38"/>
      <c r="H26" s="38"/>
      <c r="I26" s="38"/>
      <c r="J26" s="38"/>
      <c r="K26" s="38"/>
      <c r="L26" s="38"/>
      <c r="M26" s="38"/>
      <c r="N26" s="38"/>
      <c r="O26" s="38"/>
      <c r="P26" s="38"/>
      <c r="Q26" s="38"/>
    </row>
    <row r="27" spans="2:17">
      <c r="B27" s="828"/>
      <c r="C27" s="33" t="s">
        <v>159</v>
      </c>
      <c r="D27" s="297">
        <v>8253</v>
      </c>
      <c r="E27" s="297">
        <v>68391.925933275896</v>
      </c>
      <c r="F27" s="298">
        <v>82.869169917939999</v>
      </c>
      <c r="G27" s="38"/>
      <c r="H27" s="38"/>
      <c r="I27" s="38"/>
      <c r="J27" s="38"/>
      <c r="K27" s="38"/>
      <c r="L27" s="38"/>
      <c r="M27" s="38"/>
      <c r="N27" s="38"/>
      <c r="O27" s="38"/>
      <c r="P27" s="38"/>
      <c r="Q27" s="38"/>
    </row>
    <row r="28" spans="2:17">
      <c r="B28" s="828"/>
      <c r="C28" s="33" t="s">
        <v>160</v>
      </c>
      <c r="D28" s="297">
        <v>363</v>
      </c>
      <c r="E28" s="297">
        <v>2735.39494255825</v>
      </c>
      <c r="F28" s="298">
        <v>75.355232577362401</v>
      </c>
      <c r="G28" s="38"/>
      <c r="H28" s="38"/>
      <c r="I28" s="38"/>
      <c r="J28" s="38"/>
      <c r="K28" s="38"/>
      <c r="L28" s="38"/>
      <c r="M28" s="38"/>
      <c r="N28" s="38"/>
      <c r="O28" s="38"/>
      <c r="P28" s="38"/>
      <c r="Q28" s="38"/>
    </row>
    <row r="29" spans="2:17" ht="13.1">
      <c r="B29" s="829"/>
      <c r="C29" s="644" t="s">
        <v>164</v>
      </c>
      <c r="D29" s="645">
        <f>SUM(D22:D28)</f>
        <v>18624</v>
      </c>
      <c r="E29" s="645">
        <f>SUM(E22:E28)</f>
        <v>125557.63091340501</v>
      </c>
      <c r="F29" s="646">
        <v>67.417112818623821</v>
      </c>
      <c r="G29" s="38"/>
      <c r="H29" s="38"/>
      <c r="I29" s="38"/>
      <c r="J29" s="38"/>
      <c r="K29" s="38"/>
      <c r="L29" s="38"/>
      <c r="M29" s="38"/>
      <c r="N29" s="38"/>
      <c r="O29" s="38"/>
      <c r="P29" s="38"/>
      <c r="Q29" s="38"/>
    </row>
    <row r="30" spans="2:17">
      <c r="B30" s="818" t="s">
        <v>169</v>
      </c>
      <c r="C30" s="826"/>
      <c r="D30" s="826"/>
      <c r="E30" s="826"/>
      <c r="F30" s="827"/>
      <c r="G30" s="38"/>
      <c r="H30" s="38"/>
      <c r="I30" s="38"/>
      <c r="J30" s="38"/>
      <c r="K30" s="38"/>
      <c r="L30" s="38"/>
      <c r="M30" s="38"/>
      <c r="N30" s="38"/>
      <c r="O30" s="38"/>
      <c r="P30" s="38"/>
      <c r="Q30" s="38"/>
    </row>
    <row r="46" spans="1:7">
      <c r="A46" s="38"/>
      <c r="B46" s="38"/>
      <c r="C46" s="38"/>
      <c r="D46" s="38"/>
      <c r="E46" s="38"/>
      <c r="F46" s="38"/>
      <c r="G46" s="38"/>
    </row>
    <row r="47" spans="1:7" ht="29.95" customHeight="1">
      <c r="A47" s="35"/>
      <c r="B47" s="38"/>
      <c r="C47" s="38"/>
      <c r="D47" s="38"/>
      <c r="E47" s="38"/>
      <c r="F47" s="38"/>
      <c r="G47" s="38"/>
    </row>
  </sheetData>
  <mergeCells count="7">
    <mergeCell ref="B30:F30"/>
    <mergeCell ref="B14:B21"/>
    <mergeCell ref="B1:F1"/>
    <mergeCell ref="B3:F3"/>
    <mergeCell ref="B4:F4"/>
    <mergeCell ref="B6:B13"/>
    <mergeCell ref="B22:B29"/>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&amp;C&amp;10&amp;A</oddFooter>
  </headerFooter>
  <ignoredErrors>
    <ignoredError sqref="D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5b0fff-259e-4803-89dd-5265f121ae21">
      <Terms xmlns="http://schemas.microsoft.com/office/infopath/2007/PartnerControls"/>
    </lcf76f155ced4ddcb4097134ff3c332f>
    <TaxCatchAll xmlns="6a60f5a6-b39c-425c-984f-bf63bb01288b" xsi:nil="true"/>
    <SharedWithUsers xmlns="6a60f5a6-b39c-425c-984f-bf63bb01288b">
      <UserInfo>
        <DisplayName>Ema Laval Molkenbuhr</DisplayName>
        <AccountId>12</AccountId>
        <AccountType/>
      </UserInfo>
      <UserInfo>
        <DisplayName>Bernabé Tapia Cruz</DisplayName>
        <AccountId>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C635797DF0E5842A626164A1F091802" ma:contentTypeVersion="17" ma:contentTypeDescription="Crear nuevo documento." ma:contentTypeScope="" ma:versionID="b24cd71336c93e963cf7c21bf61cc045">
  <xsd:schema xmlns:xsd="http://www.w3.org/2001/XMLSchema" xmlns:xs="http://www.w3.org/2001/XMLSchema" xmlns:p="http://schemas.microsoft.com/office/2006/metadata/properties" xmlns:ns2="095b0fff-259e-4803-89dd-5265f121ae21" xmlns:ns3="6a60f5a6-b39c-425c-984f-bf63bb01288b" targetNamespace="http://schemas.microsoft.com/office/2006/metadata/properties" ma:root="true" ma:fieldsID="f725e310383015a489c0ca3d04319ba1" ns2:_="" ns3:_="">
    <xsd:import namespace="095b0fff-259e-4803-89dd-5265f121ae21"/>
    <xsd:import namespace="6a60f5a6-b39c-425c-984f-bf63bb0128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b0fff-259e-4803-89dd-5265f121ae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60f5a6-b39c-425c-984f-bf63bb01288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60eb86e0-e321-42b1-b7b8-37438b3d6a74}" ma:internalName="TaxCatchAll" ma:showField="CatchAllData" ma:web="6a60f5a6-b39c-425c-984f-bf63bb0128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D896A-8A9A-4928-997A-34DB14CB857B}">
  <ds:schemaRefs>
    <ds:schemaRef ds:uri="http://schemas.microsoft.com/office/2006/documentManagement/types"/>
    <ds:schemaRef ds:uri="6a60f5a6-b39c-425c-984f-bf63bb01288b"/>
    <ds:schemaRef ds:uri="http://www.w3.org/XML/1998/namespace"/>
    <ds:schemaRef ds:uri="http://purl.org/dc/elements/1.1/"/>
    <ds:schemaRef ds:uri="http://schemas.microsoft.com/office/infopath/2007/PartnerControls"/>
    <ds:schemaRef ds:uri="http://schemas.openxmlformats.org/package/2006/metadata/core-properties"/>
    <ds:schemaRef ds:uri="095b0fff-259e-4803-89dd-5265f121ae2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13DCBCC-2DE3-402F-B21B-DDB89B9F8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b0fff-259e-4803-89dd-5265f121ae21"/>
    <ds:schemaRef ds:uri="6a60f5a6-b39c-425c-984f-bf63bb012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9DCEA-1BC2-4860-97B0-007405F655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66</vt:i4>
      </vt:variant>
      <vt:variant>
        <vt:lpstr>Rangos con nombre</vt:lpstr>
      </vt:variant>
      <vt:variant>
        <vt:i4>110</vt:i4>
      </vt:variant>
    </vt:vector>
  </HeadingPairs>
  <TitlesOfParts>
    <vt:vector size="176"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 </vt:lpstr>
      <vt:lpstr>19</vt:lpstr>
      <vt:lpstr>20</vt:lpstr>
      <vt:lpstr>21</vt:lpstr>
      <vt:lpstr>22</vt:lpstr>
      <vt:lpstr>23</vt:lpstr>
      <vt:lpstr>24</vt:lpstr>
      <vt:lpstr>25</vt:lpstr>
      <vt:lpstr>26A</vt:lpstr>
      <vt:lpstr>26B</vt:lpstr>
      <vt:lpstr>26C</vt:lpstr>
      <vt:lpstr>27</vt:lpstr>
      <vt:lpstr>Contenido Maíz</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Contenido Arroz</vt:lpstr>
      <vt:lpstr>44</vt:lpstr>
      <vt:lpstr>45</vt:lpstr>
      <vt:lpstr>46</vt:lpstr>
      <vt:lpstr>47</vt:lpstr>
      <vt:lpstr>48</vt:lpstr>
      <vt:lpstr>49</vt:lpstr>
      <vt:lpstr>50</vt:lpstr>
      <vt:lpstr>51</vt:lpstr>
      <vt:lpstr>52</vt:lpstr>
      <vt:lpstr>53</vt:lpstr>
      <vt:lpstr>54</vt:lpstr>
      <vt:lpstr>55</vt:lpstr>
      <vt:lpstr>56</vt:lpstr>
      <vt:lpstr>57A</vt:lpstr>
      <vt:lpstr>57B</vt:lpstr>
      <vt:lpstr>58</vt:lpstr>
      <vt:lpstr>59</vt:lpstr>
      <vt:lpstr>60</vt:lpstr>
      <vt:lpstr>61</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 '!Área_de_impresión</vt:lpstr>
      <vt:lpstr>'19'!Área_de_impresión</vt:lpstr>
      <vt:lpstr>'20'!Área_de_impresión</vt:lpstr>
      <vt:lpstr>'21'!Área_de_impresión</vt:lpstr>
      <vt:lpstr>'22'!Área_de_impresión</vt:lpstr>
      <vt:lpstr>'23'!Área_de_impresión</vt:lpstr>
      <vt:lpstr>'24'!Área_de_impresión</vt:lpstr>
      <vt:lpstr>'25'!Área_de_impresión</vt:lpstr>
      <vt:lpstr>'26A'!Área_de_impresión</vt:lpstr>
      <vt:lpstr>'26B'!Área_de_impresión</vt:lpstr>
      <vt:lpstr>'26C'!Área_de_impresión</vt:lpstr>
      <vt:lpstr>'27'!Área_de_impresión</vt:lpstr>
      <vt:lpstr>'28'!Área_de_impresión</vt:lpstr>
      <vt:lpstr>'29'!Área_de_impresión</vt:lpstr>
      <vt:lpstr>'30'!Área_de_impresión</vt:lpstr>
      <vt:lpstr>'34'!Área_de_impresión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'42'!Área_de_impresión</vt:lpstr>
      <vt:lpstr>'43'!Área_de_impresión</vt:lpstr>
      <vt:lpstr>'44'!Área_de_impresión</vt:lpstr>
      <vt:lpstr>'45'!Área_de_impresión</vt:lpstr>
      <vt:lpstr>'46'!Área_de_impresión</vt:lpstr>
      <vt:lpstr>'49'!Área_de_impresión</vt:lpstr>
      <vt:lpstr>'5'!Área_de_impresión</vt:lpstr>
      <vt:lpstr>'52'!Área_de_impresión</vt:lpstr>
      <vt:lpstr>'54'!Área_de_impresión</vt:lpstr>
      <vt:lpstr>'56'!Área_de_impresión</vt:lpstr>
      <vt:lpstr>'57A'!Área_de_impresión</vt:lpstr>
      <vt:lpstr>'57B'!Área_de_impresión</vt:lpstr>
      <vt:lpstr>'58'!Área_de_impresión</vt:lpstr>
      <vt:lpstr>'6'!Área_de_impresión</vt:lpstr>
      <vt:lpstr>'61'!Área_de_impresión</vt:lpstr>
      <vt:lpstr>'7'!Área_de_impresión</vt:lpstr>
      <vt:lpstr>'8'!Área_de_impresión</vt:lpstr>
      <vt:lpstr>'9'!Área_de_impresión</vt:lpstr>
      <vt:lpstr>'Contenido Arroz'!Área_de_impresión</vt:lpstr>
      <vt:lpstr>'Contenido Maíz'!Área_de_impresión</vt:lpstr>
      <vt:lpstr>'Contenido Trigo'!Área_de_impresión</vt:lpstr>
      <vt:lpstr>Introducción!Área_de_impresión</vt:lpstr>
      <vt:lpstr>Portada!Área_de_impresión</vt:lpstr>
      <vt:lpstr>'10'!Print_Area</vt:lpstr>
      <vt:lpstr>'11'!Print_Area</vt:lpstr>
      <vt:lpstr>'12'!Print_Area</vt:lpstr>
      <vt:lpstr>'13'!Print_Area</vt:lpstr>
      <vt:lpstr>'14'!Print_Area</vt:lpstr>
      <vt:lpstr>'16'!Print_Area</vt:lpstr>
      <vt:lpstr>'17'!Print_Area</vt:lpstr>
      <vt:lpstr>'18 '!Print_Area</vt:lpstr>
      <vt:lpstr>'19'!Print_Area</vt:lpstr>
      <vt:lpstr>'20'!Print_Area</vt:lpstr>
      <vt:lpstr>'22'!Print_Area</vt:lpstr>
      <vt:lpstr>'23'!Print_Area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'57A'!Print_Area</vt:lpstr>
      <vt:lpstr>'57B'!Print_Area</vt:lpstr>
      <vt:lpstr>'58'!Print_Area</vt:lpstr>
      <vt:lpstr>'59'!Print_Area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Politica sectorial</dc:creator>
  <cp:keywords/>
  <dc:description/>
  <cp:lastModifiedBy>Sergio Soto Nuñez</cp:lastModifiedBy>
  <cp:revision/>
  <cp:lastPrinted>2024-09-03T14:45:58Z</cp:lastPrinted>
  <dcterms:created xsi:type="dcterms:W3CDTF">2008-12-10T19:16:04Z</dcterms:created>
  <dcterms:modified xsi:type="dcterms:W3CDTF">2024-09-03T14:49:56Z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0x010100AC635797DF0E5842A626164A1F091802</vt:lpwstr>
  </property>
  <property fmtid="{D5CDD505-2E9C-101B-9397-08002B2CF9AE}" pid="3" name="MediaServiceImageTags">
    <vt:lpwstr/>
  </property>
</Properties>
</file>